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drawings/drawing3.xml" ContentType="application/vnd.openxmlformats-officedocument.drawing+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drawings/drawing4.xml" ContentType="application/vnd.openxmlformats-officedocument.drawing+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omments29.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drawings/drawing8.xml" ContentType="application/vnd.openxmlformats-officedocument.drawing+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omments30.xml" ContentType="application/vnd.openxmlformats-officedocument.spreadsheetml.comments+xml"/>
  <Override PartName="/xl/drawings/drawing9.xml" ContentType="application/vnd.openxmlformats-officedocument.drawing+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uhec75\Desktop\起案分テンプレ\20260819決済分\"/>
    </mc:Choice>
  </mc:AlternateContent>
  <xr:revisionPtr revIDLastSave="0" documentId="13_ncr:1_{1206EBEF-E63C-4A06-B606-3DD018FD619C}" xr6:coauthVersionLast="47" xr6:coauthVersionMax="47" xr10:uidLastSave="{00000000-0000-0000-0000-000000000000}"/>
  <bookViews>
    <workbookView xWindow="-108" yWindow="-108" windowWidth="23256" windowHeight="12456" tabRatio="889" firstSheet="43" activeTab="43" xr2:uid="{86AB2203-58B3-40FE-831A-4885E6633E3F}"/>
  </bookViews>
  <sheets>
    <sheet name="dSHEET" sheetId="1" state="veryHidden" r:id="rId1"/>
    <sheet name="DATA" sheetId="3" state="veryHidden" r:id="rId2"/>
    <sheet name="dSTART" sheetId="2" state="veryHidden" r:id="rId3"/>
    <sheet name="dAName" sheetId="184" state="veryHidden" r:id="rId4"/>
    <sheet name="cst_DATA" sheetId="4" state="veryHidden" r:id="rId5"/>
    <sheet name="項目リスト" sheetId="5" state="veryHidden" r:id="rId6"/>
    <sheet name="用途の区分" sheetId="6" state="veryHidden" r:id="rId7"/>
    <sheet name="リスト" sheetId="7" state="veryHidden" r:id="rId8"/>
    <sheet name="確認申請第一面" sheetId="268" state="veryHidden" r:id="rId9"/>
    <sheet name="計変第一面" sheetId="269" state="veryHidden" r:id="rId10"/>
    <sheet name="第二面" sheetId="270" state="veryHidden" r:id="rId11"/>
    <sheet name="第三面_2504" sheetId="271" state="veryHidden" r:id="rId12"/>
    <sheet name="第四面_2504" sheetId="272" state="veryHidden" r:id="rId13"/>
    <sheet name="第五面" sheetId="273" state="veryHidden" r:id="rId14"/>
    <sheet name="第六面" sheetId="274" state="veryHidden" r:id="rId15"/>
    <sheet name="建築概要一面" sheetId="275" state="veryHidden" r:id="rId16"/>
    <sheet name="概要二面" sheetId="276" state="veryHidden" r:id="rId17"/>
    <sheet name="概要三面" sheetId="277" state="veryHidden" r:id="rId18"/>
    <sheet name="建築工事届_2410" sheetId="230" state="veryHidden" r:id="rId19"/>
    <sheet name="注意欄_参照用" sheetId="231" state="veryHidden" r:id="rId20"/>
    <sheet name="追加記入欄" sheetId="235" state="veryHidden" r:id="rId21"/>
    <sheet name="用途番号用" sheetId="234" state="veryHidden" r:id="rId22"/>
    <sheet name="追加説明書_確認" sheetId="236" state="veryHidden" r:id="rId23"/>
    <sheet name="追加説明書_完了" sheetId="237" state="veryHidden" r:id="rId24"/>
    <sheet name="仮使用_第一面" sheetId="246" state="veryHidden" r:id="rId25"/>
    <sheet name="仮使用_計画通知_第一面" sheetId="252" state="veryHidden" r:id="rId26"/>
    <sheet name="仮使用_第一面_別紙_申請者" sheetId="247" state="veryHidden" r:id="rId27"/>
    <sheet name="仮使用_第一面_別紙_手数料請求先" sheetId="248" state="veryHidden" r:id="rId28"/>
    <sheet name="仮使用_第二面" sheetId="249" state="veryHidden" r:id="rId29"/>
    <sheet name="仮使用_第二面_別紙_建築主等" sheetId="250" state="veryHidden" r:id="rId30"/>
    <sheet name="仮使用_注意" sheetId="251" state="veryHidden" r:id="rId31"/>
    <sheet name="建築主等変更届" sheetId="255" state="veryHidden" r:id="rId32"/>
    <sheet name="工事監理者変更届" sheetId="259" state="veryHidden" r:id="rId33"/>
    <sheet name="工事施工者変更届" sheetId="261" state="veryHidden" r:id="rId34"/>
    <sheet name="申請取下届" sheetId="262" state="veryHidden" r:id="rId35"/>
    <sheet name="記載事項変更届" sheetId="263" state="veryHidden" r:id="rId36"/>
    <sheet name="申請者別紙" sheetId="256" state="veryHidden" r:id="rId37"/>
    <sheet name="建築主用変更届_補足用" sheetId="257" state="veryHidden" r:id="rId38"/>
    <sheet name="代理者に変更があるときの別紙" sheetId="258" state="veryHidden" r:id="rId39"/>
    <sheet name="工事監理者変更届_補足用" sheetId="260" state="veryHidden" r:id="rId40"/>
    <sheet name="設計者が複数の場合の別紙" sheetId="264" state="veryHidden" r:id="rId41"/>
    <sheet name="軽微な変更説明書" sheetId="265" state="veryHidden" r:id="rId42"/>
    <sheet name="別紙_建築主設置者又は築造主" sheetId="266" state="veryHidden" r:id="rId43"/>
    <sheet name="受付連絡票" sheetId="267" r:id="rId44"/>
    <sheet name="委任状_建築主押印あり" sheetId="253" state="veryHidden" r:id="rId45"/>
    <sheet name="委任状_建築主押印なし" sheetId="254" state="veryHidden" r:id="rId46"/>
    <sheet name="省エネ適判_委任状_押印あり" sheetId="239" state="veryHidden" r:id="rId47"/>
    <sheet name="省エネ適判_委任状_押印なし" sheetId="238" state="veryHidden" r:id="rId48"/>
    <sheet name="省エネ適判_記載事項変更届" sheetId="240" state="veryHidden" r:id="rId49"/>
    <sheet name="省エネ適判_取下げ届" sheetId="244" state="veryHidden" r:id="rId50"/>
    <sheet name="省エネ適判_追加説明書" sheetId="245" state="veryHidden" r:id="rId51"/>
    <sheet name="連絡メモ" sheetId="243" state="veryHidden" r:id="rId52"/>
  </sheets>
  <definedNames>
    <definedName name="__IntlFixup" hidden="1">TRUE</definedName>
    <definedName name="__IntlFixupTable" localSheetId="17" hidden="1">#REF!</definedName>
    <definedName name="__IntlFixupTable" localSheetId="16" hidden="1">#REF!</definedName>
    <definedName name="__IntlFixupTable" localSheetId="8" hidden="1">#REF!</definedName>
    <definedName name="__IntlFixupTable" localSheetId="9" hidden="1">#REF!</definedName>
    <definedName name="__IntlFixupTable" localSheetId="15" hidden="1">#REF!</definedName>
    <definedName name="__IntlFixupTable" localSheetId="18" hidden="1">#REF!</definedName>
    <definedName name="__IntlFixupTable" localSheetId="13" hidden="1">#REF!</definedName>
    <definedName name="__IntlFixupTable" localSheetId="11" hidden="1">#REF!</definedName>
    <definedName name="__IntlFixupTable" localSheetId="12" hidden="1">#REF!</definedName>
    <definedName name="__IntlFixupTable" localSheetId="10" hidden="1">#REF!</definedName>
    <definedName name="__IntlFixupTable" localSheetId="14" hidden="1">#REF!</definedName>
    <definedName name="__IntlFixupTable" hidden="1">#REF!</definedName>
    <definedName name="_１級">リスト!$A$3</definedName>
    <definedName name="_xlnm._FilterDatabase" localSheetId="18" hidden="1">建築工事届_2410!$A$59:$N$60</definedName>
    <definedName name="_xlnm._FilterDatabase" localSheetId="19" hidden="1">注意欄_参照用!#REF!</definedName>
    <definedName name="_xlnm._FilterDatabase" localSheetId="20" hidden="1">追加記入欄!#REF!</definedName>
    <definedName name="_IntlFixup2Table" localSheetId="18" hidden="1">#REF!</definedName>
    <definedName name="_IntlFixup2Table" hidden="1">#REF!</definedName>
    <definedName name="_Order1" hidden="1">255</definedName>
    <definedName name="_output_sheetname">DATA!$D$9</definedName>
    <definedName name="_output_title">DATA!$D$7</definedName>
    <definedName name="AAA_01" localSheetId="17" hidden="1">#REF!</definedName>
    <definedName name="AAA_01" localSheetId="16" hidden="1">#REF!</definedName>
    <definedName name="AAA_01" localSheetId="8" hidden="1">#REF!</definedName>
    <definedName name="AAA_01" localSheetId="9" hidden="1">#REF!</definedName>
    <definedName name="AAA_01" localSheetId="15" hidden="1">#REF!</definedName>
    <definedName name="AAA_01" localSheetId="18" hidden="1">#REF!</definedName>
    <definedName name="AAA_01" localSheetId="13" hidden="1">#REF!</definedName>
    <definedName name="AAA_01" localSheetId="11" hidden="1">#REF!</definedName>
    <definedName name="AAA_01" localSheetId="12" hidden="1">#REF!</definedName>
    <definedName name="AAA_01" localSheetId="10" hidden="1">#REF!</definedName>
    <definedName name="AAA_01" localSheetId="14" hidden="1">#REF!</definedName>
    <definedName name="AAA_01" hidden="1">#REF!</definedName>
    <definedName name="aaaaa" hidden="1">#REF!</definedName>
    <definedName name="AAAAA2" hidden="1">#REF!</definedName>
    <definedName name="AAAAA3" hidden="1">#REF!</definedName>
    <definedName name="AAAAA4" hidden="1">#REF!</definedName>
    <definedName name="AAAAA5" hidden="1">#REF!</definedName>
    <definedName name="AAAAA6" hidden="1">#REF!</definedName>
    <definedName name="AAAAA7" hidden="1">#REF!</definedName>
    <definedName name="AAAAA8" hidden="1">#REF!</definedName>
    <definedName name="AAAAA9" hidden="1">#REF!</definedName>
    <definedName name="AAAAB" hidden="1">#REF!</definedName>
    <definedName name="BBBBB1" hidden="1">#REF!</definedName>
    <definedName name="BBBBB2" hidden="1">#REF!</definedName>
    <definedName name="chk_INTER_state_in_final">DATA!$F$30</definedName>
    <definedName name="chk_INTER1_state_in_conf">DATA!$F$27</definedName>
    <definedName name="chk_INTER2_state_in_conf">DATA!$F$28</definedName>
    <definedName name="chk_INTER3_state_in_conf">DATA!$F$29</definedName>
    <definedName name="chk_JOB_KIND_kakunin">DATA!$F$26</definedName>
    <definedName name="cls_JOB_KIND_base_point">cst_DATA!$I$23</definedName>
    <definedName name="cls_JOB_KIND_erea">cst_DATA!$H$24:$H$29</definedName>
    <definedName name="cls_JOB_SET_KIND_base_point">cst_DATA!$I$4</definedName>
    <definedName name="cls_JOB_SET_KIND_erea">cst_DATA!$H$5:$H$9</definedName>
    <definedName name="cls_TARGET_KIND_base_point">cst_DATA!$I$13</definedName>
    <definedName name="cls_TARGET_KIND_erea">cst_DATA!$H$14:$H$19</definedName>
    <definedName name="cst__output_sheetname">DATA!$F$9</definedName>
    <definedName name="cst__output_title">DATA!$F$7</definedName>
    <definedName name="cst_ISSUE_DATE_select">DATA!$F$32</definedName>
    <definedName name="cst_ISSUE_KOUFU_NAME_select">DATA!$F$72</definedName>
    <definedName name="cst_ISSUE_NO_select">DATA!$F$31</definedName>
    <definedName name="cst_KAKU_SUMI_KOUFU_DATE">DATA!$F$48</definedName>
    <definedName name="cst_KAKU_SUMI_KOUFU_DATE_JOB_KIND">DATA!$F$49</definedName>
    <definedName name="cst_KAKU_SUMI_KOUFU_NAME">DATA!$F$52</definedName>
    <definedName name="cst_KAKU_SUMI_KOUFU_NAME_JOB_KIND">DATA!$F$53</definedName>
    <definedName name="cst_koujikikan_month">DATA!$F$1237</definedName>
    <definedName name="cst_koujikikan_year">DATA!$F$1236</definedName>
    <definedName name="cst_Pre_Corp__SHINSEI">dAName!$F$18</definedName>
    <definedName name="cst_Pre_Corptype__SHINSEI">dAName!$E$18</definedName>
    <definedName name="cst_Pre_Daihyou__SHINSEI">dAName!$G$18</definedName>
    <definedName name="cst_shinsei_build_p6_01_PAGE6_KOUZOU_KEISAN_KIND__002">DATA!$F$58</definedName>
    <definedName name="cst_shinsei_build_p6_01_PAGE6_KOUZOU_KEISAN_KIND__004">DATA!$F$57</definedName>
    <definedName name="cst_shinsei_build_p6_01_PAGE6_KOUZOU_KEISAN_KIND__005">DATA!$F$56</definedName>
    <definedName name="cst_shinsei_build_YOUTO">DATA!$F$1429</definedName>
    <definedName name="cst_shinsei_HIKIUKE_DATE">DATA!$F$40</definedName>
    <definedName name="cst_shinsei_ISSUE_DATE">DATA!$F$47</definedName>
    <definedName name="cst_shinsei_ISSUE_KOUFU_NAME">DATA!$F$51</definedName>
    <definedName name="cst_shinsei_ISSUE_NO">DATA!$F$42</definedName>
    <definedName name="cst_shinsei_ISSUE_NO_disp">DATA!$F$43</definedName>
    <definedName name="cst_shinsei_KAKU_SUMI_NO">DATA!$F$44</definedName>
    <definedName name="cst_shinsei_KAKU_SUMI_NO_JOB_KIND">DATA!$F$45</definedName>
    <definedName name="cst_shinsei_KAKUNIN_ISSUE_NO">DATA!$F$70</definedName>
    <definedName name="cst_shinsei_KAKUNIN_KOUFU_DATE">DATA!$F$73</definedName>
    <definedName name="cst_shinsei_PROVO_DATE">DATA!$F$34</definedName>
    <definedName name="cst_shinsei_PROVO_NO">DATA!$F$35</definedName>
    <definedName name="cst_shinsei_UKETUKE_NO">DATA!$F$38</definedName>
    <definedName name="cst_shinsei_UNIT_COUNT">DATA!$F$1045</definedName>
    <definedName name="cst_wsecoteki_APPLICANT_NAME">DATA!$F$1440</definedName>
    <definedName name="cst_wsecoteki_BUILD__address">DATA!$F$1435</definedName>
    <definedName name="cst_wsecoteki_BUILD_ADDRESS">DATA!$F$1437</definedName>
    <definedName name="cst_wsecoteki_BUILD_KEN__ken">DATA!$F$1436</definedName>
    <definedName name="cst_wsecoteki_BUILD_NAME">DATA!$F$1432</definedName>
    <definedName name="cst_wsecoteki_dairi1__address">DATA!$F$1488</definedName>
    <definedName name="cst_wsecoteki_dairi1__sikaku">DATA!$F$1472</definedName>
    <definedName name="cst_wsecoteki_dairi1_FAX">DATA!$F$1490</definedName>
    <definedName name="cst_wsecoteki_dairi1_JIMU__sikaku">DATA!$F$1481</definedName>
    <definedName name="cst_wsecoteki_dairi1_JIMU_NAME">DATA!$F$1485</definedName>
    <definedName name="cst_wsecoteki_dairi1_JIMU_NAME_KANA">DATA!$F$1486</definedName>
    <definedName name="cst_wsecoteki_dairi1_JIMU_NO">DATA!$F$1484</definedName>
    <definedName name="cst_wsecoteki_dairi1_JIMU_SIKAKU__label">DATA!$F$1482</definedName>
    <definedName name="cst_wsecoteki_dairi1_JIMU_TOUROKU_KIKAN__label">DATA!$F$1483</definedName>
    <definedName name="cst_wsecoteki_dairi1_KENTIKUSI_NO">DATA!$F$1475</definedName>
    <definedName name="cst_wsecoteki_dairi1_NAME">DATA!$F$1476</definedName>
    <definedName name="cst_wsecoteki_dairi1_NAME_KANA">DATA!$F$1477</definedName>
    <definedName name="cst_wsecoteki_dairi1_POST">DATA!$F$1479</definedName>
    <definedName name="cst_wsecoteki_dairi1_POST_KANA">DATA!$F$1480</definedName>
    <definedName name="cst_wsecoteki_dairi1_SIKAKU__label">DATA!$F$1473</definedName>
    <definedName name="cst_wsecoteki_dairi1_TEL">DATA!$F$1489</definedName>
    <definedName name="cst_wsecoteki_dairi1_TOUROKU_KIKAN__label">DATA!$F$1474</definedName>
    <definedName name="cst_wsecoteki_dairi1_ZIP">DATA!$F$1487</definedName>
    <definedName name="cst_wsecoteki_owner1__address">DATA!$F$1451</definedName>
    <definedName name="cst_wsecoteki_owner1__space">DATA!$F$1454</definedName>
    <definedName name="cst_wsecoteki_owner1__space_kana">DATA!$F$1455</definedName>
    <definedName name="cst_wsecoteki_owner1_JIMU_NAME">DATA!$F$1442</definedName>
    <definedName name="cst_wsecoteki_owner1_JIMU_NAME_KANA">DATA!$F$1443</definedName>
    <definedName name="cst_wsecoteki_owner1_NAME">DATA!$F$1446</definedName>
    <definedName name="cst_wsecoteki_owner1_NAME_KANA">DATA!$F$1448</definedName>
    <definedName name="cst_wsecoteki_owner1_POST">DATA!$F$1444</definedName>
    <definedName name="cst_wsecoteki_owner1_POST_KANA">DATA!$F$1445</definedName>
    <definedName name="cst_wsecoteki_owner1_TEL">DATA!$F$1453</definedName>
    <definedName name="cst_wsecoteki_owner1_ZIP">DATA!$F$1449</definedName>
    <definedName name="cst_wsecoteki_owner2__address">DATA!$F$1467</definedName>
    <definedName name="cst_wsecoteki_owner2_JIMU_NAME">DATA!$F$1458</definedName>
    <definedName name="cst_wsecoteki_owner2_JIMU_NAME_KANA">DATA!$F$1459</definedName>
    <definedName name="cst_wsecoteki_owner2_NAME">DATA!$F$1462</definedName>
    <definedName name="cst_wsecoteki_owner2_NAME_KANA">DATA!$F$1464</definedName>
    <definedName name="cst_wsecoteki_owner2_POST">DATA!$F$1460</definedName>
    <definedName name="cst_wsecoteki_owner2_POST_KANA">DATA!$F$1461</definedName>
    <definedName name="cst_wsecoteki_owner2_TEL">DATA!$F$1469</definedName>
    <definedName name="cst_wsecoteki_owner2_ZIP">DATA!$F$1465</definedName>
    <definedName name="cst_wsflat35_dairi1_POST">DATA!$F$212</definedName>
    <definedName name="cst_wsjob_JOB_INPUT_VERSION">DATA!$F$23</definedName>
    <definedName name="cst_wsjob_JOB_KIND">DATA!$F$19</definedName>
    <definedName name="cst_wsjob_JOB_KIND_final_box">DATA!$F$22</definedName>
    <definedName name="cst_wsjob_JOB_KIND_inter_box">DATA!$F$21</definedName>
    <definedName name="cst_wsjob_JOB_KIND_kakunin_box">DATA!$F$20</definedName>
    <definedName name="cst_wsjob_JOB_SET_KIND">DATA!$F$12</definedName>
    <definedName name="cst_wsjob_KENTIKUBUTU_box">DATA!$F$14</definedName>
    <definedName name="cst_wsjob_KENTIKUSETUBI_box">DATA!$F$16</definedName>
    <definedName name="cst_wsjob_KOUSAKUBUTU_1_box">DATA!$F$17</definedName>
    <definedName name="cst_wsjob_KOUSAKUBUTU_2_box">DATA!$F$18</definedName>
    <definedName name="cst_wsjob_SYOUKOUKI_box">DATA!$F$15</definedName>
    <definedName name="cst_wsjob_TARGET_KIND">DATA!$F$13</definedName>
    <definedName name="cst_wsjob_TARGET_KIND__label">DATA!$F$11</definedName>
    <definedName name="cst_wskakunin__bouka">DATA!$F$997</definedName>
    <definedName name="cst_wskakunin__kouji">DATA!$F$1049</definedName>
    <definedName name="cst_wskakunin__kuiki">DATA!$F$988</definedName>
    <definedName name="cst_wskakunin__kuiki_box">DATA!$F$989</definedName>
    <definedName name="cst_wskakunin__tosi_kuiki">DATA!$F$991</definedName>
    <definedName name="cst_wskakunin_20kouzou101_KOUZOUSEKKEI_KOUFU_NO">DATA!$F$561</definedName>
    <definedName name="cst_wskakunin_20kouzou101_NAME">DATA!$F$560</definedName>
    <definedName name="cst_wskakunin_20kouzou102_KOUZOUSEKKEI_KOUFU_NO">DATA!$F$563</definedName>
    <definedName name="cst_wskakunin_20kouzou102_NAME">DATA!$F$562</definedName>
    <definedName name="cst_wskakunin_20kouzou103_KOUZOUSEKKEI_KOUFU_NO">DATA!$F$565</definedName>
    <definedName name="cst_wskakunin_20kouzou103_NAME">DATA!$F$564</definedName>
    <definedName name="cst_wskakunin_20kouzou104_KOUZOUSEKKEI_KOUFU_NO">DATA!$F$567</definedName>
    <definedName name="cst_wskakunin_20kouzou104_NAME">DATA!$F$566</definedName>
    <definedName name="cst_wskakunin_20kouzou105_KOUZOUSEKKEI_KOUFU_NO">DATA!$F$569</definedName>
    <definedName name="cst_wskakunin_20kouzou105_NAME">DATA!$F$568</definedName>
    <definedName name="cst_wskakunin_20kouzou301_KOUZOUSEKKEI_KOUFU_NO">DATA!$F$573</definedName>
    <definedName name="cst_wskakunin_20kouzou301_NAME">DATA!$F$572</definedName>
    <definedName name="cst_wskakunin_20kouzou302_KOUZOUSEKKEI_KOUFU_NO">DATA!$F$575</definedName>
    <definedName name="cst_wskakunin_20kouzou302_NAME">DATA!$F$574</definedName>
    <definedName name="cst_wskakunin_20kouzou303_KOUZOUSEKKEI_KOUFU_NO">DATA!$F$577</definedName>
    <definedName name="cst_wskakunin_20kouzou303_NAME">DATA!$F$576</definedName>
    <definedName name="cst_wskakunin_20kouzou304_KOUZOUSEKKEI_KOUFU_NO">DATA!$F$579</definedName>
    <definedName name="cst_wskakunin_20kouzou304_NAME">DATA!$F$578</definedName>
    <definedName name="cst_wskakunin_20kouzou305_KOUZOUSEKKEI_KOUFU_NO">DATA!$F$581</definedName>
    <definedName name="cst_wskakunin_20kouzou305_NAME">DATA!$F$580</definedName>
    <definedName name="cst_wskakunin_20setubi101_NAME">DATA!$F$584</definedName>
    <definedName name="cst_wskakunin_20setubi101_SETUBISEKKEI_KOUFU_NO">DATA!$F$585</definedName>
    <definedName name="cst_wskakunin_20setubi102_NAME">DATA!$F$586</definedName>
    <definedName name="cst_wskakunin_20setubi102_SETUBISEKKEI_KOUFU_NO">DATA!$F$587</definedName>
    <definedName name="cst_wskakunin_20setubi103_NAME">DATA!$F$588</definedName>
    <definedName name="cst_wskakunin_20setubi103_SETUBISEKKEI_KOUFU_NO">DATA!$F$589</definedName>
    <definedName name="cst_wskakunin_20setubi104_NAME">DATA!$F$590</definedName>
    <definedName name="cst_wskakunin_20setubi104_SETUBISEKKEI_KOUFU_NO">DATA!$F$591</definedName>
    <definedName name="cst_wskakunin_20setubi105_NAME">DATA!$F$592</definedName>
    <definedName name="cst_wskakunin_20setubi105_SETUBISEKKEI_KOUFU_NO">DATA!$F$593</definedName>
    <definedName name="cst_wskakunin_20setubi301_NAME">DATA!$F$596</definedName>
    <definedName name="cst_wskakunin_20setubi301_SETUBISEKKEI_KOUFU_NO">DATA!$F$597</definedName>
    <definedName name="cst_wskakunin_20setubi302_NAME">DATA!$F$598</definedName>
    <definedName name="cst_wskakunin_20setubi302_SETUBISEKKEI_KOUFU_NO">DATA!$F$599</definedName>
    <definedName name="cst_wskakunin_20setubi303_NAME">DATA!$F$600</definedName>
    <definedName name="cst_wskakunin_20setubi303_SETUBISEKKEI_KOUFU_NO">DATA!$F$601</definedName>
    <definedName name="cst_wskakunin_20setubi304_NAME">DATA!$F$602</definedName>
    <definedName name="cst_wskakunin_20setubi304_SETUBISEKKEI_KOUFU_NO">DATA!$F$603</definedName>
    <definedName name="cst_wskakunin_20setubi305_NAME">DATA!$F$604</definedName>
    <definedName name="cst_wskakunin_20setubi305_SETUBISEKKEI_KOUFU_NO">DATA!$F$605</definedName>
    <definedName name="cst_wskakunin_APPLICANT_NAME">DATA!$F$78</definedName>
    <definedName name="cst_wskakunin_BOUKA_22JYO">DATA!$F$1001</definedName>
    <definedName name="cst_wskakunin_BOUKA_BOUKA">DATA!$F$998</definedName>
    <definedName name="cst_wskakunin_BOUKA_JYUN_BOUKA">DATA!$F$999</definedName>
    <definedName name="cst_wskakunin_BOUKA_NASI">DATA!$F$1000</definedName>
    <definedName name="cst_wskakunin_BOUKA_SETUBI_FLAG">DATA!$F$1271</definedName>
    <definedName name="cst_wskakunin_BOUKA_SETUBI_FLAG_box_off">DATA!$F$1273</definedName>
    <definedName name="cst_wskakunin_BOUKA_SETUBI_FLAG_box_on">DATA!$F$1272</definedName>
    <definedName name="cst_wskakunin_BUILD__address">DATA!$F$977</definedName>
    <definedName name="cst_wskakunin_BUILD_ADDRESS">DATA!$F$979</definedName>
    <definedName name="cst_wskakunin_BUILD_JYUKYO__address">DATA!$F$982</definedName>
    <definedName name="cst_wskakunin_BUILD_JYUKYO_ADDRESS">DATA!$F$984</definedName>
    <definedName name="cst_wskakunin_BUILD_JYUKYO_KEN__ken">DATA!$F$983</definedName>
    <definedName name="cst_wskakunin_BUILD_KEN__ken">DATA!$F$978</definedName>
    <definedName name="cst_wskakunin_BUILD_NAME">DATA!$F$909</definedName>
    <definedName name="cst_wskakunin_BUILD_NAME_KANA">DATA!$F$910</definedName>
    <definedName name="cst_wskakunin_BUILD_SHINSEI_COUNT">DATA!$F$1176</definedName>
    <definedName name="cst_wskakunin_BUILD_SONOTA_COUNT">DATA!$F$1177</definedName>
    <definedName name="cst_wskakunin_dairi1__address">DATA!$F$222</definedName>
    <definedName name="cst_wskakunin_dairi1__sikaku">DATA!$F$208</definedName>
    <definedName name="cst_wskakunin_dairi1__space">DATA!$F$225</definedName>
    <definedName name="cst_wskakunin_dairi1__space2">DATA!$F$226</definedName>
    <definedName name="cst_wskakunin_dairi1__space3">DATA!$F$214</definedName>
    <definedName name="cst_wskakunin_dairi1__space5">DATA!$F$227</definedName>
    <definedName name="cst_wskakunin_dairi1_FAX">DATA!$F$224</definedName>
    <definedName name="cst_wskakunin_dairi1_JIMU__sikaku">DATA!$F$216</definedName>
    <definedName name="cst_wskakunin_dairi1_JIMU_NAME">DATA!$F$220</definedName>
    <definedName name="cst_wskakunin_dairi1_JIMU_NO">DATA!$F$219</definedName>
    <definedName name="cst_wskakunin_dairi1_JIMU_SIKAKU">DATA!$F$217</definedName>
    <definedName name="cst_wskakunin_dairi1_JIMU_TOUROKU_KIKAN">DATA!$F$218</definedName>
    <definedName name="cst_wskakunin_dairi1_KENTIKUSI_NO">DATA!$F$211</definedName>
    <definedName name="cst_wskakunin_dairi1_NAME">DATA!$F$213</definedName>
    <definedName name="cst_wskakunin_dairi1_NAME_KANA">DATA!$F$215</definedName>
    <definedName name="cst_wskakunin_dairi1_SIKAKU">DATA!$F$209</definedName>
    <definedName name="cst_wskakunin_dairi1_TEL">DATA!$F$223</definedName>
    <definedName name="cst_wskakunin_dairi1_TOUROKU_KIKAN">DATA!$F$210</definedName>
    <definedName name="cst_wskakunin_dairi1_ZIP">DATA!$F$221</definedName>
    <definedName name="cst_wskakunin_dairi2__address">DATA!$F$241</definedName>
    <definedName name="cst_wskakunin_dairi2__sikaku">DATA!$F$229</definedName>
    <definedName name="cst_wskakunin_dairi2__space">DATA!$F$244</definedName>
    <definedName name="cst_wskakunin_dairi2_FAX">DATA!$F$243</definedName>
    <definedName name="cst_wskakunin_dairi2_JIMU__sikaku">DATA!$F$235</definedName>
    <definedName name="cst_wskakunin_dairi2_JIMU_NAME">DATA!$F$239</definedName>
    <definedName name="cst_wskakunin_dairi2_JIMU_NO">DATA!$F$238</definedName>
    <definedName name="cst_wskakunin_dairi2_JIMU_SIKAKU">DATA!$F$236</definedName>
    <definedName name="cst_wskakunin_dairi2_JIMU_TOUROKU_KIKAN">DATA!$F$237</definedName>
    <definedName name="cst_wskakunin_dairi2_KENTIKUSI_NO">DATA!$F$232</definedName>
    <definedName name="cst_wskakunin_dairi2_NAME">DATA!$F$233</definedName>
    <definedName name="cst_wskakunin_dairi2_NAME_KANA">DATA!$F$234</definedName>
    <definedName name="cst_wskakunin_dairi2_SIKAKU">DATA!$F$230</definedName>
    <definedName name="cst_wskakunin_dairi2_TEL">DATA!$F$242</definedName>
    <definedName name="cst_wskakunin_dairi2_TOUROKU_KIKAN">DATA!$F$231</definedName>
    <definedName name="cst_wskakunin_dairi2_ZIP">DATA!$F$240</definedName>
    <definedName name="cst_wskakunin_dairi3__address">DATA!$F$259</definedName>
    <definedName name="cst_wskakunin_dairi3__sikaku">DATA!$F$247</definedName>
    <definedName name="cst_wskakunin_dairi3__space">DATA!$F$262</definedName>
    <definedName name="cst_wskakunin_dairi3_FAX">DATA!$F$261</definedName>
    <definedName name="cst_wskakunin_dairi3_JIMU__sikaku">DATA!$F$253</definedName>
    <definedName name="cst_wskakunin_dairi3_JIMU_NAME">DATA!$F$257</definedName>
    <definedName name="cst_wskakunin_dairi3_JIMU_NO">DATA!$F$256</definedName>
    <definedName name="cst_wskakunin_dairi3_JIMU_SIKAKU">DATA!$F$254</definedName>
    <definedName name="cst_wskakunin_dairi3_JIMU_TOUROKU_KIKAN">DATA!$F$255</definedName>
    <definedName name="cst_wskakunin_dairi3_KENTIKUSI_NO">DATA!$F$250</definedName>
    <definedName name="cst_wskakunin_dairi3_NAME">DATA!$F$251</definedName>
    <definedName name="cst_wskakunin_dairi3_NAME_KANA">DATA!$F$252</definedName>
    <definedName name="cst_wskakunin_dairi3_SIKAKU">DATA!$F$248</definedName>
    <definedName name="cst_wskakunin_dairi3_TEL">DATA!$F$260</definedName>
    <definedName name="cst_wskakunin_dairi3_TOUROKU_KIKAN">DATA!$F$249</definedName>
    <definedName name="cst_wskakunin_dairi3_ZIP">DATA!$F$258</definedName>
    <definedName name="cst_wskakunin_dairi4__address">DATA!$F$277</definedName>
    <definedName name="cst_wskakunin_dairi4__sikaku">DATA!$F$265</definedName>
    <definedName name="cst_wskakunin_dairi4__space">DATA!$F$280</definedName>
    <definedName name="cst_wskakunin_dairi4_FAX">DATA!$F$279</definedName>
    <definedName name="cst_wskakunin_dairi4_JIMU__sikaku">DATA!$F$271</definedName>
    <definedName name="cst_wskakunin_dairi4_JIMU_NAME">DATA!$F$275</definedName>
    <definedName name="cst_wskakunin_dairi4_JIMU_NO">DATA!$F$274</definedName>
    <definedName name="cst_wskakunin_dairi4_JIMU_SIKAKU">DATA!$F$272</definedName>
    <definedName name="cst_wskakunin_dairi4_JIMU_TOUROKU_KIKAN">DATA!$F$273</definedName>
    <definedName name="cst_wskakunin_dairi4_KENTIKUSI_NO">DATA!$F$268</definedName>
    <definedName name="cst_wskakunin_dairi4_NAME">DATA!$F$269</definedName>
    <definedName name="cst_wskakunin_dairi4_NAME_KANA">DATA!$F$270</definedName>
    <definedName name="cst_wskakunin_dairi4_SIKAKU">DATA!$F$266</definedName>
    <definedName name="cst_wskakunin_dairi4_TEL">DATA!$F$278</definedName>
    <definedName name="cst_wskakunin_dairi4_TOUROKU_KIKAN">DATA!$F$267</definedName>
    <definedName name="cst_wskakunin_dairi4_ZIP">DATA!$F$276</definedName>
    <definedName name="cst_wskakunin_dairi5__address">DATA!$F$295</definedName>
    <definedName name="cst_wskakunin_dairi5__sikaku">DATA!$F$283</definedName>
    <definedName name="cst_wskakunin_dairi5__space">DATA!$F$298</definedName>
    <definedName name="cst_wskakunin_dairi5_FAX">DATA!$F$297</definedName>
    <definedName name="cst_wskakunin_dairi5_JIMU__sikaku">DATA!$F$289</definedName>
    <definedName name="cst_wskakunin_dairi5_JIMU_NAME">DATA!$F$293</definedName>
    <definedName name="cst_wskakunin_dairi5_JIMU_NO">DATA!$F$292</definedName>
    <definedName name="cst_wskakunin_dairi5_JIMU_SIKAKU">DATA!$F$290</definedName>
    <definedName name="cst_wskakunin_dairi5_JIMU_TOUROKU_KIKAN">DATA!$F$291</definedName>
    <definedName name="cst_wskakunin_dairi5_KENTIKUSI_NO">DATA!$F$286</definedName>
    <definedName name="cst_wskakunin_dairi5_NAME">DATA!$F$287</definedName>
    <definedName name="cst_wskakunin_dairi5_NAME_KANA">DATA!$F$288</definedName>
    <definedName name="cst_wskakunin_dairi5_SIKAKU">DATA!$F$284</definedName>
    <definedName name="cst_wskakunin_dairi5_TEL">DATA!$F$296</definedName>
    <definedName name="cst_wskakunin_dairi5_TOUROKU_KIKAN">DATA!$F$285</definedName>
    <definedName name="cst_wskakunin_dairi5_ZIP">DATA!$F$294</definedName>
    <definedName name="cst_wskakunin_dairi6__address">DATA!$F$313</definedName>
    <definedName name="cst_wskakunin_dairi6__sikaku">DATA!$F$301</definedName>
    <definedName name="cst_wskakunin_dairi6__space">DATA!$F$316</definedName>
    <definedName name="cst_wskakunin_dairi6_FAX">DATA!$F$315</definedName>
    <definedName name="cst_wskakunin_dairi6_JIMU__sikaku">DATA!$F$307</definedName>
    <definedName name="cst_wskakunin_dairi6_JIMU_NAME">DATA!$F$311</definedName>
    <definedName name="cst_wskakunin_dairi6_JIMU_NO">DATA!$F$310</definedName>
    <definedName name="cst_wskakunin_dairi6_JIMU_SIKAKU">DATA!$F$308</definedName>
    <definedName name="cst_wskakunin_dairi6_JIMU_TOUROKU_KIKAN">DATA!$F$309</definedName>
    <definedName name="cst_wskakunin_dairi6_KENTIKUSI_NO">DATA!$F$304</definedName>
    <definedName name="cst_wskakunin_dairi6_NAME">DATA!$F$305</definedName>
    <definedName name="cst_wskakunin_dairi6_NAME_KANA">DATA!$F$306</definedName>
    <definedName name="cst_wskakunin_dairi6_SIKAKU">DATA!$F$302</definedName>
    <definedName name="cst_wskakunin_dairi6_TEL">DATA!$F$314</definedName>
    <definedName name="cst_wskakunin_dairi6_TOUROKU_KIKAN">DATA!$F$303</definedName>
    <definedName name="cst_wskakunin_dairi6_ZIP">DATA!$F$312</definedName>
    <definedName name="cst_wskakunin_dairi7__address">DATA!$F$331</definedName>
    <definedName name="cst_wskakunin_dairi7__sikaku">DATA!$F$319</definedName>
    <definedName name="cst_wskakunin_dairi7__space">DATA!$F$334</definedName>
    <definedName name="cst_wskakunin_dairi7_FAX">DATA!$F$333</definedName>
    <definedName name="cst_wskakunin_dairi7_JIMU__sikaku">DATA!$F$325</definedName>
    <definedName name="cst_wskakunin_dairi7_JIMU_NAME">DATA!$F$329</definedName>
    <definedName name="cst_wskakunin_dairi7_JIMU_NO">DATA!$F$328</definedName>
    <definedName name="cst_wskakunin_dairi7_JIMU_SIKAKU">DATA!$F$326</definedName>
    <definedName name="cst_wskakunin_dairi7_JIMU_TOUROKU_KIKAN">DATA!$F$327</definedName>
    <definedName name="cst_wskakunin_dairi7_KENTIKUSI_NO">DATA!$F$322</definedName>
    <definedName name="cst_wskakunin_dairi7_NAME">DATA!$F$323</definedName>
    <definedName name="cst_wskakunin_dairi7_NAME_KANA">DATA!$F$324</definedName>
    <definedName name="cst_wskakunin_dairi7_SIKAKU">DATA!$F$320</definedName>
    <definedName name="cst_wskakunin_dairi7_TEL">DATA!$F$332</definedName>
    <definedName name="cst_wskakunin_dairi7_TOUROKU_KIKAN">DATA!$F$321</definedName>
    <definedName name="cst_wskakunin_dairi7_ZIP">DATA!$F$330</definedName>
    <definedName name="cst_wskakunin_dairi8__address">DATA!$F$349</definedName>
    <definedName name="cst_wskakunin_dairi8__sikaku">DATA!$F$337</definedName>
    <definedName name="cst_wskakunin_dairi8__space">DATA!$F$352</definedName>
    <definedName name="cst_wskakunin_dairi8_FAX">DATA!$F$351</definedName>
    <definedName name="cst_wskakunin_dairi8_JIMU__sikaku">DATA!$F$343</definedName>
    <definedName name="cst_wskakunin_dairi8_JIMU_NAME">DATA!$F$347</definedName>
    <definedName name="cst_wskakunin_dairi8_JIMU_NO">DATA!$F$346</definedName>
    <definedName name="cst_wskakunin_dairi8_JIMU_SIKAKU">DATA!$F$344</definedName>
    <definedName name="cst_wskakunin_dairi8_JIMU_TOUROKU_KIKAN">DATA!$F$345</definedName>
    <definedName name="cst_wskakunin_dairi8_KENTIKUSI_NO">DATA!$F$340</definedName>
    <definedName name="cst_wskakunin_dairi8_NAME">DATA!$F$341</definedName>
    <definedName name="cst_wskakunin_dairi8_NAME_KANA">DATA!$F$342</definedName>
    <definedName name="cst_wskakunin_dairi8_SIKAKU">DATA!$F$338</definedName>
    <definedName name="cst_wskakunin_dairi8_TEL">DATA!$F$350</definedName>
    <definedName name="cst_wskakunin_dairi8_TOUROKU_KIKAN">DATA!$F$339</definedName>
    <definedName name="cst_wskakunin_dairi8_ZIP">DATA!$F$348</definedName>
    <definedName name="cst_wskakunin_DOURO_FUKUIN">DATA!$F$1006</definedName>
    <definedName name="cst_wskakunin_DOURO_NAGASA">DATA!$F$1007</definedName>
    <definedName name="cst_wskakunin_ecotekihan01_FUYOU_CAUSE">DATA!$F$939</definedName>
    <definedName name="cst_wskakunin_ecotekihan01_miteisyutu_kikan_info">DATA!$F$938</definedName>
    <definedName name="cst_wskakunin_ecotekihan01_teisyutu_kikan_info">DATA!$F$937</definedName>
    <definedName name="cst_wskakunin_ecotekihan01_TEKIHAN_KIKAN_ADDRESS">DATA!$F$935</definedName>
    <definedName name="cst_wskakunin_ecotekihan01_TEKIHAN_KIKAN_KEN__ken">DATA!$F$934</definedName>
    <definedName name="cst_wskakunin_ecotekihan01_TEKIHAN_KIKAN_NAME">DATA!$F$933</definedName>
    <definedName name="cst_wskakunin_ecotekihan01_TEKIHAN_STATE_miteisyutu">DATA!$F$931</definedName>
    <definedName name="cst_wskakunin_ecotekihan01_TEKIHAN_STATE_teisyutu">DATA!$F$930</definedName>
    <definedName name="cst_wskakunin_ecotekihan01_TEKIHAN_STATE_teisyutufuyou">DATA!$F$932</definedName>
    <definedName name="cst_wskakunin_gaiyou1_EV_KIND">DATA!$F$1080</definedName>
    <definedName name="cst_wskakunin_gaiyou1_KOUJI_KAITIKU">DATA!$F$1067</definedName>
    <definedName name="cst_wskakunin_gaiyou1_KOUJI_SINTIKU">DATA!$F$1065</definedName>
    <definedName name="cst_wskakunin_gaiyou1_KOUJI_SONOTA">DATA!$F$1068</definedName>
    <definedName name="cst_wskakunin_gaiyou1_KOUJI_SONOTA_TEXT">DATA!$F$1069</definedName>
    <definedName name="cst_wskakunin_gaiyou1_KOUJI_ZOUTIKU">DATA!$F$1066</definedName>
    <definedName name="cst_wskakunin_gaiyou1_KOUZOU">DATA!$F$1064</definedName>
    <definedName name="cst_wskakunin_gaiyou1_NINSYOU_NO">DATA!$F$1086</definedName>
    <definedName name="cst_wskakunin_gaiyou1_NO">DATA!$F$1079</definedName>
    <definedName name="cst_wskakunin_gaiyou1_SEKISAI">DATA!$F$1082</definedName>
    <definedName name="cst_wskakunin_gaiyou1_SONOTA">DATA!$F$1085</definedName>
    <definedName name="cst_wskakunin_gaiyou1_SONOTA_and_NINSYOU_NO">DATA!$F$1087</definedName>
    <definedName name="cst_wskakunin_gaiyou1_SPEED">DATA!$F$1084</definedName>
    <definedName name="cst_wskakunin_gaiyou1_TAKASA">DATA!$F$1063</definedName>
    <definedName name="cst_wskakunin_gaiyou1_TEIIN">DATA!$F$1083</definedName>
    <definedName name="cst_wskakunin_gaiyou1_TIKUZOU_MENSEKI_IGAI">DATA!$F$1072</definedName>
    <definedName name="cst_wskakunin_gaiyou1_TIKUZOU_MENSEKI_SHINSEI">DATA!$F$1071</definedName>
    <definedName name="cst_wskakunin_gaiyou1_TIKUZOU_MENSEKI_TOTAL">DATA!$F$1073</definedName>
    <definedName name="cst_wskakunin_gaiyou1_WORK_COUNT_IGAI">DATA!$F$1075</definedName>
    <definedName name="cst_wskakunin_gaiyou1_WORK_COUNT_SHINSEI">DATA!$F$1074</definedName>
    <definedName name="cst_wskakunin_gaiyou1_WORK_COUNT_TOTAL">DATA!$F$1076</definedName>
    <definedName name="cst_wskakunin_gaiyou1_WORK_SYURUI">DATA!$F$1062</definedName>
    <definedName name="cst_wskakunin_gaiyou1_WORK_SYURUI_CODE">DATA!$F$1061</definedName>
    <definedName name="cst_wskakunin_gaiyou1_YOUTO">DATA!$F$1081</definedName>
    <definedName name="cst_wskakunin_iken1__address">DATA!$F$612</definedName>
    <definedName name="cst_wskakunin_iken1_DOC">DATA!$F$615</definedName>
    <definedName name="cst_wskakunin_iken1_IKEN_NO">DATA!$F$614</definedName>
    <definedName name="cst_wskakunin_iken1_JIMU_NAME">DATA!$F$610</definedName>
    <definedName name="cst_wskakunin_iken1_NAME">DATA!$F$609</definedName>
    <definedName name="cst_wskakunin_iken1_TEL">DATA!$F$613</definedName>
    <definedName name="cst_wskakunin_iken1_ZIP">DATA!$F$611</definedName>
    <definedName name="cst_wskakunin_iken2__address">DATA!$F$621</definedName>
    <definedName name="cst_wskakunin_iken2_DOC">DATA!$F$624</definedName>
    <definedName name="cst_wskakunin_iken2_IKEN_NO">DATA!$F$623</definedName>
    <definedName name="cst_wskakunin_iken2_JIMU_NAME">DATA!$F$619</definedName>
    <definedName name="cst_wskakunin_iken2_NAME">DATA!$F$618</definedName>
    <definedName name="cst_wskakunin_iken2_TEL">DATA!$F$622</definedName>
    <definedName name="cst_wskakunin_iken2_ZIP">DATA!$F$620</definedName>
    <definedName name="cst_wskakunin_iken3__address">DATA!$F$630</definedName>
    <definedName name="cst_wskakunin_iken3_DOC">DATA!$F$633</definedName>
    <definedName name="cst_wskakunin_iken3_IKEN_NO">DATA!$F$632</definedName>
    <definedName name="cst_wskakunin_iken3_JIMU_NAME">DATA!$F$628</definedName>
    <definedName name="cst_wskakunin_iken3_NAME">DATA!$F$627</definedName>
    <definedName name="cst_wskakunin_iken3_TEL">DATA!$F$631</definedName>
    <definedName name="cst_wskakunin_iken3_ZIP">DATA!$F$629</definedName>
    <definedName name="cst_wskakunin_iken4__address">DATA!$F$639</definedName>
    <definedName name="cst_wskakunin_iken4_DOC">DATA!$F$642</definedName>
    <definedName name="cst_wskakunin_iken4_IKEN_NO">DATA!$F$641</definedName>
    <definedName name="cst_wskakunin_iken4_JIMU_NAME">DATA!$F$637</definedName>
    <definedName name="cst_wskakunin_iken4_NAME">DATA!$F$636</definedName>
    <definedName name="cst_wskakunin_iken4_TEL">DATA!$F$640</definedName>
    <definedName name="cst_wskakunin_iken4_ZIP">DATA!$F$638</definedName>
    <definedName name="cst_wskakunin_iken5__address">DATA!$F$647</definedName>
    <definedName name="cst_wskakunin_iken5_DOC">DATA!$F$650</definedName>
    <definedName name="cst_wskakunin_iken5_IKEN_NO">DATA!$F$649</definedName>
    <definedName name="cst_wskakunin_iken5_JIMU_NAME">DATA!$F$645</definedName>
    <definedName name="cst_wskakunin_iken5_NAME">DATA!$F$644</definedName>
    <definedName name="cst_wskakunin_iken5_TEL">DATA!$F$648</definedName>
    <definedName name="cst_wskakunin_iken5_ZIP">DATA!$F$646</definedName>
    <definedName name="cst_wskakunin_KAISU_TIJYOU_SHINSEI">DATA!$F$1184</definedName>
    <definedName name="cst_wskakunin_KAISU_TIJYOU_SONOTA">DATA!$F$1185</definedName>
    <definedName name="cst_wskakunin_KAISU_TIKA_SHINSEI__zero">DATA!$F$1187</definedName>
    <definedName name="cst_wskakunin_KAISU_TIKA_SONOTA">DATA!$F$1188</definedName>
    <definedName name="cst_wskakunin_kanri1__address">DATA!$F$665</definedName>
    <definedName name="cst_wskakunin_kanri1__sikaku">DATA!$F$653</definedName>
    <definedName name="cst_wskakunin_kanri1_DOC">DATA!$F$667</definedName>
    <definedName name="cst_wskakunin_kanri1_JIMU">DATA!$F$658</definedName>
    <definedName name="cst_wskakunin_kanri1_JIMU_NAME">DATA!$F$662</definedName>
    <definedName name="cst_wskakunin_kanri1_JIMU_NO">DATA!$F$661</definedName>
    <definedName name="cst_wskakunin_kanri1_JIMU_SIKAKU">DATA!$F$659</definedName>
    <definedName name="cst_wskakunin_kanri1_JIMU_TOUROKU_KIKAN">DATA!$F$660</definedName>
    <definedName name="cst_wskakunin_kanri1_KENTIKUSI_NO">DATA!$F$656</definedName>
    <definedName name="cst_wskakunin_kanri1_NAME">DATA!$F$657</definedName>
    <definedName name="cst_wskakunin_kanri1_SIKAKU">DATA!$F$654</definedName>
    <definedName name="cst_wskakunin_kanri1_TEL">DATA!$F$666</definedName>
    <definedName name="cst_wskakunin_kanri1_TOUROKU_KIKAN">DATA!$F$655</definedName>
    <definedName name="cst_wskakunin_kanri1_ZIP">DATA!$F$663</definedName>
    <definedName name="cst_wskakunin_kanri1_ZIP2">DATA!$F$664</definedName>
    <definedName name="cst_wskakunin_kanri10__address">DATA!$F$809</definedName>
    <definedName name="cst_wskakunin_kanri10__sikaku">DATA!$F$798</definedName>
    <definedName name="cst_wskakunin_kanri10_DOC">DATA!$F$811</definedName>
    <definedName name="cst_wskakunin_kanri10_JIMU__sikaku">DATA!$F$803</definedName>
    <definedName name="cst_wskakunin_kanri10_JIMU_NAME">DATA!$F$807</definedName>
    <definedName name="cst_wskakunin_kanri10_JIMU_NO">DATA!$F$806</definedName>
    <definedName name="cst_wskakunin_kanri10_JIMU_SIKAKU">DATA!$F$804</definedName>
    <definedName name="cst_wskakunin_kanri10_JIMU_TOUROKU_KIKAN">DATA!$F$805</definedName>
    <definedName name="cst_wskakunin_kanri10_KENTIKUSI_NO">DATA!$F$801</definedName>
    <definedName name="cst_wskakunin_kanri10_NAME">DATA!$F$802</definedName>
    <definedName name="cst_wskakunin_kanri10_SIKAKU">DATA!$F$799</definedName>
    <definedName name="cst_wskakunin_kanri10_TEL">DATA!$F$810</definedName>
    <definedName name="cst_wskakunin_kanri10_TOUROKU_KIKAN">DATA!$F$800</definedName>
    <definedName name="cst_wskakunin_kanri10_ZIP">DATA!$F$808</definedName>
    <definedName name="cst_wskakunin_kanri11__address">DATA!$F$825</definedName>
    <definedName name="cst_wskakunin_kanri11__sikaku">DATA!$F$814</definedName>
    <definedName name="cst_wskakunin_kanri11_DOC">DATA!$F$827</definedName>
    <definedName name="cst_wskakunin_kanri11_JIMU__sikaku">DATA!$F$819</definedName>
    <definedName name="cst_wskakunin_kanri11_JIMU_NAME">DATA!$F$823</definedName>
    <definedName name="cst_wskakunin_kanri11_JIMU_NO">DATA!$F$822</definedName>
    <definedName name="cst_wskakunin_kanri11_JIMU_SIKAKU">DATA!$F$820</definedName>
    <definedName name="cst_wskakunin_kanri11_JIMU_TOUROKU_KIKAN">DATA!$F$821</definedName>
    <definedName name="cst_wskakunin_kanri11_KENTIKUSI_NO">DATA!$F$817</definedName>
    <definedName name="cst_wskakunin_kanri11_NAME">DATA!$F$818</definedName>
    <definedName name="cst_wskakunin_kanri11_SIKAKU">DATA!$F$815</definedName>
    <definedName name="cst_wskakunin_kanri11_TEL">DATA!$F$826</definedName>
    <definedName name="cst_wskakunin_kanri11_TOUROKU_KIKAN">DATA!$F$816</definedName>
    <definedName name="cst_wskakunin_kanri11_ZIP">DATA!$F$824</definedName>
    <definedName name="cst_wskakunin_kanri12__address">DATA!$F$841</definedName>
    <definedName name="cst_wskakunin_kanri12__sikaku">DATA!$F$830</definedName>
    <definedName name="cst_wskakunin_kanri12_DOC">DATA!$F$843</definedName>
    <definedName name="cst_wskakunin_kanri12_JIMU__sikaku">DATA!$F$835</definedName>
    <definedName name="cst_wskakunin_kanri12_JIMU_NAME">DATA!$F$839</definedName>
    <definedName name="cst_wskakunin_kanri12_JIMU_NO">DATA!$F$838</definedName>
    <definedName name="cst_wskakunin_kanri12_JIMU_SIKAKU">DATA!$F$836</definedName>
    <definedName name="cst_wskakunin_kanri12_JIMU_TOUROKU_KIKAN">DATA!$F$837</definedName>
    <definedName name="cst_wskakunin_kanri12_KENTIKUSI_NO">DATA!$F$833</definedName>
    <definedName name="cst_wskakunin_kanri12_NAME">DATA!$F$834</definedName>
    <definedName name="cst_wskakunin_kanri12_SIKAKU">DATA!$F$831</definedName>
    <definedName name="cst_wskakunin_kanri12_TEL">DATA!$F$842</definedName>
    <definedName name="cst_wskakunin_kanri12_TOUROKU_KIKAN">DATA!$F$832</definedName>
    <definedName name="cst_wskakunin_kanri12_ZIP">DATA!$F$840</definedName>
    <definedName name="cst_wskakunin_kanri2__address">DATA!$F$681</definedName>
    <definedName name="cst_wskakunin_kanri2__sikaku">DATA!$F$670</definedName>
    <definedName name="cst_wskakunin_kanri2_DOC">DATA!$F$683</definedName>
    <definedName name="cst_wskakunin_kanri2_JIMU">DATA!$F$675</definedName>
    <definedName name="cst_wskakunin_kanri2_JIMU_NAME">DATA!$F$679</definedName>
    <definedName name="cst_wskakunin_kanri2_JIMU_NO">DATA!$F$678</definedName>
    <definedName name="cst_wskakunin_kanri2_JIMU_SIKAKU">DATA!$F$676</definedName>
    <definedName name="cst_wskakunin_kanri2_JIMU_TOUROKU_KIKAN">DATA!$F$677</definedName>
    <definedName name="cst_wskakunin_kanri2_KENTIKUSI_NO">DATA!$F$673</definedName>
    <definedName name="cst_wskakunin_kanri2_NAME">DATA!$F$674</definedName>
    <definedName name="cst_wskakunin_kanri2_SIKAKU">DATA!$F$671</definedName>
    <definedName name="cst_wskakunin_kanri2_TEL">DATA!$F$682</definedName>
    <definedName name="cst_wskakunin_kanri2_TOUROKU_KIKAN">DATA!$F$672</definedName>
    <definedName name="cst_wskakunin_kanri2_ZIP">DATA!$F$680</definedName>
    <definedName name="cst_wskakunin_kanri3__address">DATA!$F$697</definedName>
    <definedName name="cst_wskakunin_kanri3__sikaku">DATA!$F$686</definedName>
    <definedName name="cst_wskakunin_kanri3_DOC">DATA!$F$699</definedName>
    <definedName name="cst_wskakunin_kanri3_JIMU__sikaku">DATA!$F$691</definedName>
    <definedName name="cst_wskakunin_kanri3_JIMU_NAME">DATA!$F$695</definedName>
    <definedName name="cst_wskakunin_kanri3_JIMU_NO">DATA!$F$694</definedName>
    <definedName name="cst_wskakunin_kanri3_JIMU_SIKAKU">DATA!$F$692</definedName>
    <definedName name="cst_wskakunin_kanri3_JIMU_TOUROKU_KIKAN">DATA!$F$693</definedName>
    <definedName name="cst_wskakunin_kanri3_KENTIKUSI_NO">DATA!$F$689</definedName>
    <definedName name="cst_wskakunin_kanri3_NAME">DATA!$F$690</definedName>
    <definedName name="cst_wskakunin_kanri3_SIKAKU">DATA!$F$687</definedName>
    <definedName name="cst_wskakunin_kanri3_TEL">DATA!$F$698</definedName>
    <definedName name="cst_wskakunin_kanri3_TOUROKU_KIKAN">DATA!$F$688</definedName>
    <definedName name="cst_wskakunin_kanri3_ZIP">DATA!$F$696</definedName>
    <definedName name="cst_wskakunin_kanri4__address">DATA!$F$713</definedName>
    <definedName name="cst_wskakunin_kanri4__sikaku">DATA!$F$702</definedName>
    <definedName name="cst_wskakunin_kanri4_DOC">DATA!$F$715</definedName>
    <definedName name="cst_wskakunin_kanri4_JIMU__sikaku">DATA!$F$707</definedName>
    <definedName name="cst_wskakunin_kanri4_JIMU_NAME">DATA!$F$711</definedName>
    <definedName name="cst_wskakunin_kanri4_JIMU_NO">DATA!$F$710</definedName>
    <definedName name="cst_wskakunin_kanri4_JIMU_SIKAKU">DATA!$F$708</definedName>
    <definedName name="cst_wskakunin_kanri4_JIMU_TOUROKU_KIKAN">DATA!$F$709</definedName>
    <definedName name="cst_wskakunin_kanri4_KENTIKUSI_NO">DATA!$F$705</definedName>
    <definedName name="cst_wskakunin_kanri4_NAME">DATA!$F$706</definedName>
    <definedName name="cst_wskakunin_kanri4_SIKAKU">DATA!$F$703</definedName>
    <definedName name="cst_wskakunin_kanri4_TEL">DATA!$F$714</definedName>
    <definedName name="cst_wskakunin_kanri4_TOUROKU_KIKAN">DATA!$F$704</definedName>
    <definedName name="cst_wskakunin_kanri4_ZIP">DATA!$F$712</definedName>
    <definedName name="cst_wskakunin_kanri5__address">DATA!$F$729</definedName>
    <definedName name="cst_wskakunin_kanri5__sikaku">DATA!$F$718</definedName>
    <definedName name="cst_wskakunin_kanri5_DOC">DATA!$F$731</definedName>
    <definedName name="cst_wskakunin_kanri5_JIMU__sikaku">DATA!$F$723</definedName>
    <definedName name="cst_wskakunin_kanri5_JIMU_NAME">DATA!$F$727</definedName>
    <definedName name="cst_wskakunin_kanri5_JIMU_NO">DATA!$F$726</definedName>
    <definedName name="cst_wskakunin_kanri5_JIMU_SIKAKU">DATA!$F$724</definedName>
    <definedName name="cst_wskakunin_kanri5_JIMU_TOUROKU_KIKAN">DATA!$F$725</definedName>
    <definedName name="cst_wskakunin_kanri5_KENTIKUSI_NO">DATA!$F$721</definedName>
    <definedName name="cst_wskakunin_kanri5_NAME">DATA!$F$722</definedName>
    <definedName name="cst_wskakunin_kanri5_SIKAKU">DATA!$F$719</definedName>
    <definedName name="cst_wskakunin_kanri5_TEL">DATA!$F$730</definedName>
    <definedName name="cst_wskakunin_kanri5_TOUROKU_KIKAN">DATA!$F$720</definedName>
    <definedName name="cst_wskakunin_kanri5_ZIP">DATA!$F$728</definedName>
    <definedName name="cst_wskakunin_kanri6__address">DATA!$F$745</definedName>
    <definedName name="cst_wskakunin_kanri6__sikaku">DATA!$F$734</definedName>
    <definedName name="cst_wskakunin_kanri6_DOC">DATA!$F$747</definedName>
    <definedName name="cst_wskakunin_kanri6_JIMU__sikaku">DATA!$F$739</definedName>
    <definedName name="cst_wskakunin_kanri6_JIMU_NAME">DATA!$F$743</definedName>
    <definedName name="cst_wskakunin_kanri6_JIMU_NO">DATA!$F$742</definedName>
    <definedName name="cst_wskakunin_kanri6_JIMU_SIKAKU">DATA!$F$740</definedName>
    <definedName name="cst_wskakunin_kanri6_JIMU_TOUROKU_KIKAN">DATA!$F$741</definedName>
    <definedName name="cst_wskakunin_kanri6_KENTIKUSI_NO">DATA!$F$737</definedName>
    <definedName name="cst_wskakunin_kanri6_NAME">DATA!$F$738</definedName>
    <definedName name="cst_wskakunin_kanri6_SIKAKU">DATA!$F$735</definedName>
    <definedName name="cst_wskakunin_kanri6_TEL">DATA!$F$746</definedName>
    <definedName name="cst_wskakunin_kanri6_TOUROKU_KIKAN">DATA!$F$736</definedName>
    <definedName name="cst_wskakunin_kanri6_ZIP">DATA!$F$744</definedName>
    <definedName name="cst_wskakunin_kanri7__address">DATA!$F$761</definedName>
    <definedName name="cst_wskakunin_kanri7__sikaku">DATA!$F$750</definedName>
    <definedName name="cst_wskakunin_kanri7_DOC">DATA!$F$763</definedName>
    <definedName name="cst_wskakunin_kanri7_JIMU__sikaku">DATA!$F$755</definedName>
    <definedName name="cst_wskakunin_kanri7_JIMU_NAME">DATA!$F$759</definedName>
    <definedName name="cst_wskakunin_kanri7_JIMU_NO">DATA!$F$758</definedName>
    <definedName name="cst_wskakunin_kanri7_JIMU_SIKAKU">DATA!$F$756</definedName>
    <definedName name="cst_wskakunin_kanri7_JIMU_TOUROKU_KIKAN">DATA!$F$757</definedName>
    <definedName name="cst_wskakunin_kanri7_KENTIKUSI_NO">DATA!$F$753</definedName>
    <definedName name="cst_wskakunin_kanri7_NAME">DATA!$F$754</definedName>
    <definedName name="cst_wskakunin_kanri7_SIKAKU">DATA!$F$751</definedName>
    <definedName name="cst_wskakunin_kanri7_TEL">DATA!$F$762</definedName>
    <definedName name="cst_wskakunin_kanri7_TOUROKU_KIKAN">DATA!$F$752</definedName>
    <definedName name="cst_wskakunin_kanri7_ZIP">DATA!$F$760</definedName>
    <definedName name="cst_wskakunin_kanri8__address">DATA!$F$777</definedName>
    <definedName name="cst_wskakunin_kanri8__sikaku">DATA!$F$766</definedName>
    <definedName name="cst_wskakunin_kanri8_DOC">DATA!$F$779</definedName>
    <definedName name="cst_wskakunin_kanri8_JIMU__sikaku">DATA!$F$771</definedName>
    <definedName name="cst_wskakunin_kanri8_JIMU_NAME">DATA!$F$775</definedName>
    <definedName name="cst_wskakunin_kanri8_JIMU_NO">DATA!$F$774</definedName>
    <definedName name="cst_wskakunin_kanri8_JIMU_SIKAKU">DATA!$F$772</definedName>
    <definedName name="cst_wskakunin_kanri8_JIMU_TOUROKU_KIKAN">DATA!$F$773</definedName>
    <definedName name="cst_wskakunin_kanri8_KENTIKUSI_NO">DATA!$F$769</definedName>
    <definedName name="cst_wskakunin_kanri8_NAME">DATA!$F$770</definedName>
    <definedName name="cst_wskakunin_kanri8_SIKAKU">DATA!$F$767</definedName>
    <definedName name="cst_wskakunin_kanri8_TEL">DATA!$F$778</definedName>
    <definedName name="cst_wskakunin_kanri8_TOUROKU_KIKAN">DATA!$F$768</definedName>
    <definedName name="cst_wskakunin_kanri8_ZIP">DATA!$F$776</definedName>
    <definedName name="cst_wskakunin_kanri9__address">DATA!$F$793</definedName>
    <definedName name="cst_wskakunin_kanri9__sikaku">DATA!$F$782</definedName>
    <definedName name="cst_wskakunin_kanri9_DOC">DATA!$F$795</definedName>
    <definedName name="cst_wskakunin_kanri9_JIMU__sikaku">DATA!$F$787</definedName>
    <definedName name="cst_wskakunin_kanri9_JIMU_NAME">DATA!$F$791</definedName>
    <definedName name="cst_wskakunin_kanri9_JIMU_NO">DATA!$F$790</definedName>
    <definedName name="cst_wskakunin_kanri9_JIMU_SIKAKU">DATA!$F$788</definedName>
    <definedName name="cst_wskakunin_kanri9_JIMU_TOUROKU_KIKAN">DATA!$F$789</definedName>
    <definedName name="cst_wskakunin_kanri9_KENTIKUSI_NO">DATA!$F$785</definedName>
    <definedName name="cst_wskakunin_kanri9_NAME">DATA!$F$786</definedName>
    <definedName name="cst_wskakunin_kanri9_SIKAKU">DATA!$F$783</definedName>
    <definedName name="cst_wskakunin_kanri9_TEL">DATA!$F$794</definedName>
    <definedName name="cst_wskakunin_kanri9_TOUROKU_KIKAN">DATA!$F$784</definedName>
    <definedName name="cst_wskakunin_kanri9_ZIP">DATA!$F$792</definedName>
    <definedName name="cst_wskakunin_keibi_henkou01_HENKOU_GAIYOU">DATA!$F$1394</definedName>
    <definedName name="cst_wskakunin_keibi_henkou01_HENKOU_SYURUI">DATA!$F$1393</definedName>
    <definedName name="cst_wskakunin_KENPEI_RITU">DATA!$F$1096</definedName>
    <definedName name="cst_wskakunin_KENPEI_RITU_A">DATA!$F$1031</definedName>
    <definedName name="cst_wskakunin_KENPEI_RITU_B">DATA!$F$1032</definedName>
    <definedName name="cst_wskakunin_KENPEI_RITU_C">DATA!$F$1033</definedName>
    <definedName name="cst_wskakunin_KENPEI_RITU_D">DATA!$F$1034</definedName>
    <definedName name="cst_wskakunin_KENSA_YUKA_MENSEKI_select">DATA!$F$1302</definedName>
    <definedName name="cst_wskakunin_KENTIKU_MENSEKI_IGAI">DATA!$F$1094</definedName>
    <definedName name="cst_wskakunin_KENTIKU_MENSEKI_SHINSEI">DATA!$F$1093</definedName>
    <definedName name="cst_wskakunin_KENTIKU_MENSEKI_TOTAL">DATA!$F$1095</definedName>
    <definedName name="cst_wskakunin_KENTIKU_MENSEKI_ZENTAI_IGAI">DATA!$F$1091</definedName>
    <definedName name="cst_wskakunin_KENTIKU_MENSEKI_ZENTAI_SHINSEI">DATA!$F$1090</definedName>
    <definedName name="cst_wskakunin_KENTIKU_MENSEKI_ZENTAI_TOTAL">DATA!$F$1092</definedName>
    <definedName name="cst_wskakunin_KENTIKU_NINSYO_NO">DATA!$F$1290</definedName>
    <definedName name="cst_wskakunin_KIKAN_NAME">DATA!$F$59</definedName>
    <definedName name="cst_wskakunin_KITEI_CHOUSA_FLAG">DATA!$F$1266</definedName>
    <definedName name="cst_wskakunin_KITEI_CHOUSA_FLAG_box_off">DATA!$F$1268</definedName>
    <definedName name="cst_wskakunin_KITEI_CHOUSA_FLAG_box_on">DATA!$F$1267</definedName>
    <definedName name="cst_wskakunin_KOUJI_DAI_MOYOUGAE_box">DATA!$F$1056</definedName>
    <definedName name="cst_wskakunin_KOUJI_DAI_SYUUZEN_box">DATA!$F$1055</definedName>
    <definedName name="cst_wskakunin_KOUJI_ITEN_box">DATA!$F$1053</definedName>
    <definedName name="cst_wskakunin_KOUJI_KAITIKU_box">DATA!$F$1052</definedName>
    <definedName name="cst_wskakunin_KOUJI_KANRYOU_DATE_select">DATA!$F$1397</definedName>
    <definedName name="cst_wskakunin_KOUJI_KANRYOU_YOTEI_DATE">DATA!$F$1234</definedName>
    <definedName name="cst_wskakunin_KOUJI_KANRYOU_YOTEI_DATE_select">DATA!$F$1295</definedName>
    <definedName name="cst_wskakunin_KOUJI_SETUBI_box">DATA!$F$1057</definedName>
    <definedName name="cst_wskakunin_KOUJI_SINTIKU_box">DATA!$F$1050</definedName>
    <definedName name="cst_wskakunin_KOUJI_TYAKUSYU_DATE_select">DATA!$F$1292</definedName>
    <definedName name="cst_wskakunin_KOUJI_TYAKUSYU_YOTEI_DATE">DATA!$F$1232</definedName>
    <definedName name="cst_wskakunin_KOUJI_YOUTOHENKOU_box">DATA!$F$1054</definedName>
    <definedName name="cst_wskakunin_KOUJI_zoukaitiku_box">DATA!$F$1058</definedName>
    <definedName name="cst_wskakunin_KOUJI_ZOUTIKU_box">DATA!$F$1051</definedName>
    <definedName name="cst_wskakunin_koutei_ikou01_KOUTEI_DATE">DATA!$F$1365</definedName>
    <definedName name="cst_wskakunin_koutei_ikou01_KOUTEI_DATE_inter1">DATA!$F$1375</definedName>
    <definedName name="cst_wskakunin_koutei_ikou01_KOUTEI_DATE_inter2">DATA!$F$1380</definedName>
    <definedName name="cst_wskakunin_koutei_ikou01_KOUTEI_KAISUU">DATA!$F$1363</definedName>
    <definedName name="cst_wskakunin_koutei_ikou01_KOUTEI_KAISUU_inter1">DATA!$F$1373</definedName>
    <definedName name="cst_wskakunin_koutei_ikou01_KOUTEI_KAISUU_inter2">DATA!$F$1378</definedName>
    <definedName name="cst_wskakunin_koutei_ikou01_KOUTEI_TEXT">DATA!$F$1364</definedName>
    <definedName name="cst_wskakunin_koutei_ikou01_KOUTEI_TEXT_inter1">DATA!$F$1374</definedName>
    <definedName name="cst_wskakunin_koutei_ikou01_KOUTEI_TEXT_inter2">DATA!$F$1379</definedName>
    <definedName name="cst_wskakunin_koutei_ikou02_KOUTEI_DATE">DATA!$F$1370</definedName>
    <definedName name="cst_wskakunin_koutei_ikou02_KOUTEI_DATE_inter1">DATA!$F$1385</definedName>
    <definedName name="cst_wskakunin_koutei_ikou02_KOUTEI_DATE_inter2">DATA!$F$1390</definedName>
    <definedName name="cst_wskakunin_koutei_ikou02_KOUTEI_KAISUU">DATA!$F$1368</definedName>
    <definedName name="cst_wskakunin_koutei_ikou02_KOUTEI_KAISUU_inter1">DATA!$F$1383</definedName>
    <definedName name="cst_wskakunin_koutei_ikou02_KOUTEI_KAISUU_inter2">DATA!$F$1388</definedName>
    <definedName name="cst_wskakunin_koutei_ikou02_KOUTEI_TEXT">DATA!$F$1369</definedName>
    <definedName name="cst_wskakunin_koutei_ikou02_KOUTEI_TEXT_inter1">DATA!$F$1384</definedName>
    <definedName name="cst_wskakunin_koutei_ikou02_KOUTEI_TEXT_inter2">DATA!$F$1389</definedName>
    <definedName name="cst_wskakunin_koutei_izen01_INTER_ISSUE_DATE">DATA!$F$1310</definedName>
    <definedName name="cst_wskakunin_koutei_izen01_INTER_ISSUE_DATE_inter1">DATA!$F$1338</definedName>
    <definedName name="cst_wskakunin_koutei_izen01_INTER_ISSUE_DATE_inter2">DATA!$F$1345</definedName>
    <definedName name="cst_wskakunin_koutei_izen01_INTER_ISSUE_NAME">DATA!$F$1308</definedName>
    <definedName name="cst_wskakunin_koutei_izen01_INTER_ISSUE_NAME_inter1">DATA!$F$1336</definedName>
    <definedName name="cst_wskakunin_koutei_izen01_INTER_ISSUE_NAME_inter2">DATA!$F$1343</definedName>
    <definedName name="cst_wskakunin_koutei_izen01_INTER_ISSUE_NO">DATA!$F$1309</definedName>
    <definedName name="cst_wskakunin_koutei_izen01_INTER_ISSUE_NO_inter1">DATA!$F$1337</definedName>
    <definedName name="cst_wskakunin_koutei_izen01_INTER_ISSUE_NO_inter2">DATA!$F$1344</definedName>
    <definedName name="cst_wskakunin_koutei_izen01_KOUTEI_KAISUU">DATA!$F$1306</definedName>
    <definedName name="cst_wskakunin_koutei_izen01_KOUTEI_KAISUU_inter1">DATA!$F$1334</definedName>
    <definedName name="cst_wskakunin_koutei_izen01_KOUTEI_KAISUU_inter2">DATA!$F$1341</definedName>
    <definedName name="cst_wskakunin_koutei_izen01_KOUTEI_TEXT">DATA!$F$1307</definedName>
    <definedName name="cst_wskakunin_koutei_izen01_KOUTEI_TEXT_inter1">DATA!$F$1335</definedName>
    <definedName name="cst_wskakunin_koutei_izen01_KOUTEI_TEXT_inter2">DATA!$F$1342</definedName>
    <definedName name="cst_wskakunin_koutei_izen02_INTER_ISSUE_DATE">DATA!$F$1317</definedName>
    <definedName name="cst_wskakunin_koutei_izen02_INTER_ISSUE_DATE_inter1">DATA!$F$1352</definedName>
    <definedName name="cst_wskakunin_koutei_izen02_INTER_ISSUE_DATE_inter2">DATA!$F$1359</definedName>
    <definedName name="cst_wskakunin_koutei_izen02_INTER_ISSUE_NAME">DATA!$F$1315</definedName>
    <definedName name="cst_wskakunin_koutei_izen02_INTER_ISSUE_NAME_inter1">DATA!$F$1350</definedName>
    <definedName name="cst_wskakunin_koutei_izen02_INTER_ISSUE_NAME_inter2">DATA!$F$1357</definedName>
    <definedName name="cst_wskakunin_koutei_izen02_INTER_ISSUE_NO">DATA!$F$1316</definedName>
    <definedName name="cst_wskakunin_koutei_izen02_INTER_ISSUE_NO_inter1">DATA!$F$1351</definedName>
    <definedName name="cst_wskakunin_koutei_izen02_INTER_ISSUE_NO_inter2">DATA!$F$1358</definedName>
    <definedName name="cst_wskakunin_koutei_izen02_KOUTEI_KAISUU">DATA!$F$1313</definedName>
    <definedName name="cst_wskakunin_koutei_izen02_KOUTEI_KAISUU_inter1">DATA!$F$1348</definedName>
    <definedName name="cst_wskakunin_koutei_izen02_KOUTEI_KAISUU_inter2">DATA!$F$1355</definedName>
    <definedName name="cst_wskakunin_koutei_izen02_KOUTEI_TEXT">DATA!$F$1314</definedName>
    <definedName name="cst_wskakunin_koutei_izen02_KOUTEI_TEXT_inter1">DATA!$F$1349</definedName>
    <definedName name="cst_wskakunin_koutei_izen02_KOUTEI_TEXT_inter2">DATA!$F$1356</definedName>
    <definedName name="cst_wskakunin_koutei_izen03_INTER_ISSUE_DATE">DATA!$F$1324</definedName>
    <definedName name="cst_wskakunin_koutei_izen03_INTER_ISSUE_NAME">DATA!$F$1322</definedName>
    <definedName name="cst_wskakunin_koutei_izen03_INTER_ISSUE_NO">DATA!$F$1323</definedName>
    <definedName name="cst_wskakunin_koutei_izen03_KOUTEI_KAISUU">DATA!$F$1320</definedName>
    <definedName name="cst_wskakunin_koutei_izen03_KOUTEI_TEXT">DATA!$F$1321</definedName>
    <definedName name="cst_wskakunin_koutei_izen04_INTER_ISSUE_DATE">DATA!$F$1331</definedName>
    <definedName name="cst_wskakunin_koutei_izen04_INTER_ISSUE_NAME">DATA!$F$1329</definedName>
    <definedName name="cst_wskakunin_koutei_izen04_INTER_ISSUE_NO">DATA!$F$1330</definedName>
    <definedName name="cst_wskakunin_koutei_izen04_KOUTEI_KAISUU">DATA!$F$1327</definedName>
    <definedName name="cst_wskakunin_koutei_izen04_KOUTEI_TEXT">DATA!$F$1328</definedName>
    <definedName name="cst_wskakunin_koutei_keika01_INTER_ISSUE_DATE_select">DATA!$F$1411</definedName>
    <definedName name="cst_wskakunin_koutei_keika01_INTER_ISSUE_NAME_select">DATA!$F$1409</definedName>
    <definedName name="cst_wskakunin_koutei_keika01_INTER_ISSUE_NO_select">DATA!$F$1410</definedName>
    <definedName name="cst_wskakunin_koutei_keika01_KOUTEI_KAISUU_select">DATA!$F$1407</definedName>
    <definedName name="cst_wskakunin_koutei_keika01_KOUTEI_TEXT_select">DATA!$F$1408</definedName>
    <definedName name="cst_wskakunin_koutei_keika02_INTER_ISSUE_DATE_select">DATA!$F$1426</definedName>
    <definedName name="cst_wskakunin_koutei_keika02_INTER_ISSUE_NAME_select">DATA!$F$1424</definedName>
    <definedName name="cst_wskakunin_koutei_keika02_INTER_ISSUE_NO_select">DATA!$F$1425</definedName>
    <definedName name="cst_wskakunin_koutei_keika02_KOUTEI_KAISUU_select">DATA!$F$1422</definedName>
    <definedName name="cst_wskakunin_koutei_keika02_KOUTEI_TEXT_select">DATA!$F$1423</definedName>
    <definedName name="cst_wskakunin_koutei01_INTER_ISSUE_DATE">DATA!$F$1404</definedName>
    <definedName name="cst_wskakunin_koutei01_INTER_ISSUE_NAME">DATA!$F$1402</definedName>
    <definedName name="cst_wskakunin_koutei01_INTER_ISSUE_NO">DATA!$F$1403</definedName>
    <definedName name="cst_wskakunin_koutei01_KOUTEI_DATE">DATA!$F$1243</definedName>
    <definedName name="cst_wskakunin_koutei01_KOUTEI_KAISUU">DATA!$F$1242</definedName>
    <definedName name="cst_wskakunin_koutei01_KOUTEI_TEXT">DATA!$F$1244</definedName>
    <definedName name="cst_wskakunin_koutei02_INTER_ISSUE_DATE">DATA!$F$1418</definedName>
    <definedName name="cst_wskakunin_koutei02_INTER_ISSUE_NAME">DATA!$F$1416</definedName>
    <definedName name="cst_wskakunin_koutei02_INTER_ISSUE_NO">DATA!$F$1417</definedName>
    <definedName name="cst_wskakunin_koutei02_KOUTEI_DATE">DATA!$F$1248</definedName>
    <definedName name="cst_wskakunin_koutei02_KOUTEI_KAISUU">DATA!$F$1247</definedName>
    <definedName name="cst_wskakunin_koutei02_KOUTEI_TEXT">DATA!$F$1249</definedName>
    <definedName name="cst_wskakunin_koutei03_KOUTEI_DATE">DATA!$F$1253</definedName>
    <definedName name="cst_wskakunin_koutei03_KOUTEI_KAISUU">DATA!$F$1252</definedName>
    <definedName name="cst_wskakunin_koutei03_KOUTEI_TEXT">DATA!$F$1254</definedName>
    <definedName name="cst_wskakunin_koutei04_KOUTEI_DATE">DATA!$F$1258</definedName>
    <definedName name="cst_wskakunin_koutei04_KOUTEI_KAISUU">DATA!$F$1257</definedName>
    <definedName name="cst_wskakunin_koutei04_KOUTEI_TEXT">DATA!$F$1259</definedName>
    <definedName name="cst_wskakunin_KOUZOU">DATA!$F$1194</definedName>
    <definedName name="cst_wskakunin_KOUZOU_mokuzou">DATA!$F$1192</definedName>
    <definedName name="cst_wskakunin_KOUZOU_zairai">DATA!$F$1193</definedName>
    <definedName name="cst_wskakunin_KOUZOU1">DATA!$F$1190</definedName>
    <definedName name="cst_wskakunin_KOUZOU2">DATA!$F$1191</definedName>
    <definedName name="cst_wskakunin_KUIKI_HISETTEI">DATA!$F$993</definedName>
    <definedName name="cst_wskakunin_KUIKI_JYUN_TOSHI">DATA!$F$994</definedName>
    <definedName name="cst_wskakunin_KUIKI_KUIKIGAI">DATA!$F$995</definedName>
    <definedName name="cst_wskakunin_KUIKI_SIGAIKA">DATA!$F$990</definedName>
    <definedName name="cst_wskakunin_KUIKI_TOSI">DATA!$F$987</definedName>
    <definedName name="cst_wskakunin_KUIKI_TYOSEI">DATA!$F$992</definedName>
    <definedName name="cst_wskakunin_kyoka_HOUREI_all">DATA!$F$1230</definedName>
    <definedName name="cst_wskakunin_kyoka01_BIKOU">DATA!$F$1211</definedName>
    <definedName name="cst_wskakunin_kyoka01_HOUREI">DATA!$F$1207</definedName>
    <definedName name="cst_wskakunin_kyoka01_JOUKOU">DATA!$F$1208</definedName>
    <definedName name="cst_wskakunin_kyoka01_KYOKA_DATE">DATA!$F$1210</definedName>
    <definedName name="cst_wskakunin_kyoka01_KYOKA_NO">DATA!$F$1209</definedName>
    <definedName name="cst_wskakunin_kyoka02_BIKOU">DATA!$F$1219</definedName>
    <definedName name="cst_wskakunin_kyoka02_HOUREI">DATA!$F$1215</definedName>
    <definedName name="cst_wskakunin_kyoka02_JOUKOU">DATA!$F$1216</definedName>
    <definedName name="cst_wskakunin_kyoka02_KYOKA_DATE">DATA!$F$1218</definedName>
    <definedName name="cst_wskakunin_kyoka02_KYOKA_NO">DATA!$F$1217</definedName>
    <definedName name="cst_wskakunin_kyoka03_BIKOU">DATA!$F$1227</definedName>
    <definedName name="cst_wskakunin_kyoka03_HOUREI">DATA!$F$1223</definedName>
    <definedName name="cst_wskakunin_kyoka03_JOUKOU">DATA!$F$1224</definedName>
    <definedName name="cst_wskakunin_kyoka03_KYOKA_DATE">DATA!$F$1226</definedName>
    <definedName name="cst_wskakunin_kyoka03_KYOKA_NO">DATA!$F$1225</definedName>
    <definedName name="cst_wskakunin_LAST_ISSUE_DATE">DATA!$F$64</definedName>
    <definedName name="cst_wskakunin_LAST_ISSUE_NAME">DATA!$F$65</definedName>
    <definedName name="cst_wskakunin_LAST_ISSUE_NO">DATA!$F$63</definedName>
    <definedName name="cst_wskakunin_LIMIT_KENPEI_RITU">DATA!$F$1040</definedName>
    <definedName name="cst_wskakunin_LIMIT_YOUSEKI_RITU">DATA!$F$1039</definedName>
    <definedName name="cst_wskakunin_MOKUZOU_KEIKA_ETC_FLAG">DATA!$F$1265</definedName>
    <definedName name="cst_wskakunin_MOKUZOU_KEIKA_FLAG">DATA!$F$1261</definedName>
    <definedName name="cst_wskakunin_MOKUZOU_KEIKA_FLAG_ari">DATA!$F$1262</definedName>
    <definedName name="cst_wskakunin_MOKUZOU_KEIKA_FLAG_nashi">DATA!$F$1263</definedName>
    <definedName name="cst_wskakunin_MOKUZOU_KEIKA_HASIRA_FLAG">DATA!$F$1264</definedName>
    <definedName name="cst_wskakunin_NOBE_MENSEKI">DATA!$F$1170</definedName>
    <definedName name="cst_wskakunin_NOBE_MENSEKI_BITIKUSOUKO_IGAI">DATA!$F$1131</definedName>
    <definedName name="cst_wskakunin_NOBE_MENSEKI_BITIKUSOUKO_SHINSEI">DATA!$F$1130</definedName>
    <definedName name="cst_wskakunin_NOBE_MENSEKI_BITIKUSOUKO_TOTAL">DATA!$F$1132</definedName>
    <definedName name="cst_wskakunin_NOBE_MENSEKI_BUILD_IGAI">DATA!$F$1101</definedName>
    <definedName name="cst_wskakunin_NOBE_MENSEKI_BUILD_SHINSEI">DATA!$F$1100</definedName>
    <definedName name="cst_wskakunin_NOBE_MENSEKI_BUILD_TOTAL">DATA!$F$1102</definedName>
    <definedName name="cst_wskakunin_NOBE_MENSEKI_CHOSUISOU_IGAI">DATA!$F$1146</definedName>
    <definedName name="cst_wskakunin_NOBE_MENSEKI_CHOSUISOU_SHINSEI">DATA!$F$1145</definedName>
    <definedName name="cst_wskakunin_NOBE_MENSEKI_CHOSUISOU_TOTAL">DATA!$F$1147</definedName>
    <definedName name="cst_wskakunin_NOBE_MENSEKI_FUSANNYU_IGAI">DATA!$F$1156</definedName>
    <definedName name="cst_wskakunin_NOBE_MENSEKI_FUSANNYU_SHINSEI">DATA!$F$1155</definedName>
    <definedName name="cst_wskakunin_NOBE_MENSEKI_FUSANNYU_TOTAL">DATA!$F$1157</definedName>
    <definedName name="cst_wskakunin_NOBE_MENSEKI_JIKAHATUDEN_IGAI">DATA!$F$1141</definedName>
    <definedName name="cst_wskakunin_NOBE_MENSEKI_JIKAHATUDEN_SHINSEI">DATA!$F$1140</definedName>
    <definedName name="cst_wskakunin_NOBE_MENSEKI_JIKAHATUDEN_TOTAL">DATA!$F$1142</definedName>
    <definedName name="cst_wskakunin_NOBE_MENSEKI_JYUTAKU_IGAI">DATA!$F$1161</definedName>
    <definedName name="cst_wskakunin_NOBE_MENSEKI_JYUTAKU_SHINSEI">DATA!$F$1160</definedName>
    <definedName name="cst_wskakunin_NOBE_MENSEKI_JYUTAKU_TOTAL">DATA!$F$1162</definedName>
    <definedName name="cst_wskakunin_NOBE_MENSEKI_KIKAI_IGAI">DATA!$F$1121</definedName>
    <definedName name="cst_wskakunin_NOBE_MENSEKI_KIKAI_SHINSEI">DATA!$F$1120</definedName>
    <definedName name="cst_wskakunin_NOBE_MENSEKI_KIKAI_TOTAL">DATA!$F$1122</definedName>
    <definedName name="cst_wskakunin_NOBE_MENSEKI_KYOYOU_IGAI">DATA!$F$1116</definedName>
    <definedName name="cst_wskakunin_NOBE_MENSEKI_KYOYOU_SHINSEI">DATA!$F$1115</definedName>
    <definedName name="cst_wskakunin_NOBE_MENSEKI_KYOYOU_TOTAL">DATA!$F$1117</definedName>
    <definedName name="cst_wskakunin_NOBE_MENSEKI_ROUJIN_IGAI">DATA!$F$1166</definedName>
    <definedName name="cst_wskakunin_NOBE_MENSEKI_ROUJIN_SHINSEI">DATA!$F$1165</definedName>
    <definedName name="cst_wskakunin_NOBE_MENSEKI_ROUJIN_TOTAL">DATA!$F$1167</definedName>
    <definedName name="cst_wskakunin_NOBE_MENSEKI_SYAKO_IGAI">DATA!$F$1126</definedName>
    <definedName name="cst_wskakunin_NOBE_MENSEKI_SYAKO_SHINSEI">DATA!$F$1125</definedName>
    <definedName name="cst_wskakunin_NOBE_MENSEKI_SYAKO_TOTAL">DATA!$F$1127</definedName>
    <definedName name="cst_wskakunin_NOBE_MENSEKI_SYOUKOURO_IGAI">DATA!$F$1111</definedName>
    <definedName name="cst_wskakunin_NOBE_MENSEKI_SYOUKOURO_SHINSEI">DATA!$F$1110</definedName>
    <definedName name="cst_wskakunin_NOBE_MENSEKI_SYOUKOURO_TOTAL">DATA!$F$1112</definedName>
    <definedName name="cst_wskakunin_NOBE_MENSEKI_TAKUHAI_IGAI">DATA!$F$1151</definedName>
    <definedName name="cst_wskakunin_NOBE_MENSEKI_TAKUHAI_SHINSEI">DATA!$F$1150</definedName>
    <definedName name="cst_wskakunin_NOBE_MENSEKI_TAKUHAI_TOTAL">DATA!$F$1152</definedName>
    <definedName name="cst_wskakunin_NOBE_MENSEKI_TIKAI_IGAI">DATA!$F$1106</definedName>
    <definedName name="cst_wskakunin_NOBE_MENSEKI_TIKAI_SHINSEI">DATA!$F$1105</definedName>
    <definedName name="cst_wskakunin_NOBE_MENSEKI_TIKAI_TOTAL">DATA!$F$1107</definedName>
    <definedName name="cst_wskakunin_NOBE_MENSEKI_TIKUDENTI_IGAI">DATA!$F$1136</definedName>
    <definedName name="cst_wskakunin_NOBE_MENSEKI_TIKUDENTI_SHINSEI">DATA!$F$1135</definedName>
    <definedName name="cst_wskakunin_NOBE_MENSEKI_TIKUDENTI_TOTAL">DATA!$F$1137</definedName>
    <definedName name="cst_wskakunin_owner1__address">DATA!$F$91</definedName>
    <definedName name="cst_wskakunin_owner1__line1">DATA!$F$97</definedName>
    <definedName name="cst_wskakunin_owner1__line2">DATA!$F$98</definedName>
    <definedName name="cst_wskakunin_owner1__space">DATA!$F$93</definedName>
    <definedName name="cst_wskakunin_owner1__space_KANA">DATA!$F$87</definedName>
    <definedName name="cst_wskakunin_owner1__space_KANA2">DATA!$F$88</definedName>
    <definedName name="cst_wskakunin_owner1__space2">DATA!$F$94</definedName>
    <definedName name="cst_wskakunin_owner1__space3">DATA!$F$95</definedName>
    <definedName name="cst_wskakunin_owner1__space4">DATA!$F$96</definedName>
    <definedName name="cst_wskakunin_owner1_JIMU_NAME">DATA!$F$81</definedName>
    <definedName name="cst_wskakunin_owner1_JIMU_NAME_KANA">DATA!$F$82</definedName>
    <definedName name="cst_wskakunin_owner1_NAME">DATA!$F$85</definedName>
    <definedName name="cst_wskakunin_owner1_NAME_KANA">DATA!$F$86</definedName>
    <definedName name="cst_wskakunin_owner1_POST">DATA!$F$83</definedName>
    <definedName name="cst_wskakunin_owner1_POST_KANA">DATA!$F$84</definedName>
    <definedName name="cst_wskakunin_owner1_TEL">DATA!$F$92</definedName>
    <definedName name="cst_wskakunin_owner1_ZIP">DATA!$F$89</definedName>
    <definedName name="cst_wskakunin_owner1_ZIP2">DATA!$F$90</definedName>
    <definedName name="cst_wskakunin_owner2__address">DATA!$F$108</definedName>
    <definedName name="cst_wskakunin_owner2__space">DATA!$F$110</definedName>
    <definedName name="cst_wskakunin_owner2__space_KANA">DATA!$F$113</definedName>
    <definedName name="cst_wskakunin_owner2__space2">DATA!$F$111</definedName>
    <definedName name="cst_wskakunin_owner2__space3">DATA!$F$112</definedName>
    <definedName name="cst_wskakunin_owner2_JIMU_NAME">DATA!$F$101</definedName>
    <definedName name="cst_wskakunin_owner2_JIMU_NAME_KANA">DATA!$F$102</definedName>
    <definedName name="cst_wskakunin_owner2_NAME">DATA!$F$105</definedName>
    <definedName name="cst_wskakunin_owner2_NAME_KANA">DATA!$F$106</definedName>
    <definedName name="cst_wskakunin_owner2_POST">DATA!$F$103</definedName>
    <definedName name="cst_wskakunin_owner2_POST_KANA">DATA!$F$104</definedName>
    <definedName name="cst_wskakunin_owner2_TEL">DATA!$F$109</definedName>
    <definedName name="cst_wskakunin_owner2_ZIP">DATA!$F$107</definedName>
    <definedName name="cst_wskakunin_owner3__address">DATA!$F$123</definedName>
    <definedName name="cst_wskakunin_owner3__space">DATA!$F$125</definedName>
    <definedName name="cst_wskakunin_owner3__space_KANA">DATA!$F$128</definedName>
    <definedName name="cst_wskakunin_owner3__space2">DATA!$F$126</definedName>
    <definedName name="cst_wskakunin_owner3__space3">DATA!$F$127</definedName>
    <definedName name="cst_wskakunin_owner3_JIMU_NAME">DATA!$F$116</definedName>
    <definedName name="cst_wskakunin_owner3_JIMU_NAME_KANA">DATA!$F$117</definedName>
    <definedName name="cst_wskakunin_owner3_NAME">DATA!$F$120</definedName>
    <definedName name="cst_wskakunin_owner3_NAME_KANA">DATA!$F$121</definedName>
    <definedName name="cst_wskakunin_owner3_POST">DATA!$F$118</definedName>
    <definedName name="cst_wskakunin_owner3_POST_KANA">DATA!$F$119</definedName>
    <definedName name="cst_wskakunin_owner3_TEL">DATA!$F$124</definedName>
    <definedName name="cst_wskakunin_owner3_ZIP">DATA!$F$122</definedName>
    <definedName name="cst_wskakunin_owner4__address">DATA!$F$138</definedName>
    <definedName name="cst_wskakunin_owner4__space">DATA!$F$140</definedName>
    <definedName name="cst_wskakunin_owner4__space_KANA">DATA!$F$141</definedName>
    <definedName name="cst_wskakunin_owner4_JIMU_NAME">DATA!$F$131</definedName>
    <definedName name="cst_wskakunin_owner4_JIMU_NAME_KANA">DATA!$F$132</definedName>
    <definedName name="cst_wskakunin_owner4_NAME">DATA!$F$135</definedName>
    <definedName name="cst_wskakunin_owner4_NAME_KANA">DATA!$F$136</definedName>
    <definedName name="cst_wskakunin_owner4_POST">DATA!$F$133</definedName>
    <definedName name="cst_wskakunin_owner4_POST_KANA">DATA!$F$134</definedName>
    <definedName name="cst_wskakunin_owner4_TEL">DATA!$F$139</definedName>
    <definedName name="cst_wskakunin_owner4_ZIP">DATA!$F$137</definedName>
    <definedName name="cst_wskakunin_owner5__address">DATA!$F$151</definedName>
    <definedName name="cst_wskakunin_owner5__space">DATA!$F$153</definedName>
    <definedName name="cst_wskakunin_owner5__space_KANA">DATA!$F$154</definedName>
    <definedName name="cst_wskakunin_owner5_JIMU_NAME">DATA!$F$144</definedName>
    <definedName name="cst_wskakunin_owner5_JIMU_NAME_KANA">DATA!$F$145</definedName>
    <definedName name="cst_wskakunin_owner5_NAME">DATA!$F$148</definedName>
    <definedName name="cst_wskakunin_owner5_NAME_KANA">DATA!$F$149</definedName>
    <definedName name="cst_wskakunin_owner5_POST">DATA!$F$146</definedName>
    <definedName name="cst_wskakunin_owner5_POST_KANA">DATA!$F$147</definedName>
    <definedName name="cst_wskakunin_owner5_TEL">DATA!$F$152</definedName>
    <definedName name="cst_wskakunin_owner5_ZIP">DATA!$F$150</definedName>
    <definedName name="cst_wskakunin_owner6__address">DATA!$F$164</definedName>
    <definedName name="cst_wskakunin_owner6__space">DATA!$F$166</definedName>
    <definedName name="cst_wskakunin_owner6__space_KANA">DATA!$F$168</definedName>
    <definedName name="cst_wskakunin_owner6__space2">DATA!$F$177</definedName>
    <definedName name="cst_wskakunin_owner6__space3">DATA!$F$167</definedName>
    <definedName name="cst_wskakunin_owner6_JIMU_NAME">DATA!$F$157</definedName>
    <definedName name="cst_wskakunin_owner6_JIMU_NAME_KANA">DATA!$F$158</definedName>
    <definedName name="cst_wskakunin_owner6_NAME">DATA!$F$161</definedName>
    <definedName name="cst_wskakunin_owner6_NAME_KANA">DATA!$F$162</definedName>
    <definedName name="cst_wskakunin_owner6_POST">DATA!$F$159</definedName>
    <definedName name="cst_wskakunin_owner6_POST_KANA">DATA!$F$160</definedName>
    <definedName name="cst_wskakunin_owner6_TEL">DATA!$F$165</definedName>
    <definedName name="cst_wskakunin_owner6_ZIP">DATA!$F$163</definedName>
    <definedName name="cst_wskakunin_owner7__address">DATA!$F$178</definedName>
    <definedName name="cst_wskakunin_owner7__space">DATA!$F$180</definedName>
    <definedName name="cst_wskakunin_owner7__space_KANA">DATA!$F$181</definedName>
    <definedName name="cst_wskakunin_owner7_JIMU_NAME">DATA!$F$171</definedName>
    <definedName name="cst_wskakunin_owner7_JIMU_NAME_KANA">DATA!$F$172</definedName>
    <definedName name="cst_wskakunin_owner7_NAME">DATA!$F$175</definedName>
    <definedName name="cst_wskakunin_owner7_NAME_KANA">DATA!$F$176</definedName>
    <definedName name="cst_wskakunin_owner7_POST">DATA!$F$173</definedName>
    <definedName name="cst_wskakunin_owner7_POST_KANA">DATA!$F$174</definedName>
    <definedName name="cst_wskakunin_owner7_TEL">DATA!$F$179</definedName>
    <definedName name="cst_wskakunin_owner7_ZIP">DATA!$F$177</definedName>
    <definedName name="cst_wskakunin_owner8__address">DATA!$F$191</definedName>
    <definedName name="cst_wskakunin_owner8__space">DATA!$F$193</definedName>
    <definedName name="cst_wskakunin_owner8__space_KANA">DATA!$F$194</definedName>
    <definedName name="cst_wskakunin_owner8_JIMU_NAME">DATA!$F$184</definedName>
    <definedName name="cst_wskakunin_owner8_JIMU_NAME_KANA">DATA!$F$185</definedName>
    <definedName name="cst_wskakunin_owner8_NAME">DATA!$F$188</definedName>
    <definedName name="cst_wskakunin_owner8_NAME_KANA">DATA!$F$189</definedName>
    <definedName name="cst_wskakunin_owner8_POST">DATA!$F$186</definedName>
    <definedName name="cst_wskakunin_owner8_POST_KANA">DATA!$F$187</definedName>
    <definedName name="cst_wskakunin_owner8_TEL">DATA!$F$192</definedName>
    <definedName name="cst_wskakunin_owner8_ZIP">DATA!$F$190</definedName>
    <definedName name="cst_wskakunin_owner9__address">DATA!$F$204</definedName>
    <definedName name="cst_wskakunin_owner9_JIMU_NAME">DATA!$F$197</definedName>
    <definedName name="cst_wskakunin_owner9_JIMU_NAME_KANA">DATA!$F$198</definedName>
    <definedName name="cst_wskakunin_owner9_NAME">DATA!$F$201</definedName>
    <definedName name="cst_wskakunin_owner9_NAME_KANA">DATA!$F$202</definedName>
    <definedName name="cst_wskakunin_owner9_POST">DATA!$F$199</definedName>
    <definedName name="cst_wskakunin_owner9_POST_KANA">DATA!$F$200</definedName>
    <definedName name="cst_wskakunin_owner9_TEL">DATA!$F$205</definedName>
    <definedName name="cst_wskakunin_owner9_ZIP">DATA!$F$203</definedName>
    <definedName name="cst_wskakunin_P1_HENKOU_GAIYOU">DATA!$F$66</definedName>
    <definedName name="cst_wskakunin_P2_BIKOU">DATA!$F$911</definedName>
    <definedName name="cst_wskakunin_P2_HENKOU_GAIYOU">DATA!$F$68</definedName>
    <definedName name="cst_wskakunin_P3_BIKOU">DATA!$F$1277</definedName>
    <definedName name="cst_wskakunin_P3_SONOTA">DATA!$F$1275</definedName>
    <definedName name="cst_wskakunin_p4_1__kouji">DATA!$F$952</definedName>
    <definedName name="cst_wskakunin_p4_1__kouji_box">DATA!$F$953</definedName>
    <definedName name="cst_wskakunin_p4_1__kouji_box_2">DATA!$F$954</definedName>
    <definedName name="cst_wskakunin_p4_1_KAISU_TIKAI">DATA!$F$956</definedName>
    <definedName name="cst_wskakunin_p4_1_KAISU_TIKAI_NOZOKU">DATA!$F$955</definedName>
    <definedName name="cst_wskakunin_p4_1_KAISU_TIKAI_NOZOKU_SINTIKU">DATA!$F$957</definedName>
    <definedName name="cst_wskakunin_p4_1_KAISU_TIKAI_SINTIKU">DATA!$F$958</definedName>
    <definedName name="cst_wskakunin_p4_1_KOUZOU1">DATA!$F$959</definedName>
    <definedName name="cst_wskakunin_p4_1_KOUZOU2">DATA!$F$960</definedName>
    <definedName name="cst_wskakunin_p4_1_p5_1_KAI">DATA!$F$968</definedName>
    <definedName name="cst_wskakunin_p4_1_p5_1_P4_MENSEKI_SHINSEI">DATA!$F$969</definedName>
    <definedName name="cst_wskakunin_p4_1_p5_2_KAI">DATA!$F$970</definedName>
    <definedName name="cst_wskakunin_p4_1_p5_2_P4_MENSEKI_SHINSEI">DATA!$F$971</definedName>
    <definedName name="cst_wskakunin_p4_1_p5_3_KAI">DATA!$F$972</definedName>
    <definedName name="cst_wskakunin_p4_1_p5_3_P4_MENSEKI_SHINSEI">DATA!$F$973</definedName>
    <definedName name="cst_wskakunin_p4_1_TAKASA_KEN_MAX">DATA!$F$962</definedName>
    <definedName name="cst_wskakunin_p4_1_TAKASA_MAX">DATA!$F$961</definedName>
    <definedName name="cst_wskakunin_p4_1_TOKUREI_KAKUNIN_FLAG">DATA!$F$964</definedName>
    <definedName name="cst_wskakunin_p4_1_TOKUREI_KAKUNIN_FLAG_off">DATA!$F$966</definedName>
    <definedName name="cst_wskakunin_p4_1_TOKUREI_KAKUNIN_FLAG_on">DATA!$F$965</definedName>
    <definedName name="cst_wskakunin_p4_1_youto1_YOUTO">DATA!$F$943</definedName>
    <definedName name="cst_wskakunin_p4_1_youto1_YOUTO_1">DATA!$F$945</definedName>
    <definedName name="cst_wskakunin_p4_1_youto1_YOUTO_2">DATA!$F$946</definedName>
    <definedName name="cst_wskakunin_p4_1_youto1_YOUTO_3">DATA!$F$947</definedName>
    <definedName name="cst_wskakunin_p4_1_youto1_YOUTO_4">DATA!$F$948</definedName>
    <definedName name="cst_wskakunin_p4_1_youto1_YOUTO_5">DATA!$F$949</definedName>
    <definedName name="cst_wskakunin_p4_1_youto1_YOUTO_6">DATA!$F$950</definedName>
    <definedName name="cst_wskakunin_p4_1_youto1_YOUTO_9">DATA!$F$951</definedName>
    <definedName name="cst_wskakunin_p4_1_youto1_YOUTO_CODE">DATA!$F$944</definedName>
    <definedName name="cst_wskakunin_p4_1_YUKA_MENSEKI_SHINSEI">DATA!$F$963</definedName>
    <definedName name="cst_wskakunin_PAGE1_ALTERATION_NOTE">DATA!$F$75</definedName>
    <definedName name="cst_wskakunin_sekkei1__address">DATA!$F$367</definedName>
    <definedName name="cst_wskakunin_sekkei1__sikaku">DATA!$F$355</definedName>
    <definedName name="cst_wskakunin_sekkei1_DOC">DATA!$F$369</definedName>
    <definedName name="cst_wskakunin_sekkei1_JIMU__sikaku">DATA!$F$360</definedName>
    <definedName name="cst_wskakunin_sekkei1_JIMU_NAME">DATA!$F$364</definedName>
    <definedName name="cst_wskakunin_sekkei1_JIMU_NO">DATA!$F$363</definedName>
    <definedName name="cst_wskakunin_sekkei1_JIMU_SIKAKU">DATA!$F$361</definedName>
    <definedName name="cst_wskakunin_sekkei1_JIMU_TOUROKU_KIKAN">DATA!$F$362</definedName>
    <definedName name="cst_wskakunin_sekkei1_jimuname_name">DATA!$F$365</definedName>
    <definedName name="cst_wskakunin_sekkei1_KENTIKUSI_NO">DATA!$F$358</definedName>
    <definedName name="cst_wskakunin_sekkei1_NAME">DATA!$F$359</definedName>
    <definedName name="cst_wskakunin_sekkei1_SIKAKU">DATA!$F$356</definedName>
    <definedName name="cst_wskakunin_sekkei1_TEL">DATA!$F$368</definedName>
    <definedName name="cst_wskakunin_sekkei1_TOUROKU_KIKAN">DATA!$F$357</definedName>
    <definedName name="cst_wskakunin_sekkei1_ZIP">DATA!$F$366</definedName>
    <definedName name="cst_wskakunin_sekkei10__address">DATA!$F$520</definedName>
    <definedName name="cst_wskakunin_sekkei10__sikaku">DATA!$F$508</definedName>
    <definedName name="cst_wskakunin_sekkei10_DOC">DATA!$F$522</definedName>
    <definedName name="cst_wskakunin_sekkei10_JIMU__sikaku">DATA!$F$513</definedName>
    <definedName name="cst_wskakunin_sekkei10_JIMU_NAME">DATA!$F$517</definedName>
    <definedName name="cst_wskakunin_sekkei10_JIMU_NO">DATA!$F$516</definedName>
    <definedName name="cst_wskakunin_sekkei10_JIMU_SIKAKU">DATA!$F$514</definedName>
    <definedName name="cst_wskakunin_sekkei10_JIMU_TOUROKU_KIKAN">DATA!$F$515</definedName>
    <definedName name="cst_wskakunin_sekkei10_jimuname_name">DATA!$F$518</definedName>
    <definedName name="cst_wskakunin_sekkei10_KENTIKUSI_NO">DATA!$F$511</definedName>
    <definedName name="cst_wskakunin_sekkei10_NAME">DATA!$F$512</definedName>
    <definedName name="cst_wskakunin_sekkei10_SIKAKU">DATA!$F$509</definedName>
    <definedName name="cst_wskakunin_sekkei10_TEL">DATA!$F$521</definedName>
    <definedName name="cst_wskakunin_sekkei10_TOUROKU_KIKAN">DATA!$F$510</definedName>
    <definedName name="cst_wskakunin_sekkei10_ZIP">DATA!$F$519</definedName>
    <definedName name="cst_wskakunin_sekkei11__address">DATA!$F$537</definedName>
    <definedName name="cst_wskakunin_sekkei11__sikaku">DATA!$F$525</definedName>
    <definedName name="cst_wskakunin_sekkei11_DOC">DATA!$F$539</definedName>
    <definedName name="cst_wskakunin_sekkei11_JIMU__sikaku">DATA!$F$530</definedName>
    <definedName name="cst_wskakunin_sekkei11_JIMU_NAME">DATA!$F$534</definedName>
    <definedName name="cst_wskakunin_sekkei11_JIMU_NO">DATA!$F$533</definedName>
    <definedName name="cst_wskakunin_sekkei11_JIMU_SIKAKU">DATA!$F$531</definedName>
    <definedName name="cst_wskakunin_sekkei11_JIMU_TOUROKU_KIKAN">DATA!$F$532</definedName>
    <definedName name="cst_wskakunin_sekkei11_jimuname_name">DATA!$F$535</definedName>
    <definedName name="cst_wskakunin_sekkei11_KENTIKUSI_NO">DATA!$F$528</definedName>
    <definedName name="cst_wskakunin_sekkei11_NAME">DATA!$F$529</definedName>
    <definedName name="cst_wskakunin_sekkei11_SIKAKU">DATA!$F$526</definedName>
    <definedName name="cst_wskakunin_sekkei11_TEL">DATA!$F$538</definedName>
    <definedName name="cst_wskakunin_sekkei11_TOUROKU_KIKAN">DATA!$F$527</definedName>
    <definedName name="cst_wskakunin_sekkei11_ZIP">DATA!$F$536</definedName>
    <definedName name="cst_wskakunin_sekkei12__address">DATA!$F$554</definedName>
    <definedName name="cst_wskakunin_sekkei12__sikaku">DATA!$F$542</definedName>
    <definedName name="cst_wskakunin_sekkei12_DOC">DATA!$F$556</definedName>
    <definedName name="cst_wskakunin_sekkei12_JIMU__sikaku">DATA!$F$547</definedName>
    <definedName name="cst_wskakunin_sekkei12_JIMU_NAME">DATA!$F$551</definedName>
    <definedName name="cst_wskakunin_sekkei12_JIMU_NO">DATA!$F$550</definedName>
    <definedName name="cst_wskakunin_sekkei12_JIMU_SIKAKU">DATA!$F$548</definedName>
    <definedName name="cst_wskakunin_sekkei12_JIMU_TOUROKU_KIKAN">DATA!$F$549</definedName>
    <definedName name="cst_wskakunin_sekkei12_jimuname_name">DATA!$F$552</definedName>
    <definedName name="cst_wskakunin_sekkei12_KENTIKUSI_NO">DATA!$F$545</definedName>
    <definedName name="cst_wskakunin_sekkei12_NAME">DATA!$F$546</definedName>
    <definedName name="cst_wskakunin_sekkei12_SIKAKU">DATA!$F$543</definedName>
    <definedName name="cst_wskakunin_sekkei12_TEL">DATA!$F$555</definedName>
    <definedName name="cst_wskakunin_sekkei12_TOUROKU_KIKAN">DATA!$F$544</definedName>
    <definedName name="cst_wskakunin_sekkei12_ZIP">DATA!$F$553</definedName>
    <definedName name="cst_wskakunin_sekkei2__address">DATA!$F$384</definedName>
    <definedName name="cst_wskakunin_sekkei2__sikaku">DATA!$F$372</definedName>
    <definedName name="cst_wskakunin_sekkei2_DOC">DATA!$F$386</definedName>
    <definedName name="cst_wskakunin_sekkei2_JIMU__sikaku">DATA!$F$377</definedName>
    <definedName name="cst_wskakunin_sekkei2_JIMU_NAME">DATA!$F$381</definedName>
    <definedName name="cst_wskakunin_sekkei2_JIMU_NO">DATA!$F$380</definedName>
    <definedName name="cst_wskakunin_sekkei2_JIMU_SIKAKU">DATA!$F$378</definedName>
    <definedName name="cst_wskakunin_sekkei2_JIMU_TOUROKU_KIKAN">DATA!$F$379</definedName>
    <definedName name="cst_wskakunin_sekkei2_jimuname_name">DATA!$F$382</definedName>
    <definedName name="cst_wskakunin_sekkei2_KENTIKUSI_NO">DATA!$F$375</definedName>
    <definedName name="cst_wskakunin_sekkei2_NAME">DATA!$F$376</definedName>
    <definedName name="cst_wskakunin_sekkei2_SIKAKU">DATA!$F$373</definedName>
    <definedName name="cst_wskakunin_sekkei2_TEL">DATA!$F$385</definedName>
    <definedName name="cst_wskakunin_sekkei2_TOUROKU_KIKAN">DATA!$F$374</definedName>
    <definedName name="cst_wskakunin_sekkei2_ZIP">DATA!$F$383</definedName>
    <definedName name="cst_wskakunin_sekkei3__address">DATA!$F$401</definedName>
    <definedName name="cst_wskakunin_sekkei3__sikaku">DATA!$F$389</definedName>
    <definedName name="cst_wskakunin_sekkei3_DOC">DATA!$F$403</definedName>
    <definedName name="cst_wskakunin_sekkei3_JIMU__sikaku">DATA!$F$394</definedName>
    <definedName name="cst_wskakunin_sekkei3_JIMU_NAME">DATA!$F$398</definedName>
    <definedName name="cst_wskakunin_sekkei3_JIMU_NO">DATA!$F$397</definedName>
    <definedName name="cst_wskakunin_sekkei3_JIMU_SIKAKU">DATA!$F$395</definedName>
    <definedName name="cst_wskakunin_sekkei3_JIMU_TOUROKU_KIKAN">DATA!$F$396</definedName>
    <definedName name="cst_wskakunin_sekkei3_jimuname_name">DATA!$F$399</definedName>
    <definedName name="cst_wskakunin_sekkei3_KENTIKUSI_NO">DATA!$F$392</definedName>
    <definedName name="cst_wskakunin_sekkei3_NAME">DATA!$F$393</definedName>
    <definedName name="cst_wskakunin_sekkei3_SIKAKU">DATA!$F$390</definedName>
    <definedName name="cst_wskakunin_sekkei3_TEL">DATA!$F$402</definedName>
    <definedName name="cst_wskakunin_sekkei3_TOUROKU_KIKAN">DATA!$F$391</definedName>
    <definedName name="cst_wskakunin_sekkei3_ZIP">DATA!$F$400</definedName>
    <definedName name="cst_wskakunin_sekkei4__address">DATA!$F$418</definedName>
    <definedName name="cst_wskakunin_sekkei4__sikaku">DATA!$F$406</definedName>
    <definedName name="cst_wskakunin_sekkei4_DOC">DATA!$F$420</definedName>
    <definedName name="cst_wskakunin_sekkei4_JIMU__sikaku">DATA!$F$411</definedName>
    <definedName name="cst_wskakunin_sekkei4_JIMU_NAME">DATA!$F$415</definedName>
    <definedName name="cst_wskakunin_sekkei4_JIMU_NO">DATA!$F$414</definedName>
    <definedName name="cst_wskakunin_sekkei4_JIMU_SIKAKU">DATA!$F$412</definedName>
    <definedName name="cst_wskakunin_sekkei4_JIMU_TOUROKU_KIKAN">DATA!$F$413</definedName>
    <definedName name="cst_wskakunin_sekkei4_jimuname_name">DATA!$F$416</definedName>
    <definedName name="cst_wskakunin_sekkei4_KENTIKUSI_NO">DATA!$F$409</definedName>
    <definedName name="cst_wskakunin_sekkei4_NAME">DATA!$F$410</definedName>
    <definedName name="cst_wskakunin_sekkei4_SIKAKU">DATA!$F$407</definedName>
    <definedName name="cst_wskakunin_sekkei4_TEL">DATA!$F$419</definedName>
    <definedName name="cst_wskakunin_sekkei4_TOUROKU_KIKAN">DATA!$F$408</definedName>
    <definedName name="cst_wskakunin_sekkei4_ZIP">DATA!$F$417</definedName>
    <definedName name="cst_wskakunin_sekkei5__address">DATA!$F$435</definedName>
    <definedName name="cst_wskakunin_sekkei5__sikaku">DATA!$F$423</definedName>
    <definedName name="cst_wskakunin_sekkei5_DOC">DATA!$F$437</definedName>
    <definedName name="cst_wskakunin_sekkei5_JIMU__sikaku">DATA!$F$428</definedName>
    <definedName name="cst_wskakunin_sekkei5_JIMU_NAME">DATA!$F$432</definedName>
    <definedName name="cst_wskakunin_sekkei5_JIMU_NO">DATA!$F$431</definedName>
    <definedName name="cst_wskakunin_sekkei5_JIMU_SIKAKU">DATA!$F$429</definedName>
    <definedName name="cst_wskakunin_sekkei5_JIMU_TOUROKU_KIKAN">DATA!$F$430</definedName>
    <definedName name="cst_wskakunin_sekkei5_jimuname_name">DATA!$F$433</definedName>
    <definedName name="cst_wskakunin_sekkei5_KENTIKUSI_NO">DATA!$F$426</definedName>
    <definedName name="cst_wskakunin_sekkei5_NAME">DATA!$F$427</definedName>
    <definedName name="cst_wskakunin_sekkei5_SIKAKU">DATA!$F$424</definedName>
    <definedName name="cst_wskakunin_sekkei5_TEL">DATA!$F$436</definedName>
    <definedName name="cst_wskakunin_sekkei5_TOUROKU_KIKAN">DATA!$F$425</definedName>
    <definedName name="cst_wskakunin_sekkei5_ZIP">DATA!$F$434</definedName>
    <definedName name="cst_wskakunin_sekkei6__address">DATA!$F$452</definedName>
    <definedName name="cst_wskakunin_sekkei6__sikaku">DATA!$F$440</definedName>
    <definedName name="cst_wskakunin_sekkei6_DOC">DATA!$F$454</definedName>
    <definedName name="cst_wskakunin_sekkei6_JIMU__sikaku">DATA!$F$445</definedName>
    <definedName name="cst_wskakunin_sekkei6_JIMU_NAME">DATA!$F$449</definedName>
    <definedName name="cst_wskakunin_sekkei6_JIMU_NO">DATA!$F$448</definedName>
    <definedName name="cst_wskakunin_sekkei6_JIMU_SIKAKU">DATA!$F$446</definedName>
    <definedName name="cst_wskakunin_sekkei6_JIMU_TOUROKU_KIKAN">DATA!$F$447</definedName>
    <definedName name="cst_wskakunin_sekkei6_jimuname_name">DATA!$F$450</definedName>
    <definedName name="cst_wskakunin_sekkei6_KENTIKUSI_NO">DATA!$F$443</definedName>
    <definedName name="cst_wskakunin_sekkei6_NAME">DATA!$F$444</definedName>
    <definedName name="cst_wskakunin_sekkei6_SIKAKU">DATA!$F$441</definedName>
    <definedName name="cst_wskakunin_sekkei6_TEL">DATA!$F$453</definedName>
    <definedName name="cst_wskakunin_sekkei6_TOUROKU_KIKAN">DATA!$F$442</definedName>
    <definedName name="cst_wskakunin_sekkei6_ZIP">DATA!$F$451</definedName>
    <definedName name="cst_wskakunin_sekkei7__address">DATA!$F$469</definedName>
    <definedName name="cst_wskakunin_sekkei7__sikaku">DATA!$F$457</definedName>
    <definedName name="cst_wskakunin_sekkei7_DOC">DATA!$F$471</definedName>
    <definedName name="cst_wskakunin_sekkei7_JIMU__sikaku">DATA!$F$462</definedName>
    <definedName name="cst_wskakunin_sekkei7_JIMU_NAME">DATA!$F$466</definedName>
    <definedName name="cst_wskakunin_sekkei7_JIMU_NO">DATA!$F$465</definedName>
    <definedName name="cst_wskakunin_sekkei7_JIMU_SIKAKU">DATA!$F$463</definedName>
    <definedName name="cst_wskakunin_sekkei7_JIMU_TOUROKU_KIKAN">DATA!$F$464</definedName>
    <definedName name="cst_wskakunin_sekkei7_jimuname_name">DATA!$F$467</definedName>
    <definedName name="cst_wskakunin_sekkei7_KENTIKUSI_NO">DATA!$F$460</definedName>
    <definedName name="cst_wskakunin_sekkei7_NAME">DATA!$F$461</definedName>
    <definedName name="cst_wskakunin_sekkei7_SIKAKU">DATA!$F$458</definedName>
    <definedName name="cst_wskakunin_sekkei7_TEL">DATA!$F$470</definedName>
    <definedName name="cst_wskakunin_sekkei7_TOUROKU_KIKAN">DATA!$F$459</definedName>
    <definedName name="cst_wskakunin_sekkei7_ZIP">DATA!$F$468</definedName>
    <definedName name="cst_wskakunin_sekkei8__address">DATA!$F$486</definedName>
    <definedName name="cst_wskakunin_sekkei8__sikaku">DATA!$F$474</definedName>
    <definedName name="cst_wskakunin_sekkei8_DOC">DATA!$F$488</definedName>
    <definedName name="cst_wskakunin_sekkei8_JIMU__sikaku">DATA!$F$479</definedName>
    <definedName name="cst_wskakunin_sekkei8_JIMU_NAME">DATA!$F$483</definedName>
    <definedName name="cst_wskakunin_sekkei8_JIMU_NO">DATA!$F$482</definedName>
    <definedName name="cst_wskakunin_sekkei8_JIMU_SIKAKU">DATA!$F$480</definedName>
    <definedName name="cst_wskakunin_sekkei8_JIMU_TOUROKU_KIKAN">DATA!$F$481</definedName>
    <definedName name="cst_wskakunin_sekkei8_jimuname_name">DATA!$F$484</definedName>
    <definedName name="cst_wskakunin_sekkei8_KENTIKUSI_NO">DATA!$F$477</definedName>
    <definedName name="cst_wskakunin_sekkei8_NAME">DATA!$F$478</definedName>
    <definedName name="cst_wskakunin_sekkei8_SIKAKU">DATA!$F$475</definedName>
    <definedName name="cst_wskakunin_sekkei8_TEL">DATA!$F$487</definedName>
    <definedName name="cst_wskakunin_sekkei8_TOUROKU_KIKAN">DATA!$F$476</definedName>
    <definedName name="cst_wskakunin_sekkei8_ZIP">DATA!$F$485</definedName>
    <definedName name="cst_wskakunin_sekkei9__address">DATA!$F$503</definedName>
    <definedName name="cst_wskakunin_sekkei9__sikaku">DATA!$F$491</definedName>
    <definedName name="cst_wskakunin_sekkei9_DOC">DATA!$F$505</definedName>
    <definedName name="cst_wskakunin_sekkei9_JIMU__sikaku">DATA!$F$496</definedName>
    <definedName name="cst_wskakunin_sekkei9_JIMU_NAME">DATA!$F$500</definedName>
    <definedName name="cst_wskakunin_sekkei9_JIMU_NO">DATA!$F$499</definedName>
    <definedName name="cst_wskakunin_sekkei9_JIMU_SIKAKU">DATA!$F$497</definedName>
    <definedName name="cst_wskakunin_sekkei9_JIMU_TOUROKU_KIKAN">DATA!$F$498</definedName>
    <definedName name="cst_wskakunin_sekkei9_jimuname_name">DATA!$F$501</definedName>
    <definedName name="cst_wskakunin_sekkei9_KENTIKUSI_NO">DATA!$F$494</definedName>
    <definedName name="cst_wskakunin_sekkei9_NAME">DATA!$F$495</definedName>
    <definedName name="cst_wskakunin_sekkei9_SIKAKU">DATA!$F$492</definedName>
    <definedName name="cst_wskakunin_sekkei9_TEL">DATA!$F$504</definedName>
    <definedName name="cst_wskakunin_sekkei9_TOUROKU_KIKAN">DATA!$F$493</definedName>
    <definedName name="cst_wskakunin_sekkei9_ZIP">DATA!$F$502</definedName>
    <definedName name="cst_wskakunin_sekou1__address">DATA!$F$852</definedName>
    <definedName name="cst_wskakunin_sekou1__hajime">DATA!$F$906</definedName>
    <definedName name="cst_wskakunin_sekou1__kistar">DATA!$F$907</definedName>
    <definedName name="cst_wskakunin_sekou1_JIMU_NAME">DATA!$F$850</definedName>
    <definedName name="cst_wskakunin_sekou1_kakunin">DATA!$F$854</definedName>
    <definedName name="cst_wskakunin_sekou1_NAME">DATA!$F$846</definedName>
    <definedName name="cst_wskakunin_sekou1_SEKOU__sikaku">DATA!$F$847</definedName>
    <definedName name="cst_wskakunin_sekou1_SEKOU_NO">DATA!$F$849</definedName>
    <definedName name="cst_wskakunin_sekou1_SEKOU_SIKAKU">DATA!$F$848</definedName>
    <definedName name="cst_wskakunin_sekou1_TEL">DATA!$F$853</definedName>
    <definedName name="cst_wskakunin_sekou1_ZIP">DATA!$F$851</definedName>
    <definedName name="cst_wskakunin_sekou2__address">DATA!$F$862</definedName>
    <definedName name="cst_wskakunin_sekou2_JIMU_NAME">DATA!$F$860</definedName>
    <definedName name="cst_wskakunin_sekou2_NAME">DATA!$F$856</definedName>
    <definedName name="cst_wskakunin_sekou2_SEKOU__sikaku">DATA!$F$857</definedName>
    <definedName name="cst_wskakunin_sekou2_SEKOU_NO">DATA!$F$859</definedName>
    <definedName name="cst_wskakunin_sekou2_SEKOU_SIKAKU">DATA!$F$858</definedName>
    <definedName name="cst_wskakunin_sekou2_TEL">DATA!$F$863</definedName>
    <definedName name="cst_wskakunin_sekou2_ZIP">DATA!$F$861</definedName>
    <definedName name="cst_wskakunin_sekou3__address">DATA!$F$872</definedName>
    <definedName name="cst_wskakunin_sekou3_JIMU_NAME">DATA!$F$870</definedName>
    <definedName name="cst_wskakunin_sekou3_NAME">DATA!$F$866</definedName>
    <definedName name="cst_wskakunin_sekou3_SEKOU__sikaku">DATA!$F$867</definedName>
    <definedName name="cst_wskakunin_sekou3_SEKOU_NO">DATA!$F$869</definedName>
    <definedName name="cst_wskakunin_sekou3_SEKOU_SIKAKU">DATA!$F$868</definedName>
    <definedName name="cst_wskakunin_sekou3_TEL">DATA!$F$873</definedName>
    <definedName name="cst_wskakunin_sekou3_ZIP">DATA!$F$871</definedName>
    <definedName name="cst_wskakunin_sekou4__address">DATA!$F$882</definedName>
    <definedName name="cst_wskakunin_sekou4_JIMU_NAME">DATA!$F$880</definedName>
    <definedName name="cst_wskakunin_sekou4_NAME">DATA!$F$876</definedName>
    <definedName name="cst_wskakunin_sekou4_SEKOU__sikaku">DATA!$F$877</definedName>
    <definedName name="cst_wskakunin_sekou4_SEKOU_NO">DATA!$F$879</definedName>
    <definedName name="cst_wskakunin_sekou4_SEKOU_SIKAKU">DATA!$F$878</definedName>
    <definedName name="cst_wskakunin_sekou4_TEL">DATA!$F$883</definedName>
    <definedName name="cst_wskakunin_sekou4_ZIP">DATA!$F$881</definedName>
    <definedName name="cst_wskakunin_sekou5__address">DATA!$F$892</definedName>
    <definedName name="cst_wskakunin_sekou5_JIMU_NAME">DATA!$F$890</definedName>
    <definedName name="cst_wskakunin_sekou5_NAME">DATA!$F$886</definedName>
    <definedName name="cst_wskakunin_sekou5_SEKOU__sikaku">DATA!$F$887</definedName>
    <definedName name="cst_wskakunin_sekou5_SEKOU_NO">DATA!$F$889</definedName>
    <definedName name="cst_wskakunin_sekou5_SEKOU_SIKAKU">DATA!$F$888</definedName>
    <definedName name="cst_wskakunin_sekou5_TEL">DATA!$F$893</definedName>
    <definedName name="cst_wskakunin_sekou5_ZIP">DATA!$F$891</definedName>
    <definedName name="cst_wskakunin_sekou6__address">DATA!$F$902</definedName>
    <definedName name="cst_wskakunin_sekou6_JIMU_NAME">DATA!$F$900</definedName>
    <definedName name="cst_wskakunin_sekou6_NAME">DATA!$F$896</definedName>
    <definedName name="cst_wskakunin_sekou6_SEKOU__sikaku">DATA!$F$897</definedName>
    <definedName name="cst_wskakunin_sekou6_SEKOU_NO">DATA!$F$899</definedName>
    <definedName name="cst_wskakunin_sekou6_SEKOU_SIKAKU">DATA!$F$898</definedName>
    <definedName name="cst_wskakunin_sekou6_TEL">DATA!$F$903</definedName>
    <definedName name="cst_wskakunin_sekou6_ZIP">DATA!$F$901</definedName>
    <definedName name="cst_wskakunin_SHIKITI_MENSEKI_1_TOTAL">DATA!$F$1036</definedName>
    <definedName name="cst_wskakunin_SHIKITI_MENSEKI_1_TOTAL_SINTIKU">DATA!$F$1037</definedName>
    <definedName name="cst_wskakunin_SHIKITI_MENSEKI_1A">DATA!$F$1011</definedName>
    <definedName name="cst_wskakunin_SHIKITI_MENSEKI_1B">DATA!$F$1012</definedName>
    <definedName name="cst_wskakunin_SHIKITI_MENSEKI_1C">DATA!$F$1013</definedName>
    <definedName name="cst_wskakunin_SHIKITI_MENSEKI_1D">DATA!$F$1014</definedName>
    <definedName name="cst_wskakunin_SHIKITI_MENSEKI_2_TOTAL">DATA!$F$1038</definedName>
    <definedName name="cst_wskakunin_SHIKITI_MENSEKI_2A">DATA!$F$1015</definedName>
    <definedName name="cst_wskakunin_SHIKITI_MENSEKI_2B">DATA!$F$1016</definedName>
    <definedName name="cst_wskakunin_SHIKITI_MENSEKI_2C">DATA!$F$1017</definedName>
    <definedName name="cst_wskakunin_SHIKITI_MENSEKI_2D">DATA!$F$1018</definedName>
    <definedName name="cst_wskakunin_SHIKITI_MENSEKI_BIKOU">DATA!$F$1041</definedName>
    <definedName name="cst_wskakunin_SHINSEI_DATE">DATA!$F$61</definedName>
    <definedName name="cst_wskakunin_TAKASA_MAX_SHINSEI">DATA!$F$1181</definedName>
    <definedName name="cst_wskakunin_TAKASA_MAX_SONOTA">DATA!$F$1182</definedName>
    <definedName name="cst_wskakunin_tekihan01_TEKIHAN_KIKAN_ADDRESS">DATA!$F$921</definedName>
    <definedName name="cst_wskakunin_tekihan01_TEKIHAN_KIKAN_info">DATA!$F$922</definedName>
    <definedName name="cst_wskakunin_tekihan01_TEKIHAN_KIKAN_KEN__ken">DATA!$F$920</definedName>
    <definedName name="cst_wskakunin_tekihan01_TEKIHAN_KIKAN_NAME">DATA!$F$919</definedName>
    <definedName name="cst_wskakunin_tekihan01_TEKIHAN_STATE_mishinsei">DATA!$F$917</definedName>
    <definedName name="cst_wskakunin_tekihan01_TEKIHAN_STATE_shinsei">DATA!$F$916</definedName>
    <definedName name="cst_wskakunin_tekihan01_TEKIHAN_STATE_shinseifuyou">DATA!$F$918</definedName>
    <definedName name="cst_wskakunin_tekihan02_TEKIHAN_KIKAN_ADDRESS">DATA!$F$925</definedName>
    <definedName name="cst_wskakunin_tekihan02_TEKIHAN_KIKAN_info">DATA!$F$926</definedName>
    <definedName name="cst_wskakunin_tekihan02_TEKIHAN_KIKAN_KEN__ken">DATA!$F$924</definedName>
    <definedName name="cst_wskakunin_tekihan02_TEKIHAN_KIKAN_NAME">DATA!$F$923</definedName>
    <definedName name="cst_wskakunin_TOKUREI_TAKASA">DATA!$F$1196</definedName>
    <definedName name="cst_wskakunin_TOKUREI_TAKASA_box_off">DATA!$F$1198</definedName>
    <definedName name="cst_wskakunin_TOKUREI_TAKASA_box_on">DATA!$F$1197</definedName>
    <definedName name="cst_wskakunin_TOKUREI_TAKASA_DOURO">DATA!$F$1201</definedName>
    <definedName name="cst_wskakunin_TOKUREI_TAKASA_KITA">DATA!$F$1203</definedName>
    <definedName name="cst_wskakunin_TOKUREI_TAKASA_RINTI">DATA!$F$1202</definedName>
    <definedName name="cst_wskakunin_TOKUREI_txt">DATA!$F$1284</definedName>
    <definedName name="cst_wskakunin_TOKUTEI_KOUJI_KANRYOU_DATE_select">DATA!$F$1300</definedName>
    <definedName name="cst_wskakunin_TOKUTEI_KOUTEI">DATA!$F$1297</definedName>
    <definedName name="cst_wskakunin_TOKUTEI_KOUTEI_inter1">DATA!$F$1298</definedName>
    <definedName name="cst_wskakunin_TOKUTEI_KOUTEI_inter2">DATA!$F$1299</definedName>
    <definedName name="cst_wskakunin_wskakunin_SONOTA_KUIKI">DATA!$F$1003</definedName>
    <definedName name="cst_wskakunin_YOUSEKI_RITU">DATA!$F$1173</definedName>
    <definedName name="cst_wskakunin_YOUSEKI_RITU_A">DATA!$F$1026</definedName>
    <definedName name="cst_wskakunin_YOUSEKI_RITU_B">DATA!$F$1027</definedName>
    <definedName name="cst_wskakunin_YOUSEKI_RITU_C">DATA!$F$1028</definedName>
    <definedName name="cst_wskakunin_YOUSEKI_RITU_D">DATA!$F$1029</definedName>
    <definedName name="cst_wskakunin_YOUTO">DATA!$F$1044</definedName>
    <definedName name="cst_wskakunin_YOUTO_CODE">DATA!$F$1043</definedName>
    <definedName name="cst_wskakunin_YOUTO_kodate_box">DATA!$F$1046</definedName>
    <definedName name="cst_wskakunin_YOUTO_kyoudou_box">DATA!$F$1047</definedName>
    <definedName name="cst_wskakunin_YOUTO_TIIKI">DATA!$F$1020</definedName>
    <definedName name="cst_wskakunin_YOUTO_TIIKI_A">DATA!$F$1021</definedName>
    <definedName name="cst_wskakunin_YOUTO_TIIKI_B">DATA!$F$1022</definedName>
    <definedName name="cst_wskakunin_YOUTO_TIIKI_C">DATA!$F$1023</definedName>
    <definedName name="cst_wskakunin_YOUTO_TIIKI_D">DATA!$F$1024</definedName>
    <definedName name="intFixupTable_new" localSheetId="18" hidden="1">#REF!</definedName>
    <definedName name="intFixupTable_new" hidden="1">#REF!</definedName>
    <definedName name="_xlnm.Print_Area" localSheetId="44">委任状_建築主押印あり!$A$1:$AJ$46</definedName>
    <definedName name="_xlnm.Print_Area" localSheetId="45">委任状_建築主押印なし!$A$1:$AJ$46</definedName>
    <definedName name="_xlnm.Print_Area" localSheetId="25">仮使用_計画通知_第一面!$A$1:$AI$39</definedName>
    <definedName name="_xlnm.Print_Area" localSheetId="27">仮使用_第一面_別紙_手数料請求先!$A$2:$AI$57</definedName>
    <definedName name="_xlnm.Print_Area" localSheetId="26">仮使用_第一面_別紙_申請者!$A$2:$AI$38</definedName>
    <definedName name="_xlnm.Print_Area" localSheetId="28">仮使用_第二面!$A$1:$AM$36</definedName>
    <definedName name="_xlnm.Print_Area" localSheetId="29">仮使用_第二面_別紙_建築主等!$A$2:$AM$45</definedName>
    <definedName name="_xlnm.Print_Area" localSheetId="30">仮使用_注意!$A$1:$C$12</definedName>
    <definedName name="_xlnm.Print_Area" localSheetId="35">記載事項変更届!$A$1:$AN$57</definedName>
    <definedName name="_xlnm.Print_Area" localSheetId="41">軽微な変更説明書!$A$1:$AJ$51</definedName>
    <definedName name="_xlnm.Print_Area" localSheetId="31">建築主等変更届!$A$1:$AP$59</definedName>
    <definedName name="_xlnm.Print_Area" localSheetId="32">工事監理者変更届!$A$1:$AN$54</definedName>
    <definedName name="_xlnm.Print_Area" localSheetId="39">工事監理者変更届_補足用!$A$1:$AN$49</definedName>
    <definedName name="_xlnm.Print_Area" localSheetId="33">工事施工者変更届!$A$1:$AN$53</definedName>
    <definedName name="_xlnm.Print_Area" localSheetId="43">受付連絡票!$A$1:$R$118</definedName>
    <definedName name="_xlnm.Print_Area" localSheetId="46">省エネ適判_委任状_押印あり!$A$1:$AK$38</definedName>
    <definedName name="_xlnm.Print_Area" localSheetId="47">省エネ適判_委任状_押印なし!$A$1:$AK$41</definedName>
    <definedName name="_xlnm.Print_Area" localSheetId="48">省エネ適判_記載事項変更届!$A$1:$AN$48</definedName>
    <definedName name="_xlnm.Print_Area" localSheetId="49">省エネ適判_取下げ届!$A$1:$AF$42</definedName>
    <definedName name="_xlnm.Print_Area" localSheetId="50">省エネ適判_追加説明書!$A$1:$AI$45</definedName>
    <definedName name="_xlnm.Print_Area" localSheetId="36">申請者別紙!$A$3:$AM$45</definedName>
    <definedName name="_xlnm.Print_Area" localSheetId="34">申請取下届!$A$1:$AN$47</definedName>
    <definedName name="_xlnm.Print_Area" localSheetId="40">設計者が複数の場合の別紙!$A$1:$AN$50</definedName>
    <definedName name="_xlnm.Print_Area" localSheetId="13">第五面!$A$1:$X$84</definedName>
    <definedName name="_xlnm.Print_Area" localSheetId="11">第三面_2504!$A$1:$X$95</definedName>
    <definedName name="_xlnm.Print_Area" localSheetId="10">第二面!$A$1:$X$166</definedName>
    <definedName name="_xlnm.Print_Area" localSheetId="19">注意欄_参照用!$A$1:$AL$194</definedName>
    <definedName name="_xlnm.Print_Area" localSheetId="20">追加記入欄!$A$1:$GR$76</definedName>
    <definedName name="_xlnm.Print_Area" localSheetId="22">追加説明書_確認!$A$1:$AI$45</definedName>
    <definedName name="_xlnm.Print_Area" localSheetId="23">追加説明書_完了!$A$1:$AI$45</definedName>
    <definedName name="_xlnm.Print_Area" localSheetId="42">別紙_建築主設置者又は築造主!$A$2:$AI$41</definedName>
    <definedName name="_xlnm.Print_Area" localSheetId="51">連絡メモ!$A$1:$AN$55</definedName>
    <definedName name="_xlnm.Print_Titles" localSheetId="43">受付連絡票!$1:$1</definedName>
    <definedName name="shinsei_build_p6_01_PAGE6_KOUZOU_KEISAN_KIND__002">DATA!$D$58</definedName>
    <definedName name="shinsei_build_p6_01_PAGE6_KOUZOU_KEISAN_KIND__004">DATA!$D$57</definedName>
    <definedName name="shinsei_build_p6_01_PAGE6_KOUZOU_KEISAN_KIND__005">DATA!$D$56</definedName>
    <definedName name="shinsei_build_YOUTO">DATA!$D$1429</definedName>
    <definedName name="shinsei_HIKIUKE_DATE">DATA!$D$40</definedName>
    <definedName name="shinsei_ISSUE_DATE">DATA!$D$47</definedName>
    <definedName name="shinsei_ISSUE_KOUFU_NAME">DATA!$D$51</definedName>
    <definedName name="shinsei_ISSUE_NO">DATA!$D$42</definedName>
    <definedName name="shinsei_KAKU_SUMI_KOUFU_DATE">DATA!$D$48</definedName>
    <definedName name="shinsei_KAKU_SUMI_KOUFU_NAME">DATA!$D$52</definedName>
    <definedName name="shinsei_KAKU_SUMI_NO">DATA!$D$44</definedName>
    <definedName name="shinsei_PROVO_DATE">DATA!$D$34</definedName>
    <definedName name="shinsei_PROVO_NO">DATA!$D$35</definedName>
    <definedName name="shinsei_UKETUKE_NO">DATA!$D$38</definedName>
    <definedName name="shinsei_UNIT_COUNT">DATA!$D$1045</definedName>
    <definedName name="showsheetflag_cst_DATA">dSHEET!$B$7</definedName>
    <definedName name="showsheetflag_dAName">dSHEET!$B$9</definedName>
    <definedName name="showsheetflag_DATA">dSHEET!$B$6</definedName>
    <definedName name="showsheetflag_dSHEET">dSHEET!$B$5</definedName>
    <definedName name="showsheetflag_dSTART">dSHEET!$B$4</definedName>
    <definedName name="showsheetflag_NoObject">dSHEET!$B$71</definedName>
    <definedName name="showsheetflag_リスト">dSHEET!$B$12</definedName>
    <definedName name="showsheetflag_委任状_建築主押印あり">dSHEET!$B$55</definedName>
    <definedName name="showsheetflag_委任状_建築主押印なし">dSHEET!$B$56</definedName>
    <definedName name="showsheetflag_仮使用_計画通知_第一面">dSHEET!$B$24</definedName>
    <definedName name="showsheetflag_仮使用_第一面">dSHEET!$B$23</definedName>
    <definedName name="showsheetflag_仮使用_第一面_別紙_手数料請求先">dSHEET!$B$26</definedName>
    <definedName name="showsheetflag_仮使用_第一面_別紙_申請者">dSHEET!$B$25</definedName>
    <definedName name="showsheetflag_仮使用_第二面">dSHEET!$B$27</definedName>
    <definedName name="showsheetflag_仮使用_第二面_別紙_建築主等">dSHEET!$B$28</definedName>
    <definedName name="showsheetflag_仮使用_注意">dSHEET!$B$29</definedName>
    <definedName name="showsheetflag_概要三面">dSHEET!$B$40</definedName>
    <definedName name="showsheetflag_概要二面">dSHEET!$B$39</definedName>
    <definedName name="showsheetflag_確認申請第一面">dSHEET!$B$31</definedName>
    <definedName name="showsheetflag_記載事項変更届">dSHEET!$B$46</definedName>
    <definedName name="showsheetflag_計変第一面">dSHEET!$B$32</definedName>
    <definedName name="showsheetflag_軽微な変更説明書">dSHEET!$B$52</definedName>
    <definedName name="showsheetflag_建築概要一面">dSHEET!$B$38</definedName>
    <definedName name="showsheetflag_建築工事届_2410">dSHEET!$B$15</definedName>
    <definedName name="showsheetflag_建築主等変更届">dSHEET!$B$42</definedName>
    <definedName name="showsheetflag_建築主用変更届_補足用">dSHEET!$B$48</definedName>
    <definedName name="showsheetflag_工事監理者変更届">dSHEET!$B$43</definedName>
    <definedName name="showsheetflag_工事監理者変更届_補足用">dSHEET!$B$50</definedName>
    <definedName name="showsheetflag_工事施工者変更届">dSHEET!$B$44</definedName>
    <definedName name="showsheetflag_項目リスト">dSHEET!$B$8</definedName>
    <definedName name="showsheetflag_受付連絡票">dSHEET!$B$54</definedName>
    <definedName name="showsheetflag_省エネ適判_委任状_押印あり">dSHEET!$B$58</definedName>
    <definedName name="showsheetflag_省エネ適判_委任状_押印なし">dSHEET!$B$59</definedName>
    <definedName name="showsheetflag_省エネ適判_記載事項変更届">dSHEET!$B$60</definedName>
    <definedName name="showsheetflag_省エネ適判_取下げ届">dSHEET!$B$61</definedName>
    <definedName name="showsheetflag_省エネ適判_追加説明書">dSHEET!$B$62</definedName>
    <definedName name="showsheetflag_申請者別紙">dSHEET!$B$47</definedName>
    <definedName name="showsheetflag_申請取下届">dSHEET!$B$45</definedName>
    <definedName name="showsheetflag_設計者が複数の場合の別紙">dSHEET!$B$51</definedName>
    <definedName name="showsheetflag_説明">dSHEET!$B$10</definedName>
    <definedName name="showsheetflag_代理者に変更があるときの別紙">dSHEET!$B$49</definedName>
    <definedName name="showsheetflag_第五面">dSHEET!$B$36</definedName>
    <definedName name="showsheetflag_第三面_2504">dSHEET!$B$34</definedName>
    <definedName name="showsheetflag_第四面_2504">dSHEET!$B$35</definedName>
    <definedName name="showsheetflag_第二面">dSHEET!$B$33</definedName>
    <definedName name="showsheetflag_第六面">dSHEET!$B$37</definedName>
    <definedName name="showsheetflag_注意欄_参照用">dSHEET!$B$16</definedName>
    <definedName name="showsheetflag_追加記入欄">dSHEET!$B$17</definedName>
    <definedName name="showsheetflag_追加説明書_確認">dSHEET!$B$20</definedName>
    <definedName name="showsheetflag_追加説明書_完了">dSHEET!$B$21</definedName>
    <definedName name="showsheetflag_別紙_建築主設置者又は築造主">dSHEET!$B$53</definedName>
    <definedName name="showsheetflag_用途の区分">dSHEET!$B$13</definedName>
    <definedName name="showsheetflag_用途番号用">dSHEET!$B$18</definedName>
    <definedName name="showsheetflag_連絡メモ">dSHEET!$B$63</definedName>
    <definedName name="wsecoteki_APPLICANT_NAME">DATA!$D$1440</definedName>
    <definedName name="wsecoteki_BUILD__address">DATA!$D$1435</definedName>
    <definedName name="wsecoteki_BUILD_ADDRESS">DATA!$D$1437</definedName>
    <definedName name="wsecoteki_BUILD_KEN__ken">DATA!$D$1436</definedName>
    <definedName name="wsecoteki_BUILD_NAME">DATA!$D$1432</definedName>
    <definedName name="wsecoteki_dairi1__address">DATA!$D$1488</definedName>
    <definedName name="wsecoteki_dairi1__sikaku">DATA!$D$1472</definedName>
    <definedName name="wsecoteki_dairi1_FAX">DATA!$D$1490</definedName>
    <definedName name="wsecoteki_dairi1_JIMU__sikaku">DATA!$D$1481</definedName>
    <definedName name="wsecoteki_dairi1_JIMU_NAME">DATA!$D$1485</definedName>
    <definedName name="wsecoteki_dairi1_JIMU_NAME_KANA">DATA!$D$1486</definedName>
    <definedName name="wsecoteki_dairi1_JIMU_NO">DATA!$D$1484</definedName>
    <definedName name="wsecoteki_dairi1_JIMU_SIKAKU__label">DATA!$D$1482</definedName>
    <definedName name="wsecoteki_dairi1_JIMU_TOUROKU_KIKAN__label">DATA!$D$1483</definedName>
    <definedName name="wsecoteki_dairi1_KENTIKUSI_NO">DATA!$D$1475</definedName>
    <definedName name="wsecoteki_dairi1_NAME">DATA!$D$1476</definedName>
    <definedName name="wsecoteki_dairi1_NAME_KANA">DATA!$D$1477</definedName>
    <definedName name="wsecoteki_dairi1_POST">DATA!$D$1479</definedName>
    <definedName name="wsecoteki_dairi1_POST_KANA">DATA!$D$1480</definedName>
    <definedName name="wsecoteki_dairi1_SIKAKU__label">DATA!$D$1473</definedName>
    <definedName name="wsecoteki_dairi1_TEL">DATA!$D$1489</definedName>
    <definedName name="wsecoteki_dairi1_TOUROKU_KIKAN__label">DATA!$D$1474</definedName>
    <definedName name="wsecoteki_dairi1_ZIP">DATA!$D$1487</definedName>
    <definedName name="wsecoteki_owner1__address">DATA!$D$1451</definedName>
    <definedName name="wsecoteki_owner1_JIMU_NAME">DATA!$D$1442</definedName>
    <definedName name="wsecoteki_owner1_JIMU_NAME_KANA">DATA!$D$1443</definedName>
    <definedName name="wsecoteki_owner1_NAME">DATA!$D$1446</definedName>
    <definedName name="wsecoteki_owner1_NAME_KANA">DATA!$D$1448</definedName>
    <definedName name="wsecoteki_owner1_POST">DATA!$D$1444</definedName>
    <definedName name="wsecoteki_owner1_POST_KANA">DATA!$D$1445</definedName>
    <definedName name="wsecoteki_owner1_TEL">DATA!$D$1453</definedName>
    <definedName name="wsecoteki_owner1_ZIP">DATA!$D$1449</definedName>
    <definedName name="wsecoteki_owner2__address">DATA!$D$1467</definedName>
    <definedName name="wsecoteki_owner2_JIMU_NAME">DATA!$D$1458</definedName>
    <definedName name="wsecoteki_owner2_JIMU_NAME_KANA">DATA!$D$1459</definedName>
    <definedName name="wsecoteki_owner2_NAME">DATA!$D$1462</definedName>
    <definedName name="wsecoteki_owner2_NAME_KANA">DATA!$D$1464</definedName>
    <definedName name="wsecoteki_owner2_POST">DATA!$D$1460</definedName>
    <definedName name="wsecoteki_owner2_POST_KANA">DATA!$D$1461</definedName>
    <definedName name="wsecoteki_owner2_TEL">DATA!$D$1469</definedName>
    <definedName name="wsecoteki_owner2_ZIP">DATA!$D$1465</definedName>
    <definedName name="wsflat35_dairi1_POST">DATA!$D$212</definedName>
    <definedName name="wsjob_JOB_INPUT_VERSION">DATA!$D$23</definedName>
    <definedName name="wsjob_JOB_KIND">DATA!$D$19</definedName>
    <definedName name="wsjob_JOB_SET_KIND">DATA!$D$12</definedName>
    <definedName name="wsjob_TARGET_KIND">DATA!$D$13</definedName>
    <definedName name="wsjob_TARGET_KIND__label">DATA!$D$11</definedName>
    <definedName name="wskakunin__bouka">DATA!$D$997</definedName>
    <definedName name="wskakunin__kouji">DATA!$D$1049</definedName>
    <definedName name="wskakunin__kuiki">DATA!$D$988</definedName>
    <definedName name="wskakunin__tosi_kuiki">DATA!$D$991</definedName>
    <definedName name="wskakunin_20kouzou101_KOUZOUSEKKEI_KOUFU_NO">DATA!$D$561</definedName>
    <definedName name="wskakunin_20kouzou101_NAME">DATA!$D$560</definedName>
    <definedName name="wskakunin_20kouzou102_KOUZOUSEKKEI_KOUFU_NO">DATA!$D$563</definedName>
    <definedName name="wskakunin_20kouzou102_NAME">DATA!$D$562</definedName>
    <definedName name="wskakunin_20kouzou103_KOUZOUSEKKEI_KOUFU_NO">DATA!$D$565</definedName>
    <definedName name="wskakunin_20kouzou103_NAME">DATA!$D$564</definedName>
    <definedName name="wskakunin_20kouzou104_KOUZOUSEKKEI_KOUFU_NO">DATA!$D$567</definedName>
    <definedName name="wskakunin_20kouzou104_NAME">DATA!$D$566</definedName>
    <definedName name="wskakunin_20kouzou105_KOUZOUSEKKEI_KOUFU_NO">DATA!$D$569</definedName>
    <definedName name="wskakunin_20kouzou105_NAME">DATA!$D$568</definedName>
    <definedName name="wskakunin_20kouzou301_KOUZOUSEKKEI_KOUFU_NO">DATA!$D$573</definedName>
    <definedName name="wskakunin_20kouzou301_NAME">DATA!$D$572</definedName>
    <definedName name="wskakunin_20kouzou302_KOUZOUSEKKEI_KOUFU_NO">DATA!$D$575</definedName>
    <definedName name="wskakunin_20kouzou302_NAME">DATA!$D$574</definedName>
    <definedName name="wskakunin_20kouzou303_KOUZOUSEKKEI_KOUFU_NO">DATA!$D$577</definedName>
    <definedName name="wskakunin_20kouzou303_NAME">DATA!$D$576</definedName>
    <definedName name="wskakunin_20kouzou304_KOUZOUSEKKEI_KOUFU_NO">DATA!$D$579</definedName>
    <definedName name="wskakunin_20kouzou304_NAME">DATA!$D$578</definedName>
    <definedName name="wskakunin_20kouzou305_KOUZOUSEKKEI_KOUFU_NO">DATA!$D$581</definedName>
    <definedName name="wskakunin_20kouzou305_NAME">DATA!$D$580</definedName>
    <definedName name="wskakunin_20setubi101_NAME">DATA!$D$584</definedName>
    <definedName name="wskakunin_20setubi101_SETUBISEKKEI_KOUFU_NO">DATA!$D$585</definedName>
    <definedName name="wskakunin_20setubi102_NAME">DATA!$D$586</definedName>
    <definedName name="wskakunin_20setubi102_SETUBISEKKEI_KOUFU_NO">DATA!$D$587</definedName>
    <definedName name="wskakunin_20setubi103_NAME">DATA!$D$588</definedName>
    <definedName name="wskakunin_20setubi103_SETUBISEKKEI_KOUFU_NO">DATA!$D$589</definedName>
    <definedName name="wskakunin_20setubi104_NAME">DATA!$D$590</definedName>
    <definedName name="wskakunin_20setubi104_SETUBISEKKEI_KOUFU_NO">DATA!$D$591</definedName>
    <definedName name="wskakunin_20setubi105_NAME">DATA!$D$592</definedName>
    <definedName name="wskakunin_20setubi105_SETUBISEKKEI_KOUFU_NO">DATA!$D$593</definedName>
    <definedName name="wskakunin_20setubi301_NAME">DATA!$D$596</definedName>
    <definedName name="wskakunin_20setubi301_SETUBISEKKEI_KOUFU_NO">DATA!$D$597</definedName>
    <definedName name="wskakunin_20setubi302_NAME">DATA!$D$598</definedName>
    <definedName name="wskakunin_20setubi302_SETUBISEKKEI_KOUFU_NO">DATA!$D$599</definedName>
    <definedName name="wskakunin_20setubi303_NAME">DATA!$D$600</definedName>
    <definedName name="wskakunin_20setubi303_SETUBISEKKEI_KOUFU_NO">DATA!$D$601</definedName>
    <definedName name="wskakunin_20setubi304_NAME">DATA!$D$602</definedName>
    <definedName name="wskakunin_20setubi304_SETUBISEKKEI_KOUFU_NO">DATA!$D$603</definedName>
    <definedName name="wskakunin_20setubi305_NAME">DATA!$D$604</definedName>
    <definedName name="wskakunin_20setubi305_SETUBISEKKEI_KOUFU_NO">DATA!$D$605</definedName>
    <definedName name="wskakunin_APPLICANT_NAME">DATA!$D$78</definedName>
    <definedName name="wskakunin_BOUKA_22JYO">DATA!$D$1001</definedName>
    <definedName name="wskakunin_BOUKA_BOUKA">DATA!$D$998</definedName>
    <definedName name="wskakunin_BOUKA_JYUN_BOUKA">DATA!$D$999</definedName>
    <definedName name="wskakunin_BOUKA_NASI">DATA!$D$1000</definedName>
    <definedName name="wskakunin_BOUKA_SETUBI_FLAG">DATA!$D$1271</definedName>
    <definedName name="wskakunin_BUILD__address">DATA!$D$977</definedName>
    <definedName name="wskakunin_BUILD_ADDRESS">DATA!$D$979</definedName>
    <definedName name="wskakunin_BUILD_JYUKYO__address">DATA!$D$982</definedName>
    <definedName name="wskakunin_BUILD_JYUKYO_ADDRESS">DATA!$D$984</definedName>
    <definedName name="wskakunin_BUILD_JYUKYO_KEN__ken">DATA!$D$983</definedName>
    <definedName name="wskakunin_BUILD_KEN__ken">DATA!$D$978</definedName>
    <definedName name="wskakunin_BUILD_NAME">DATA!$D$909</definedName>
    <definedName name="wskakunin_BUILD_NAME_KANA">DATA!$D$910</definedName>
    <definedName name="wskakunin_BUILD_SHINSEI_COUNT">DATA!$D$1176</definedName>
    <definedName name="wskakunin_BUILD_SONOTA_COUNT">DATA!$D$1177</definedName>
    <definedName name="wskakunin_dairi1__address">DATA!$D$222</definedName>
    <definedName name="wskakunin_dairi1__sikaku">DATA!$D$208</definedName>
    <definedName name="wskakunin_dairi1_FAX">DATA!$D$224</definedName>
    <definedName name="wskakunin_dairi1_JIMU__sikaku">DATA!$D$216</definedName>
    <definedName name="wskakunin_dairi1_JIMU_NAME">DATA!$D$220</definedName>
    <definedName name="wskakunin_dairi1_JIMU_NO">DATA!$D$219</definedName>
    <definedName name="wskakunin_dairi1_JIMU_SIKAKU__label">DATA!$D$217</definedName>
    <definedName name="wskakunin_dairi1_JIMU_TOUROKU_KIKAN__label">DATA!$D$218</definedName>
    <definedName name="wskakunin_dairi1_KENTIKUSI_NO">DATA!$D$211</definedName>
    <definedName name="wskakunin_dairi1_NAME">DATA!$D$213</definedName>
    <definedName name="wskakunin_dairi1_NAME_KANA">DATA!$D$215</definedName>
    <definedName name="wskakunin_dairi1_SIKAKU__label">DATA!$D$209</definedName>
    <definedName name="wskakunin_dairi1_TEL">DATA!$D$223</definedName>
    <definedName name="wskakunin_dairi1_TOUROKU_KIKAN__label">DATA!$D$210</definedName>
    <definedName name="wskakunin_dairi1_ZIP">DATA!$D$221</definedName>
    <definedName name="wskakunin_dairi2__address">DATA!$D$241</definedName>
    <definedName name="wskakunin_dairi2__sikaku">DATA!$D$229</definedName>
    <definedName name="wskakunin_dairi2_FAX">DATA!$D$243</definedName>
    <definedName name="wskakunin_dairi2_JIMU__sikaku">DATA!$D$235</definedName>
    <definedName name="wskakunin_dairi2_JIMU_NAME">DATA!$D$239</definedName>
    <definedName name="wskakunin_dairi2_JIMU_NO">DATA!$D$238</definedName>
    <definedName name="wskakunin_dairi2_JIMU_SIKAKU__label">DATA!$D$236</definedName>
    <definedName name="wskakunin_dairi2_JIMU_TOUROKU_KIKAN__label">DATA!$D$237</definedName>
    <definedName name="wskakunin_dairi2_KENTIKUSI_NO">DATA!$D$232</definedName>
    <definedName name="wskakunin_dairi2_NAME">DATA!$D$233</definedName>
    <definedName name="wskakunin_dairi2_NAME_KANA">DATA!$D$234</definedName>
    <definedName name="wskakunin_dairi2_SIKAKU__label">DATA!$D$230</definedName>
    <definedName name="wskakunin_dairi2_TEL">DATA!$D$242</definedName>
    <definedName name="wskakunin_dairi2_TOUROKU_KIKAN__label">DATA!$D$231</definedName>
    <definedName name="wskakunin_dairi2_ZIP">DATA!$D$240</definedName>
    <definedName name="wskakunin_dairi3__address">DATA!$D$259</definedName>
    <definedName name="wskakunin_dairi3__sikaku">DATA!$D$247</definedName>
    <definedName name="wskakunin_dairi3_FAX">DATA!$D$261</definedName>
    <definedName name="wskakunin_dairi3_JIMU__sikaku">DATA!$D$253</definedName>
    <definedName name="wskakunin_dairi3_JIMU_NAME">DATA!$D$257</definedName>
    <definedName name="wskakunin_dairi3_JIMU_NO">DATA!$D$256</definedName>
    <definedName name="wskakunin_dairi3_JIMU_SIKAKU__label">DATA!$D$254</definedName>
    <definedName name="wskakunin_dairi3_JIMU_TOUROKU_KIKAN__label">DATA!$D$255</definedName>
    <definedName name="wskakunin_dairi3_KENTIKUSI_NO">DATA!$D$250</definedName>
    <definedName name="wskakunin_dairi3_NAME">DATA!$D$251</definedName>
    <definedName name="wskakunin_dairi3_NAME_KANA">DATA!$D$252</definedName>
    <definedName name="wskakunin_dairi3_SIKAKU__label">DATA!$D$248</definedName>
    <definedName name="wskakunin_dairi3_TEL">DATA!$D$260</definedName>
    <definedName name="wskakunin_dairi3_TOUROKU_KIKAN__label">DATA!$D$249</definedName>
    <definedName name="wskakunin_dairi3_ZIP">DATA!$D$258</definedName>
    <definedName name="wskakunin_dairi4__address">DATA!$D$277</definedName>
    <definedName name="wskakunin_dairi4__sikaku">DATA!$D$265</definedName>
    <definedName name="wskakunin_dairi4_FAX">DATA!$D$279</definedName>
    <definedName name="wskakunin_dairi4_JIMU__sikaku">DATA!$D$271</definedName>
    <definedName name="wskakunin_dairi4_JIMU_NAME">DATA!$D$275</definedName>
    <definedName name="wskakunin_dairi4_JIMU_NO">DATA!$D$274</definedName>
    <definedName name="wskakunin_dairi4_JIMU_SIKAKU__label">DATA!$D$272</definedName>
    <definedName name="wskakunin_dairi4_JIMU_TOUROKU_KIKAN__label">DATA!$D$273</definedName>
    <definedName name="wskakunin_dairi4_KENTIKUSI_NO">DATA!$D$268</definedName>
    <definedName name="wskakunin_dairi4_NAME">DATA!$D$269</definedName>
    <definedName name="wskakunin_dairi4_NAME_KANA">DATA!$D$270</definedName>
    <definedName name="wskakunin_dairi4_SIKAKU__label">DATA!$D$266</definedName>
    <definedName name="wskakunin_dairi4_TEL">DATA!$D$278</definedName>
    <definedName name="wskakunin_dairi4_TOUROKU_KIKAN__label">DATA!$D$267</definedName>
    <definedName name="wskakunin_dairi4_ZIP">DATA!$D$276</definedName>
    <definedName name="wskakunin_dairi5__address">DATA!$D$295</definedName>
    <definedName name="wskakunin_dairi5__sikaku">DATA!$D$283</definedName>
    <definedName name="wskakunin_dairi5_FAX">DATA!$D$297</definedName>
    <definedName name="wskakunin_dairi5_JIMU__sikaku">DATA!$D$289</definedName>
    <definedName name="wskakunin_dairi5_JIMU_NAME">DATA!$D$293</definedName>
    <definedName name="wskakunin_dairi5_JIMU_NO">DATA!$D$292</definedName>
    <definedName name="wskakunin_dairi5_JIMU_SIKAKU__label">DATA!$D$290</definedName>
    <definedName name="wskakunin_dairi5_JIMU_TOUROKU_KIKAN__label">DATA!$D$291</definedName>
    <definedName name="wskakunin_dairi5_KENTIKUSI_NO">DATA!$D$286</definedName>
    <definedName name="wskakunin_dairi5_NAME">DATA!$D$287</definedName>
    <definedName name="wskakunin_dairi5_NAME_KANA">DATA!$D$288</definedName>
    <definedName name="wskakunin_dairi5_SIKAKU__label">DATA!$D$284</definedName>
    <definedName name="wskakunin_dairi5_TEL">DATA!$D$296</definedName>
    <definedName name="wskakunin_dairi5_TOUROKU_KIKAN__label">DATA!$D$285</definedName>
    <definedName name="wskakunin_dairi5_ZIP">DATA!$D$294</definedName>
    <definedName name="wskakunin_dairi6__address">DATA!$D$313</definedName>
    <definedName name="wskakunin_dairi6__sikaku">DATA!$D$301</definedName>
    <definedName name="wskakunin_dairi6_FAX">DATA!$D$315</definedName>
    <definedName name="wskakunin_dairi6_JIMU__sikaku">DATA!$D$307</definedName>
    <definedName name="wskakunin_dairi6_JIMU_NAME">DATA!$D$311</definedName>
    <definedName name="wskakunin_dairi6_JIMU_NO">DATA!$D$310</definedName>
    <definedName name="wskakunin_dairi6_JIMU_SIKAKU__label">DATA!$D$308</definedName>
    <definedName name="wskakunin_dairi6_JIMU_TOUROKU_KIKAN__label">DATA!$D$309</definedName>
    <definedName name="wskakunin_dairi6_KENTIKUSI_NO">DATA!$D$304</definedName>
    <definedName name="wskakunin_dairi6_NAME">DATA!$D$305</definedName>
    <definedName name="wskakunin_dairi6_NAME_KANA">DATA!$D$306</definedName>
    <definedName name="wskakunin_dairi6_SIKAKU__label">DATA!$D$302</definedName>
    <definedName name="wskakunin_dairi6_TEL">DATA!$D$314</definedName>
    <definedName name="wskakunin_dairi6_TOUROKU_KIKAN__label">DATA!$D$303</definedName>
    <definedName name="wskakunin_dairi6_ZIP">DATA!$D$312</definedName>
    <definedName name="wskakunin_dairi7__address">DATA!$D$331</definedName>
    <definedName name="wskakunin_dairi7__sikaku">DATA!$D$319</definedName>
    <definedName name="wskakunin_dairi7_FAX">DATA!$D$333</definedName>
    <definedName name="wskakunin_dairi7_JIMU__sikaku">DATA!$D$325</definedName>
    <definedName name="wskakunin_dairi7_JIMU_NAME">DATA!$D$329</definedName>
    <definedName name="wskakunin_dairi7_JIMU_NO">DATA!$D$328</definedName>
    <definedName name="wskakunin_dairi7_JIMU_SIKAKU__label">DATA!$D$326</definedName>
    <definedName name="wskakunin_dairi7_JIMU_TOUROKU_KIKAN__label">DATA!$D$327</definedName>
    <definedName name="wskakunin_dairi7_KENTIKUSI_NO">DATA!$D$322</definedName>
    <definedName name="wskakunin_dairi7_NAME">DATA!$D$323</definedName>
    <definedName name="wskakunin_dairi7_NAME_KANA">DATA!$D$324</definedName>
    <definedName name="wskakunin_dairi7_SIKAKU__label">DATA!$D$320</definedName>
    <definedName name="wskakunin_dairi7_TEL">DATA!$D$332</definedName>
    <definedName name="wskakunin_dairi7_TOUROKU_KIKAN__label">DATA!$D$321</definedName>
    <definedName name="wskakunin_dairi7_ZIP">DATA!$D$330</definedName>
    <definedName name="wskakunin_dairi8__address">DATA!$D$349</definedName>
    <definedName name="wskakunin_dairi8__sikaku">DATA!$D$337</definedName>
    <definedName name="wskakunin_dairi8_FAX">DATA!$D$351</definedName>
    <definedName name="wskakunin_dairi8_JIMU__sikaku">DATA!$D$343</definedName>
    <definedName name="wskakunin_dairi8_JIMU_NAME">DATA!$D$347</definedName>
    <definedName name="wskakunin_dairi8_JIMU_NO">DATA!$D$346</definedName>
    <definedName name="wskakunin_dairi8_JIMU_SIKAKU__label">DATA!$D$344</definedName>
    <definedName name="wskakunin_dairi8_JIMU_TOUROKU_KIKAN__label">DATA!$D$345</definedName>
    <definedName name="wskakunin_dairi8_KENTIKUSI_NO">DATA!$D$340</definedName>
    <definedName name="wskakunin_dairi8_NAME">DATA!$D$341</definedName>
    <definedName name="wskakunin_dairi8_NAME_KANA">DATA!$D$342</definedName>
    <definedName name="wskakunin_dairi8_SIKAKU__label">DATA!$D$338</definedName>
    <definedName name="wskakunin_dairi8_TEL">DATA!$D$350</definedName>
    <definedName name="wskakunin_dairi8_TOUROKU_KIKAN__label">DATA!$D$339</definedName>
    <definedName name="wskakunin_dairi8_ZIP">DATA!$D$348</definedName>
    <definedName name="wskakunin_DOURO_FUKUIN">DATA!$D$1006</definedName>
    <definedName name="wskakunin_DOURO_NAGASA">DATA!$D$1007</definedName>
    <definedName name="wskakunin_ecotekihan01_FUYOU_CAUSE">DATA!$D$939</definedName>
    <definedName name="wskakunin_ecotekihan01_TEKIHAN_KIKAN_ADDRESS">DATA!$D$935</definedName>
    <definedName name="wskakunin_ecotekihan01_TEKIHAN_KIKAN_KEN__ken">DATA!$D$934</definedName>
    <definedName name="wskakunin_ecotekihan01_TEKIHAN_KIKAN_NAME">DATA!$D$933</definedName>
    <definedName name="wskakunin_ecotekihan01_TEKIHAN_STATE">DATA!$D$929</definedName>
    <definedName name="wskakunin_gaiyou1_EV_KIND">DATA!$D$1080</definedName>
    <definedName name="wskakunin_gaiyou1_KOUJI_KAITIKU">DATA!$D$1067</definedName>
    <definedName name="wskakunin_gaiyou1_KOUJI_SINTIKU">DATA!$D$1065</definedName>
    <definedName name="wskakunin_gaiyou1_KOUJI_SONOTA">DATA!$D$1068</definedName>
    <definedName name="wskakunin_gaiyou1_KOUJI_SONOTA_TEXT">DATA!$D$1069</definedName>
    <definedName name="wskakunin_gaiyou1_KOUJI_ZOUTIKU">DATA!$D$1066</definedName>
    <definedName name="wskakunin_gaiyou1_KOUZOU">DATA!$D$1064</definedName>
    <definedName name="wskakunin_gaiyou1_NINSYOU_NO">DATA!$D$1086</definedName>
    <definedName name="wskakunin_gaiyou1_NO">DATA!$D$1079</definedName>
    <definedName name="wskakunin_gaiyou1_SEKISAI">DATA!$D$1082</definedName>
    <definedName name="wskakunin_gaiyou1_SONOTA">DATA!$D$1085</definedName>
    <definedName name="wskakunin_gaiyou1_SONOTA_and_NINSYOU_NO">DATA!$D$1087</definedName>
    <definedName name="wskakunin_gaiyou1_SPEED">DATA!$D$1084</definedName>
    <definedName name="wskakunin_gaiyou1_TAKASA">DATA!$D$1063</definedName>
    <definedName name="wskakunin_gaiyou1_TEIIN">DATA!$D$1083</definedName>
    <definedName name="wskakunin_gaiyou1_TIKUZOU_MENSEKI_IGAI">DATA!$D$1072</definedName>
    <definedName name="wskakunin_gaiyou1_TIKUZOU_MENSEKI_SHINSEI">DATA!$D$1071</definedName>
    <definedName name="wskakunin_gaiyou1_TIKUZOU_MENSEKI_TOTAL">DATA!$D$1073</definedName>
    <definedName name="wskakunin_gaiyou1_WORK_COUNT_IGAI">DATA!$D$1075</definedName>
    <definedName name="wskakunin_gaiyou1_WORK_COUNT_SHINSEI">DATA!$D$1074</definedName>
    <definedName name="wskakunin_gaiyou1_WORK_COUNT_TOTAL">DATA!$D$1076</definedName>
    <definedName name="wskakunin_gaiyou1_WORK_SYURUI">DATA!$D$1062</definedName>
    <definedName name="wskakunin_gaiyou1_WORK_SYURUI_CODE">DATA!$D$1061</definedName>
    <definedName name="wskakunin_gaiyou1_YOUTO">DATA!$D$1081</definedName>
    <definedName name="wskakunin_iken1__address">DATA!$D$612</definedName>
    <definedName name="wskakunin_iken1_DOC">DATA!$D$615</definedName>
    <definedName name="wskakunin_iken1_IKEN_NO">DATA!$D$614</definedName>
    <definedName name="wskakunin_iken1_JIMU_NAME">DATA!$D$610</definedName>
    <definedName name="wskakunin_iken1_NAME">DATA!$D$609</definedName>
    <definedName name="wskakunin_iken1_TEL">DATA!$D$613</definedName>
    <definedName name="wskakunin_iken1_ZIP">DATA!$D$611</definedName>
    <definedName name="wskakunin_iken2__address">DATA!$D$621</definedName>
    <definedName name="wskakunin_iken2_DOC">DATA!$D$624</definedName>
    <definedName name="wskakunin_iken2_IKEN_NO">DATA!$D$623</definedName>
    <definedName name="wskakunin_iken2_JIMU_NAME">DATA!$D$619</definedName>
    <definedName name="wskakunin_iken2_NAME">DATA!$D$618</definedName>
    <definedName name="wskakunin_iken2_TEL">DATA!$D$622</definedName>
    <definedName name="wskakunin_iken2_ZIP">DATA!$D$620</definedName>
    <definedName name="wskakunin_iken3__address">DATA!$D$630</definedName>
    <definedName name="wskakunin_iken3_DOC">DATA!$D$633</definedName>
    <definedName name="wskakunin_iken3_IKEN_NO">DATA!$D$632</definedName>
    <definedName name="wskakunin_iken3_JIMU_NAME">DATA!$D$628</definedName>
    <definedName name="wskakunin_iken3_NAME">DATA!$D$627</definedName>
    <definedName name="wskakunin_iken3_TEL">DATA!$D$631</definedName>
    <definedName name="wskakunin_iken3_ZIP">DATA!$D$629</definedName>
    <definedName name="wskakunin_iken4__address">DATA!$D$639</definedName>
    <definedName name="wskakunin_iken4_DOC">DATA!$D$642</definedName>
    <definedName name="wskakunin_iken4_IKEN_NO">DATA!$D$641</definedName>
    <definedName name="wskakunin_iken4_JIMU_NAME">DATA!$D$637</definedName>
    <definedName name="wskakunin_iken4_NAME">DATA!$D$636</definedName>
    <definedName name="wskakunin_iken4_TEL">DATA!$D$640</definedName>
    <definedName name="wskakunin_iken4_ZIP">DATA!$D$638</definedName>
    <definedName name="wskakunin_iken5__address">DATA!$D$647</definedName>
    <definedName name="wskakunin_iken5_DOC">DATA!$D$650</definedName>
    <definedName name="wskakunin_iken5_IKEN_NO">DATA!$D$649</definedName>
    <definedName name="wskakunin_iken5_JIMU_NAME">DATA!$D$645</definedName>
    <definedName name="wskakunin_iken5_NAME">DATA!$D$644</definedName>
    <definedName name="wskakunin_iken5_TEL">DATA!$D$648</definedName>
    <definedName name="wskakunin_iken5_ZIP">DATA!$D$646</definedName>
    <definedName name="wskakunin_KAISU_TIJYOU_SHINSEI">DATA!$D$1184</definedName>
    <definedName name="wskakunin_KAISU_TIJYOU_SONOTA">DATA!$D$1185</definedName>
    <definedName name="wskakunin_KAISU_TIKA_SHINSEI__zero">DATA!$D$1187</definedName>
    <definedName name="wskakunin_KAISU_TIKA_SONOTA">DATA!$D$1188</definedName>
    <definedName name="wskakunin_kanri1__address">DATA!$D$665</definedName>
    <definedName name="wskakunin_kanri1__sikaku">DATA!$D$653</definedName>
    <definedName name="wskakunin_kanri1_DOC">DATA!$D$667</definedName>
    <definedName name="wskakunin_kanri1_JIMU__sikaku">DATA!$D$658</definedName>
    <definedName name="wskakunin_kanri1_JIMU_NAME">DATA!$D$662</definedName>
    <definedName name="wskakunin_kanri1_JIMU_NO">DATA!$D$661</definedName>
    <definedName name="wskakunin_kanri1_JIMU_SIKAKU__label">DATA!$D$659</definedName>
    <definedName name="wskakunin_kanri1_JIMU_TOUROKU_KIKAN__label">DATA!$D$660</definedName>
    <definedName name="wskakunin_kanri1_KENTIKUSI_NO">DATA!$D$656</definedName>
    <definedName name="wskakunin_kanri1_NAME">DATA!$D$657</definedName>
    <definedName name="wskakunin_kanri1_SIKAKU__label">DATA!$D$654</definedName>
    <definedName name="wskakunin_kanri1_TEL">DATA!$D$666</definedName>
    <definedName name="wskakunin_kanri1_TOUROKU_KIKAN__label">DATA!$D$655</definedName>
    <definedName name="wskakunin_kanri1_ZIP">DATA!$D$663</definedName>
    <definedName name="wskakunin_kanri10__address">DATA!$D$809</definedName>
    <definedName name="wskakunin_kanri10__sikaku">DATA!$D$798</definedName>
    <definedName name="wskakunin_kanri10_DOC">DATA!$D$811</definedName>
    <definedName name="wskakunin_kanri10_JIMU__sikaku">DATA!$D$803</definedName>
    <definedName name="wskakunin_kanri10_JIMU_NAME">DATA!$D$807</definedName>
    <definedName name="wskakunin_kanri10_JIMU_NO">DATA!$D$806</definedName>
    <definedName name="wskakunin_kanri10_JIMU_SIKAKU__label">DATA!$D$804</definedName>
    <definedName name="wskakunin_kanri10_JIMU_TOUROKU_KIKAN__label">DATA!$D$805</definedName>
    <definedName name="wskakunin_kanri10_KENTIKUSI_NO">DATA!$D$801</definedName>
    <definedName name="wskakunin_kanri10_NAME">DATA!$D$802</definedName>
    <definedName name="wskakunin_kanri10_SIKAKU__label">DATA!$D$799</definedName>
    <definedName name="wskakunin_kanri10_TEL">DATA!$D$810</definedName>
    <definedName name="wskakunin_kanri10_TOUROKU_KIKAN__label">DATA!$D$800</definedName>
    <definedName name="wskakunin_kanri10_ZIP">DATA!$D$808</definedName>
    <definedName name="wskakunin_kanri11__address">DATA!$D$825</definedName>
    <definedName name="wskakunin_kanri11__sikaku">DATA!$D$814</definedName>
    <definedName name="wskakunin_kanri11_DOC">DATA!$D$827</definedName>
    <definedName name="wskakunin_kanri11_JIMU__sikaku">DATA!$D$819</definedName>
    <definedName name="wskakunin_kanri11_JIMU_NAME">DATA!$D$823</definedName>
    <definedName name="wskakunin_kanri11_JIMU_NO">DATA!$D$822</definedName>
    <definedName name="wskakunin_kanri11_JIMU_SIKAKU__label">DATA!$D$820</definedName>
    <definedName name="wskakunin_kanri11_JIMU_TOUROKU_KIKAN__label">DATA!$D$821</definedName>
    <definedName name="wskakunin_kanri11_KENTIKUSI_NO">DATA!$D$817</definedName>
    <definedName name="wskakunin_kanri11_NAME">DATA!$D$818</definedName>
    <definedName name="wskakunin_kanri11_SIKAKU__label">DATA!$D$815</definedName>
    <definedName name="wskakunin_kanri11_TEL">DATA!$D$826</definedName>
    <definedName name="wskakunin_kanri11_TOUROKU_KIKAN__label">DATA!$D$816</definedName>
    <definedName name="wskakunin_kanri11_ZIP">DATA!$D$824</definedName>
    <definedName name="wskakunin_kanri12__address">DATA!$D$841</definedName>
    <definedName name="wskakunin_kanri12__sikaku">DATA!$D$830</definedName>
    <definedName name="wskakunin_kanri12_DOC">DATA!$D$843</definedName>
    <definedName name="wskakunin_kanri12_JIMU__sikaku">DATA!$D$835</definedName>
    <definedName name="wskakunin_kanri12_JIMU_NAME">DATA!$D$839</definedName>
    <definedName name="wskakunin_kanri12_JIMU_NO">DATA!$D$838</definedName>
    <definedName name="wskakunin_kanri12_JIMU_SIKAKU__label">DATA!$D$836</definedName>
    <definedName name="wskakunin_kanri12_JIMU_TOUROKU_KIKAN__label">DATA!$D$837</definedName>
    <definedName name="wskakunin_kanri12_KENTIKUSI_NO">DATA!$D$833</definedName>
    <definedName name="wskakunin_kanri12_NAME">DATA!$D$834</definedName>
    <definedName name="wskakunin_kanri12_SIKAKU__label">DATA!$D$831</definedName>
    <definedName name="wskakunin_kanri12_TEL">DATA!$D$842</definedName>
    <definedName name="wskakunin_kanri12_TOUROKU_KIKAN__label">DATA!$D$832</definedName>
    <definedName name="wskakunin_kanri12_ZIP">DATA!$D$840</definedName>
    <definedName name="wskakunin_kanri2__address">DATA!$D$681</definedName>
    <definedName name="wskakunin_kanri2__sikaku">DATA!$D$670</definedName>
    <definedName name="wskakunin_kanri2_DOC">DATA!$D$683</definedName>
    <definedName name="wskakunin_kanri2_JIMU__sikaku">DATA!$D$675</definedName>
    <definedName name="wskakunin_kanri2_JIMU_NAME">DATA!$D$679</definedName>
    <definedName name="wskakunin_kanri2_JIMU_NO">DATA!$D$678</definedName>
    <definedName name="wskakunin_kanri2_JIMU_SIKAKU__label">DATA!$D$676</definedName>
    <definedName name="wskakunin_kanri2_JIMU_TOUROKU_KIKAN__label">DATA!$D$677</definedName>
    <definedName name="wskakunin_kanri2_KENTIKUSI_NO">DATA!$D$673</definedName>
    <definedName name="wskakunin_kanri2_NAME">DATA!$D$674</definedName>
    <definedName name="wskakunin_kanri2_SIKAKU__label">DATA!$D$671</definedName>
    <definedName name="wskakunin_kanri2_TEL">DATA!$D$682</definedName>
    <definedName name="wskakunin_kanri2_TOUROKU_KIKAN__label">DATA!$D$672</definedName>
    <definedName name="wskakunin_kanri2_ZIP">DATA!$D$680</definedName>
    <definedName name="wskakunin_kanri3__address">DATA!$D$697</definedName>
    <definedName name="wskakunin_kanri3__sikaku">DATA!$D$686</definedName>
    <definedName name="wskakunin_kanri3_DOC">DATA!$D$699</definedName>
    <definedName name="wskakunin_kanri3_JIMU__sikaku">DATA!$D$691</definedName>
    <definedName name="wskakunin_kanri3_JIMU_NAME">DATA!$D$695</definedName>
    <definedName name="wskakunin_kanri3_JIMU_NO">DATA!$D$694</definedName>
    <definedName name="wskakunin_kanri3_JIMU_SIKAKU__label">DATA!$D$692</definedName>
    <definedName name="wskakunin_kanri3_JIMU_TOUROKU_KIKAN__label">DATA!$D$693</definedName>
    <definedName name="wskakunin_kanri3_KENTIKUSI_NO">DATA!$D$689</definedName>
    <definedName name="wskakunin_kanri3_NAME">DATA!$D$690</definedName>
    <definedName name="wskakunin_kanri3_SIKAKU__label">DATA!$D$687</definedName>
    <definedName name="wskakunin_kanri3_TEL">DATA!$D$698</definedName>
    <definedName name="wskakunin_kanri3_TOUROKU_KIKAN__label">DATA!$D$688</definedName>
    <definedName name="wskakunin_kanri3_ZIP">DATA!$D$696</definedName>
    <definedName name="wskakunin_kanri4__address">DATA!$D$713</definedName>
    <definedName name="wskakunin_kanri4__sikaku">DATA!$D$702</definedName>
    <definedName name="wskakunin_kanri4_DOC">DATA!$D$715</definedName>
    <definedName name="wskakunin_kanri4_JIMU__sikaku">DATA!$D$707</definedName>
    <definedName name="wskakunin_kanri4_JIMU_NAME">DATA!$D$711</definedName>
    <definedName name="wskakunin_kanri4_JIMU_NO">DATA!$D$710</definedName>
    <definedName name="wskakunin_kanri4_JIMU_SIKAKU__label">DATA!$D$708</definedName>
    <definedName name="wskakunin_kanri4_JIMU_TOUROKU_KIKAN__label">DATA!$D$709</definedName>
    <definedName name="wskakunin_kanri4_KENTIKUSI_NO">DATA!$D$705</definedName>
    <definedName name="wskakunin_kanri4_NAME">DATA!$D$706</definedName>
    <definedName name="wskakunin_kanri4_SIKAKU__label">DATA!$D$703</definedName>
    <definedName name="wskakunin_kanri4_TEL">DATA!$D$714</definedName>
    <definedName name="wskakunin_kanri4_TOUROKU_KIKAN__label">DATA!$D$704</definedName>
    <definedName name="wskakunin_kanri4_ZIP">DATA!$D$712</definedName>
    <definedName name="wskakunin_kanri5__address">DATA!$D$729</definedName>
    <definedName name="wskakunin_kanri5__sikaku">DATA!$D$718</definedName>
    <definedName name="wskakunin_kanri5_DOC">DATA!$D$731</definedName>
    <definedName name="wskakunin_kanri5_JIMU__sikaku">DATA!$D$723</definedName>
    <definedName name="wskakunin_kanri5_JIMU_NAME">DATA!$D$727</definedName>
    <definedName name="wskakunin_kanri5_JIMU_NO">DATA!$D$726</definedName>
    <definedName name="wskakunin_kanri5_JIMU_SIKAKU__label">DATA!$D$724</definedName>
    <definedName name="wskakunin_kanri5_JIMU_TOUROKU_KIKAN__label">DATA!$D$725</definedName>
    <definedName name="wskakunin_kanri5_KENTIKUSI_NO">DATA!$D$721</definedName>
    <definedName name="wskakunin_kanri5_NAME">DATA!$D$722</definedName>
    <definedName name="wskakunin_kanri5_SIKAKU__label">DATA!$D$719</definedName>
    <definedName name="wskakunin_kanri5_TEL">DATA!$D$730</definedName>
    <definedName name="wskakunin_kanri5_TOUROKU_KIKAN__label">DATA!$D$720</definedName>
    <definedName name="wskakunin_kanri5_ZIP">DATA!$D$728</definedName>
    <definedName name="wskakunin_kanri6__address">DATA!$D$745</definedName>
    <definedName name="wskakunin_kanri6__sikaku">DATA!$D$734</definedName>
    <definedName name="wskakunin_kanri6_DOC">DATA!$D$747</definedName>
    <definedName name="wskakunin_kanri6_JIMU__sikaku">DATA!$D$739</definedName>
    <definedName name="wskakunin_kanri6_JIMU_NAME">DATA!$D$743</definedName>
    <definedName name="wskakunin_kanri6_JIMU_NO">DATA!$D$742</definedName>
    <definedName name="wskakunin_kanri6_JIMU_SIKAKU__label">DATA!$D$740</definedName>
    <definedName name="wskakunin_kanri6_JIMU_TOUROKU_KIKAN__label">DATA!$D$741</definedName>
    <definedName name="wskakunin_kanri6_KENTIKUSI_NO">DATA!$D$737</definedName>
    <definedName name="wskakunin_kanri6_NAME">DATA!$D$738</definedName>
    <definedName name="wskakunin_kanri6_SIKAKU__label">DATA!$D$735</definedName>
    <definedName name="wskakunin_kanri6_TEL">DATA!$D$746</definedName>
    <definedName name="wskakunin_kanri6_TOUROKU_KIKAN__label">DATA!$D$736</definedName>
    <definedName name="wskakunin_kanri6_ZIP">DATA!$D$744</definedName>
    <definedName name="wskakunin_kanri7__address">DATA!$D$761</definedName>
    <definedName name="wskakunin_kanri7__sikaku">DATA!$D$750</definedName>
    <definedName name="wskakunin_kanri7_DOC">DATA!$D$763</definedName>
    <definedName name="wskakunin_kanri7_JIMU__sikaku">DATA!$D$755</definedName>
    <definedName name="wskakunin_kanri7_JIMU_NAME">DATA!$D$759</definedName>
    <definedName name="wskakunin_kanri7_JIMU_NO">DATA!$D$758</definedName>
    <definedName name="wskakunin_kanri7_JIMU_SIKAKU__label">DATA!$D$756</definedName>
    <definedName name="wskakunin_kanri7_JIMU_TOUROKU_KIKAN__label">DATA!$D$757</definedName>
    <definedName name="wskakunin_kanri7_KENTIKUSI_NO">DATA!$D$753</definedName>
    <definedName name="wskakunin_kanri7_NAME">DATA!$D$754</definedName>
    <definedName name="wskakunin_kanri7_SIKAKU__label">DATA!$D$751</definedName>
    <definedName name="wskakunin_kanri7_TEL">DATA!$D$762</definedName>
    <definedName name="wskakunin_kanri7_TOUROKU_KIKAN__label">DATA!$D$752</definedName>
    <definedName name="wskakunin_kanri7_ZIP">DATA!$D$760</definedName>
    <definedName name="wskakunin_kanri8__address">DATA!$D$777</definedName>
    <definedName name="wskakunin_kanri8__sikaku">DATA!$D$766</definedName>
    <definedName name="wskakunin_kanri8_DOC">DATA!$D$779</definedName>
    <definedName name="wskakunin_kanri8_JIMU__sikaku">DATA!$D$771</definedName>
    <definedName name="wskakunin_kanri8_JIMU_NAME">DATA!$D$775</definedName>
    <definedName name="wskakunin_kanri8_JIMU_NO">DATA!$D$774</definedName>
    <definedName name="wskakunin_kanri8_JIMU_SIKAKU__label">DATA!$D$772</definedName>
    <definedName name="wskakunin_kanri8_JIMU_TOUROKU_KIKAN__label">DATA!$D$773</definedName>
    <definedName name="wskakunin_kanri8_KENTIKUSI_NO">DATA!$D$769</definedName>
    <definedName name="wskakunin_kanri8_NAME">DATA!$D$770</definedName>
    <definedName name="wskakunin_kanri8_SIKAKU__label">DATA!$D$767</definedName>
    <definedName name="wskakunin_kanri8_TEL">DATA!$D$778</definedName>
    <definedName name="wskakunin_kanri8_TOUROKU_KIKAN__label">DATA!$D$768</definedName>
    <definedName name="wskakunin_kanri8_ZIP">DATA!$D$776</definedName>
    <definedName name="wskakunin_kanri9__address">DATA!$D$793</definedName>
    <definedName name="wskakunin_kanri9__sikaku">DATA!$D$782</definedName>
    <definedName name="wskakunin_kanri9_DOC">DATA!$D$795</definedName>
    <definedName name="wskakunin_kanri9_JIMU__sikaku">DATA!$D$787</definedName>
    <definedName name="wskakunin_kanri9_JIMU_NAME">DATA!$D$791</definedName>
    <definedName name="wskakunin_kanri9_JIMU_NO">DATA!$D$790</definedName>
    <definedName name="wskakunin_kanri9_JIMU_SIKAKU__label">DATA!$D$788</definedName>
    <definedName name="wskakunin_kanri9_JIMU_TOUROKU_KIKAN__label">DATA!$D$789</definedName>
    <definedName name="wskakunin_kanri9_KENTIKUSI_NO">DATA!$D$785</definedName>
    <definedName name="wskakunin_kanri9_NAME">DATA!$D$786</definedName>
    <definedName name="wskakunin_kanri9_SIKAKU__label">DATA!$D$783</definedName>
    <definedName name="wskakunin_kanri9_TEL">DATA!$D$794</definedName>
    <definedName name="wskakunin_kanri9_TOUROKU_KIKAN__label">DATA!$D$784</definedName>
    <definedName name="wskakunin_kanri9_ZIP">DATA!$D$792</definedName>
    <definedName name="wskakunin_keibi_henkou01_HENKOU_GAIYOU">DATA!$D$1394</definedName>
    <definedName name="wskakunin_keibi_henkou01_HENKOU_SYURUI">DATA!$D$1393</definedName>
    <definedName name="wskakunin_KENPEI_RITU">DATA!$D$1096</definedName>
    <definedName name="wskakunin_KENPEI_RITU_A">DATA!$D$1031</definedName>
    <definedName name="wskakunin_KENPEI_RITU_B">DATA!$D$1032</definedName>
    <definedName name="wskakunin_KENPEI_RITU_C">DATA!$D$1033</definedName>
    <definedName name="wskakunin_KENPEI_RITU_D">DATA!$D$1034</definedName>
    <definedName name="wskakunin_KENSA_YUKA_MENSEKI">DATA!$D$1302</definedName>
    <definedName name="wskakunin_KENTIKU_MENSEKI_IGAI">DATA!$D$1094</definedName>
    <definedName name="wskakunin_KENTIKU_MENSEKI_SHINSEI">DATA!$D$1093</definedName>
    <definedName name="wskakunin_KENTIKU_MENSEKI_TOTAL">DATA!$D$1095</definedName>
    <definedName name="wskakunin_KENTIKU_MENSEKI_ZENTAI_IGAI">DATA!$D$1091</definedName>
    <definedName name="wskakunin_KENTIKU_MENSEKI_ZENTAI_SHINSEI">DATA!$D$1090</definedName>
    <definedName name="wskakunin_KENTIKU_MENSEKI_ZENTAI_TOTAL">DATA!$D$1092</definedName>
    <definedName name="wskakunin_KENTIKU_NINSYO_NO">DATA!$D$1290</definedName>
    <definedName name="wskakunin_KIKAN_NAME">DATA!$D$59</definedName>
    <definedName name="wskakunin_KITEI_CHOUSA_FLAG">DATA!$D$1266</definedName>
    <definedName name="wskakunin_KOUJI_DAI_MOYOUGAE">DATA!$D$1056</definedName>
    <definedName name="wskakunin_KOUJI_DAI_SYUUZEN">DATA!$D$1055</definedName>
    <definedName name="wskakunin_KOUJI_ITEN">DATA!$D$1053</definedName>
    <definedName name="wskakunin_KOUJI_KAITIKU">DATA!$D$1052</definedName>
    <definedName name="wskakunin_KOUJI_KANRYOU_DATE">DATA!$D$1397</definedName>
    <definedName name="wskakunin_KOUJI_KANRYOU_YOTEI_DATE">DATA!$D$1234</definedName>
    <definedName name="wskakunin_KOUJI_SINTIKU">DATA!$D$1050</definedName>
    <definedName name="wskakunin_KOUJI_TYAKUSYU_DATE">DATA!$D$1292</definedName>
    <definedName name="wskakunin_KOUJI_TYAKUSYU_YOTEI_DATE">DATA!$D$1232</definedName>
    <definedName name="wskakunin_KOUJI_YOUTOHENKOU">DATA!$D$1054</definedName>
    <definedName name="wskakunin_KOUJI_ZOUTIKU">DATA!$D$1051</definedName>
    <definedName name="wskakunin_koutei_ikou01_KOUTEI_DATE">DATA!$D$1365</definedName>
    <definedName name="wskakunin_koutei_ikou01_KOUTEI_KAISUU">DATA!$D$1363</definedName>
    <definedName name="wskakunin_koutei_ikou01_KOUTEI_TEXT">DATA!$D$1364</definedName>
    <definedName name="wskakunin_koutei_ikou02_KOUTEI_DATE">DATA!$D$1370</definedName>
    <definedName name="wskakunin_koutei_ikou02_KOUTEI_KAISUU">DATA!$D$1368</definedName>
    <definedName name="wskakunin_koutei_ikou02_KOUTEI_TEXT">DATA!$D$1369</definedName>
    <definedName name="wskakunin_koutei_izen01_INTER_ISSUE_DATE">DATA!$D$1310</definedName>
    <definedName name="wskakunin_koutei_izen01_INTER_ISSUE_NAME">DATA!$D$1308</definedName>
    <definedName name="wskakunin_koutei_izen01_INTER_ISSUE_NO">DATA!$D$1309</definedName>
    <definedName name="wskakunin_koutei_izen01_KOUTEI_KAISUU">DATA!$D$1306</definedName>
    <definedName name="wskakunin_koutei_izen01_KOUTEI_TEXT">DATA!$D$1307</definedName>
    <definedName name="wskakunin_koutei_izen02_INTER_ISSUE_DATE">DATA!$D$1317</definedName>
    <definedName name="wskakunin_koutei_izen02_INTER_ISSUE_NAME">DATA!$D$1315</definedName>
    <definedName name="wskakunin_koutei_izen02_INTER_ISSUE_NO">DATA!$D$1316</definedName>
    <definedName name="wskakunin_koutei_izen02_KOUTEI_KAISUU">DATA!$D$1313</definedName>
    <definedName name="wskakunin_koutei_izen02_KOUTEI_TEXT">DATA!$D$1314</definedName>
    <definedName name="wskakunin_koutei_izen03_INTER_ISSUE_DATE">DATA!$D$1324</definedName>
    <definedName name="wskakunin_koutei_izen03_INTER_ISSUE_NAME">DATA!$D$1322</definedName>
    <definedName name="wskakunin_koutei_izen03_INTER_ISSUE_NO">DATA!$D$1323</definedName>
    <definedName name="wskakunin_koutei_izen03_KOUTEI_KAISUU">DATA!$D$1320</definedName>
    <definedName name="wskakunin_koutei_izen03_KOUTEI_TEXT">DATA!$D$1321</definedName>
    <definedName name="wskakunin_koutei_izen04_INTER_ISSUE_DATE">DATA!$D$1331</definedName>
    <definedName name="wskakunin_koutei_izen04_INTER_ISSUE_NAME">DATA!$D$1329</definedName>
    <definedName name="wskakunin_koutei_izen04_INTER_ISSUE_NO">DATA!$D$1330</definedName>
    <definedName name="wskakunin_koutei_izen04_KOUTEI_KAISUU">DATA!$D$1327</definedName>
    <definedName name="wskakunin_koutei_izen04_KOUTEI_TEXT">DATA!$D$1328</definedName>
    <definedName name="wskakunin_koutei01_INTER_ISSUE_DATE">DATA!$D$1404</definedName>
    <definedName name="wskakunin_koutei01_INTER_ISSUE_NAME">DATA!$D$1402</definedName>
    <definedName name="wskakunin_koutei01_INTER_ISSUE_NO">DATA!$D$1403</definedName>
    <definedName name="wskakunin_koutei01_KOUTEI_DATE">DATA!$D$1243</definedName>
    <definedName name="wskakunin_koutei01_KOUTEI_KAISUU">DATA!$D$1242</definedName>
    <definedName name="wskakunin_koutei01_KOUTEI_TEXT">DATA!$D$1244</definedName>
    <definedName name="wskakunin_koutei02_INTER_ISSUE_DATE">DATA!$D$1418</definedName>
    <definedName name="wskakunin_koutei02_INTER_ISSUE_NAME">DATA!$D$1416</definedName>
    <definedName name="wskakunin_koutei02_INTER_ISSUE_NO">DATA!$D$1417</definedName>
    <definedName name="wskakunin_koutei02_KOUTEI_DATE">DATA!$D$1248</definedName>
    <definedName name="wskakunin_koutei02_KOUTEI_KAISUU">DATA!$D$1247</definedName>
    <definedName name="wskakunin_koutei02_KOUTEI_TEXT">DATA!$D$1249</definedName>
    <definedName name="wskakunin_koutei03_KOUTEI_DATE">DATA!$D$1253</definedName>
    <definedName name="wskakunin_koutei03_KOUTEI_KAISUU">DATA!$D$1252</definedName>
    <definedName name="wskakunin_koutei03_KOUTEI_TEXT">DATA!$D$1254</definedName>
    <definedName name="wskakunin_koutei04_KOUTEI_DATE">DATA!$D$1258</definedName>
    <definedName name="wskakunin_koutei04_KOUTEI_KAISUU">DATA!$D$1257</definedName>
    <definedName name="wskakunin_koutei04_KOUTEI_TEXT">DATA!$D$1259</definedName>
    <definedName name="wskakunin_KOUZOU1">DATA!$D$1190</definedName>
    <definedName name="wskakunin_KOUZOU2">DATA!$D$1191</definedName>
    <definedName name="wskakunin_KUIKI_HISETTEI">DATA!$D$993</definedName>
    <definedName name="wskakunin_KUIKI_JYUN_TOSHI">DATA!$D$994</definedName>
    <definedName name="wskakunin_KUIKI_KUIKIGAI">DATA!$D$995</definedName>
    <definedName name="wskakunin_KUIKI_SIGAIKA">DATA!$D$990</definedName>
    <definedName name="wskakunin_KUIKI_TOSI">DATA!$D$987</definedName>
    <definedName name="wskakunin_KUIKI_TYOSEI">DATA!$D$992</definedName>
    <definedName name="wskakunin_kyoka01_">DATA!$D$1206</definedName>
    <definedName name="wskakunin_kyoka01_BIKOU">DATA!$D$1211</definedName>
    <definedName name="wskakunin_kyoka01_HOUREI">DATA!$D$1207</definedName>
    <definedName name="wskakunin_kyoka01_JOUKOU">DATA!$D$1208</definedName>
    <definedName name="wskakunin_kyoka01_KYOKA_DATE">DATA!$D$1210</definedName>
    <definedName name="wskakunin_kyoka01_KYOKA_NO">DATA!$D$1209</definedName>
    <definedName name="wskakunin_kyoka02_BIKOU">DATA!$D$1219</definedName>
    <definedName name="wskakunin_kyoka02_HOUREI">DATA!$D$1215</definedName>
    <definedName name="wskakunin_kyoka02_JOUKOU">DATA!$D$1216</definedName>
    <definedName name="wskakunin_kyoka02_KYOKA_DATE">DATA!$D$1218</definedName>
    <definedName name="wskakunin_kyoka02_KYOKA_NO">DATA!$D$1217</definedName>
    <definedName name="wskakunin_kyoka03_BIKOU">DATA!$D$1227</definedName>
    <definedName name="wskakunin_kyoka03_HOUREI">DATA!$D$1223</definedName>
    <definedName name="wskakunin_kyoka03_JOUKOU">DATA!$D$1224</definedName>
    <definedName name="wskakunin_kyoka03_KYOKA_DATE">DATA!$D$1226</definedName>
    <definedName name="wskakunin_kyoka03_KYOKA_NO">DATA!$D$1225</definedName>
    <definedName name="wskakunin_LAST_ISSUE_DATE">DATA!$D$64</definedName>
    <definedName name="wskakunin_LAST_ISSUE_NAME">DATA!$D$65</definedName>
    <definedName name="wskakunin_LAST_ISSUE_NO">DATA!$D$63</definedName>
    <definedName name="wskakunin_LIMIT_KENPEI_RITU">DATA!$D$1040</definedName>
    <definedName name="wskakunin_LIMIT_YOUSEKI_RITU">DATA!$D$1039</definedName>
    <definedName name="wskakunin_MOKUZOU_KEIKA_ETC_FLAG">DATA!$D$1265</definedName>
    <definedName name="wskakunin_MOKUZOU_KEIKA_FLAG">DATA!$D$1261</definedName>
    <definedName name="wskakunin_MOKUZOU_KEIKA_HASIRA_FLAG">DATA!$D$1264</definedName>
    <definedName name="wskakunin_NOBE_MENSEKI">DATA!$D$1170</definedName>
    <definedName name="wskakunin_NOBE_MENSEKI_BITIKUSOUKO_IGAI">DATA!$D$1131</definedName>
    <definedName name="wskakunin_NOBE_MENSEKI_BITIKUSOUKO_SHINSEI">DATA!$D$1130</definedName>
    <definedName name="wskakunin_NOBE_MENSEKI_BITIKUSOUKO_TOTAL">DATA!$D$1132</definedName>
    <definedName name="wskakunin_NOBE_MENSEKI_BUILD_IGAI">DATA!$D$1101</definedName>
    <definedName name="wskakunin_NOBE_MENSEKI_BUILD_SHINSEI">DATA!$D$1100</definedName>
    <definedName name="wskakunin_NOBE_MENSEKI_BUILD_TOTAL">DATA!$D$1102</definedName>
    <definedName name="wskakunin_NOBE_MENSEKI_CHOSUISOU_IGAI">DATA!$D$1146</definedName>
    <definedName name="wskakunin_NOBE_MENSEKI_CHOSUISOU_SHINSEI">DATA!$D$1145</definedName>
    <definedName name="wskakunin_NOBE_MENSEKI_CHOSUISOU_TOTAL">DATA!$D$1147</definedName>
    <definedName name="wskakunin_NOBE_MENSEKI_FUSANNYU_IGAI">DATA!$D$1156</definedName>
    <definedName name="wskakunin_NOBE_MENSEKI_FUSANNYU_SHINSEI">DATA!$D$1155</definedName>
    <definedName name="wskakunin_NOBE_MENSEKI_FUSANNYU_TOTAL">DATA!$D$1157</definedName>
    <definedName name="wskakunin_NOBE_MENSEKI_JIKAHATUDEN_IGAI">DATA!$D$1141</definedName>
    <definedName name="wskakunin_NOBE_MENSEKI_JIKAHATUDEN_SHINSEI">DATA!$D$1140</definedName>
    <definedName name="wskakunin_NOBE_MENSEKI_JIKAHATUDEN_TOTAL">DATA!$D$1142</definedName>
    <definedName name="wskakunin_NOBE_MENSEKI_JYUTAKU_IGAI">DATA!$D$1161</definedName>
    <definedName name="wskakunin_NOBE_MENSEKI_JYUTAKU_SHINSEI">DATA!$D$1160</definedName>
    <definedName name="wskakunin_NOBE_MENSEKI_JYUTAKU_TOTAL">DATA!$D$1162</definedName>
    <definedName name="wskakunin_NOBE_MENSEKI_KIKAI_IGAI">DATA!$D$1121</definedName>
    <definedName name="wskakunin_NOBE_MENSEKI_KIKAI_SHINSEI">DATA!$D$1120</definedName>
    <definedName name="wskakunin_NOBE_MENSEKI_KIKAI_TOTAL">DATA!$D$1122</definedName>
    <definedName name="wskakunin_NOBE_MENSEKI_KYOYOU_IGAI">DATA!$D$1116</definedName>
    <definedName name="wskakunin_NOBE_MENSEKI_KYOYOU_SHINSEI">DATA!$D$1115</definedName>
    <definedName name="wskakunin_NOBE_MENSEKI_KYOYOU_TOTAL">DATA!$D$1117</definedName>
    <definedName name="wskakunin_NOBE_MENSEKI_ROUJIN_IGAI">DATA!$D$1166</definedName>
    <definedName name="wskakunin_NOBE_MENSEKI_ROUJIN_SHINSEI">DATA!$D$1165</definedName>
    <definedName name="wskakunin_NOBE_MENSEKI_ROUJIN_TOTAL">DATA!$D$1167</definedName>
    <definedName name="wskakunin_NOBE_MENSEKI_SYAKO_IGAI">DATA!$D$1126</definedName>
    <definedName name="wskakunin_NOBE_MENSEKI_SYAKO_SHINSEI">DATA!$D$1125</definedName>
    <definedName name="wskakunin_NOBE_MENSEKI_SYAKO_TOTAL">DATA!$D$1127</definedName>
    <definedName name="wskakunin_NOBE_MENSEKI_SYOUKOURO_IGAI">DATA!$D$1111</definedName>
    <definedName name="wskakunin_NOBE_MENSEKI_SYOUKOURO_SHINSEI">DATA!$D$1110</definedName>
    <definedName name="wskakunin_NOBE_MENSEKI_SYOUKOURO_TOTAL">DATA!$D$1112</definedName>
    <definedName name="wskakunin_NOBE_MENSEKI_TAKUHAI_IGAI">DATA!$D$1151</definedName>
    <definedName name="wskakunin_NOBE_MENSEKI_TAKUHAI_SHINSEI">DATA!$D$1150</definedName>
    <definedName name="wskakunin_NOBE_MENSEKI_TAKUHAI_TOTAL">DATA!$D$1152</definedName>
    <definedName name="wskakunin_NOBE_MENSEKI_TIKAI_IGAI">DATA!$D$1106</definedName>
    <definedName name="wskakunin_NOBE_MENSEKI_TIKAI_SHINSEI">DATA!$D$1105</definedName>
    <definedName name="wskakunin_NOBE_MENSEKI_TIKAI_TOTAL">DATA!$D$1107</definedName>
    <definedName name="wskakunin_NOBE_MENSEKI_TIKUDENTI_IGAI">DATA!$D$1136</definedName>
    <definedName name="wskakunin_NOBE_MENSEKI_TIKUDENTI_SHINSEI">DATA!$D$1135</definedName>
    <definedName name="wskakunin_NOBE_MENSEKI_TIKUDENTI_TOTAL">DATA!$D$1137</definedName>
    <definedName name="wskakunin_owner1__address">DATA!$D$91</definedName>
    <definedName name="wskakunin_owner1_JIMU_NAME">DATA!$D$81</definedName>
    <definedName name="wskakunin_owner1_JIMU_NAME_KANA">DATA!$D$82</definedName>
    <definedName name="wskakunin_owner1_NAME">DATA!$D$85</definedName>
    <definedName name="wskakunin_owner1_NAME_KANA">DATA!$D$86</definedName>
    <definedName name="wskakunin_owner1_POST">DATA!$D$83</definedName>
    <definedName name="wskakunin_owner1_POST_KANA">DATA!$D$84</definedName>
    <definedName name="wskakunin_owner1_TEL">DATA!$D$92</definedName>
    <definedName name="wskakunin_owner1_ZIP">DATA!$D$89</definedName>
    <definedName name="wskakunin_owner2__address">DATA!$D$108</definedName>
    <definedName name="wskakunin_owner2_JIMU_NAME">DATA!$D$101</definedName>
    <definedName name="wskakunin_owner2_JIMU_NAME_KANA">DATA!$D$102</definedName>
    <definedName name="wskakunin_owner2_NAME">DATA!$D$105</definedName>
    <definedName name="wskakunin_owner2_NAME_KANA">DATA!$D$106</definedName>
    <definedName name="wskakunin_owner2_POST">DATA!$D$103</definedName>
    <definedName name="wskakunin_owner2_POST_KANA">DATA!$D$104</definedName>
    <definedName name="wskakunin_owner2_TEL">DATA!$D$109</definedName>
    <definedName name="wskakunin_owner2_ZIP">DATA!$D$107</definedName>
    <definedName name="wskakunin_owner3__address">DATA!$D$123</definedName>
    <definedName name="wskakunin_owner3_JIMU_NAME">DATA!$D$116</definedName>
    <definedName name="wskakunin_owner3_JIMU_NAME_KANA">DATA!$D$117</definedName>
    <definedName name="wskakunin_owner3_NAME">DATA!$D$120</definedName>
    <definedName name="wskakunin_owner3_NAME_KANA">DATA!$D$121</definedName>
    <definedName name="wskakunin_owner3_POST">DATA!$D$118</definedName>
    <definedName name="wskakunin_owner3_POST_KANA">DATA!$D$119</definedName>
    <definedName name="wskakunin_owner3_TEL">DATA!$D$124</definedName>
    <definedName name="wskakunin_owner3_ZIP">DATA!$D$122</definedName>
    <definedName name="wskakunin_owner4__address">DATA!$D$138</definedName>
    <definedName name="wskakunin_owner4_JIMU_NAME">DATA!$D$131</definedName>
    <definedName name="wskakunin_owner4_JIMU_NAME_KANA">DATA!$D$132</definedName>
    <definedName name="wskakunin_owner4_NAME">DATA!$D$135</definedName>
    <definedName name="wskakunin_owner4_NAME_KANA">DATA!$D$136</definedName>
    <definedName name="wskakunin_owner4_POST">DATA!$D$133</definedName>
    <definedName name="wskakunin_owner4_POST_KANA">DATA!$D$134</definedName>
    <definedName name="wskakunin_owner4_TEL">DATA!$D$139</definedName>
    <definedName name="wskakunin_owner4_ZIP">DATA!$D$137</definedName>
    <definedName name="wskakunin_owner5__address">DATA!$D$151</definedName>
    <definedName name="wskakunin_owner5_JIMU_NAME">DATA!$D$144</definedName>
    <definedName name="wskakunin_owner5_JIMU_NAME_KANA">DATA!$D$145</definedName>
    <definedName name="wskakunin_owner5_NAME">DATA!$D$148</definedName>
    <definedName name="wskakunin_owner5_NAME_KANA">DATA!$D$149</definedName>
    <definedName name="wskakunin_owner5_POST">DATA!$D$146</definedName>
    <definedName name="wskakunin_owner5_POST_KANA">DATA!$D$147</definedName>
    <definedName name="wskakunin_owner5_TEL">DATA!$D$152</definedName>
    <definedName name="wskakunin_owner5_ZIP">DATA!$D$150</definedName>
    <definedName name="wskakunin_owner6__address">DATA!$D$164</definedName>
    <definedName name="wskakunin_owner6_JIMU_NAME">DATA!$D$157</definedName>
    <definedName name="wskakunin_owner6_JIMU_NAME_KANA">DATA!$D$158</definedName>
    <definedName name="wskakunin_owner6_NAME">DATA!$D$161</definedName>
    <definedName name="wskakunin_owner6_NAME_KANA">DATA!$D$162</definedName>
    <definedName name="wskakunin_owner6_POST">DATA!$D$159</definedName>
    <definedName name="wskakunin_owner6_POST_KANA">DATA!$D$160</definedName>
    <definedName name="wskakunin_owner6_TEL">DATA!$D$165</definedName>
    <definedName name="wskakunin_owner6_ZIP">DATA!$D$163</definedName>
    <definedName name="wskakunin_owner7__address">DATA!$D$178</definedName>
    <definedName name="wskakunin_owner7_JIMU_NAME">DATA!$D$171</definedName>
    <definedName name="wskakunin_owner7_JIMU_NAME_KANA">DATA!$D$172</definedName>
    <definedName name="wskakunin_owner7_NAME">DATA!$D$175</definedName>
    <definedName name="wskakunin_owner7_NAME_KANA">DATA!$D$176</definedName>
    <definedName name="wskakunin_owner7_POST">DATA!$D$173</definedName>
    <definedName name="wskakunin_owner7_POST_KANA">DATA!$D$174</definedName>
    <definedName name="wskakunin_owner7_TEL">DATA!$D$179</definedName>
    <definedName name="wskakunin_owner7_ZIP">DATA!$D$177</definedName>
    <definedName name="wskakunin_owner8__address">DATA!$D$191</definedName>
    <definedName name="wskakunin_owner8_JIMU_NAME">DATA!$D$184</definedName>
    <definedName name="wskakunin_owner8_JIMU_NAME_KANA">DATA!$D$185</definedName>
    <definedName name="wskakunin_owner8_NAME">DATA!$D$188</definedName>
    <definedName name="wskakunin_owner8_NAME_KANA">DATA!$D$189</definedName>
    <definedName name="wskakunin_owner8_POST">DATA!$D$186</definedName>
    <definedName name="wskakunin_owner8_POST_KANA">DATA!$D$187</definedName>
    <definedName name="wskakunin_owner8_TEL">DATA!$D$192</definedName>
    <definedName name="wskakunin_owner8_ZIP">DATA!$D$190</definedName>
    <definedName name="wskakunin_owner9__address">DATA!$D$204</definedName>
    <definedName name="wskakunin_owner9_JIMU_NAME">DATA!$D$197</definedName>
    <definedName name="wskakunin_owner9_JIMU_NAME_KANA">DATA!$D$198</definedName>
    <definedName name="wskakunin_owner9_NAME">DATA!$D$201</definedName>
    <definedName name="wskakunin_owner9_NAME_KANA">DATA!$D$202</definedName>
    <definedName name="wskakunin_owner9_POST">DATA!$D$199</definedName>
    <definedName name="wskakunin_owner9_POST_KANA">DATA!$D$200</definedName>
    <definedName name="wskakunin_owner9_TEL">DATA!$D$205</definedName>
    <definedName name="wskakunin_owner9_ZIP">DATA!$D$203</definedName>
    <definedName name="wskakunin_P1_HENKOU_GAIYOU">DATA!$D$66</definedName>
    <definedName name="wskakunin_P2_BIKOU">DATA!$D$911</definedName>
    <definedName name="wskakunin_P2_HENKOU_GAIYOU">DATA!$D$68</definedName>
    <definedName name="wskakunin_P3_BIKOU">DATA!$D$1277</definedName>
    <definedName name="wskakunin_P3_SONOTA">DATA!$D$1275</definedName>
    <definedName name="wskakunin_p4_1__kouji">DATA!$D$952</definedName>
    <definedName name="wskakunin_p4_1_KAISU_TIKAI">DATA!$D$956</definedName>
    <definedName name="wskakunin_p4_1_KAISU_TIKAI_NOZOKU">DATA!$D$955</definedName>
    <definedName name="wskakunin_p4_1_KOUZOU1">DATA!$D$959</definedName>
    <definedName name="wskakunin_p4_1_KOUZOU2">DATA!$D$960</definedName>
    <definedName name="wskakunin_p4_1_p5_1_KAI">DATA!$D$968</definedName>
    <definedName name="wskakunin_p4_1_p5_1_P4_MENSEKI_SHINSEI">DATA!$D$969</definedName>
    <definedName name="wskakunin_p4_1_p5_2_KAI">DATA!$D$970</definedName>
    <definedName name="wskakunin_p4_1_p5_2_P4_MENSEKI_SHINSEI">DATA!$D$971</definedName>
    <definedName name="wskakunin_p4_1_p5_3_KAI">DATA!$D$972</definedName>
    <definedName name="wskakunin_p4_1_p5_3_P4_MENSEKI_SHINSEI">DATA!$D$973</definedName>
    <definedName name="wskakunin_p4_1_TAKASA_KEN_MAX">DATA!$D$962</definedName>
    <definedName name="wskakunin_p4_1_TAKASA_MAX">DATA!$D$961</definedName>
    <definedName name="wskakunin_p4_1_TOKUREI_KAKUNIN_FLAG">DATA!$D$964</definedName>
    <definedName name="wskakunin_p4_1_youto1_YOUTO">DATA!$D$943</definedName>
    <definedName name="wskakunin_p4_1_youto1_YOUTO_CODE">DATA!$D$944</definedName>
    <definedName name="wskakunin_p4_1_YUKA_MENSEKI_SHINSEI">DATA!$D$963</definedName>
    <definedName name="wskakunin_PAGE1_ALTERATION_NOTE">DATA!$D$75</definedName>
    <definedName name="wskakunin_sekkei1__address">DATA!$D$367</definedName>
    <definedName name="wskakunin_sekkei1__sikaku">DATA!$D$355</definedName>
    <definedName name="wskakunin_sekkei1_DOC">DATA!$D$369</definedName>
    <definedName name="wskakunin_sekkei1_JIMU__sikaku">DATA!$D$360</definedName>
    <definedName name="wskakunin_sekkei1_JIMU_NAME">DATA!$D$364</definedName>
    <definedName name="wskakunin_sekkei1_JIMU_NO">DATA!$D$363</definedName>
    <definedName name="wskakunin_sekkei1_JIMU_SIKAKU__label">DATA!$D$361</definedName>
    <definedName name="wskakunin_sekkei1_JIMU_TOUROKU_KIKAN__label">DATA!$D$362</definedName>
    <definedName name="wskakunin_sekkei1_KENTIKUSI_NO">DATA!$D$358</definedName>
    <definedName name="wskakunin_sekkei1_NAME">DATA!$D$359</definedName>
    <definedName name="wskakunin_sekkei1_SIKAKU__label">DATA!$D$356</definedName>
    <definedName name="wskakunin_sekkei1_TEL">DATA!$D$368</definedName>
    <definedName name="wskakunin_sekkei1_TOUROKU_KIKAN__label">DATA!$D$357</definedName>
    <definedName name="wskakunin_sekkei1_ZIP">DATA!$D$366</definedName>
    <definedName name="wskakunin_sekkei10__address">DATA!$D$520</definedName>
    <definedName name="wskakunin_sekkei10__sikaku">DATA!$D$508</definedName>
    <definedName name="wskakunin_sekkei10_DOC">DATA!$D$522</definedName>
    <definedName name="wskakunin_sekkei10_JIMU__sikaku">DATA!$D$513</definedName>
    <definedName name="wskakunin_sekkei10_JIMU_NAME">DATA!$D$517</definedName>
    <definedName name="wskakunin_sekkei10_JIMU_NO">DATA!$D$516</definedName>
    <definedName name="wskakunin_sekkei10_JIMU_SIKAKU__label">DATA!$D$514</definedName>
    <definedName name="wskakunin_sekkei10_JIMU_TOUROKU_KIKAN__label">DATA!$D$515</definedName>
    <definedName name="wskakunin_sekkei10_KENTIKUSI_NO">DATA!$D$511</definedName>
    <definedName name="wskakunin_sekkei10_NAME">DATA!$D$512</definedName>
    <definedName name="wskakunin_sekkei10_SIKAKU__label">DATA!$D$509</definedName>
    <definedName name="wskakunin_sekkei10_TEL">DATA!$D$521</definedName>
    <definedName name="wskakunin_sekkei10_TOUROKU_KIKAN__label">DATA!$D$510</definedName>
    <definedName name="wskakunin_sekkei10_ZIP">DATA!$D$519</definedName>
    <definedName name="wskakunin_sekkei11__address">DATA!$D$537</definedName>
    <definedName name="wskakunin_sekkei11__sikaku">DATA!$D$525</definedName>
    <definedName name="wskakunin_sekkei11_DOC">DATA!$D$539</definedName>
    <definedName name="wskakunin_sekkei11_JIMU__sikaku">DATA!$D$530</definedName>
    <definedName name="wskakunin_sekkei11_JIMU_NAME">DATA!$D$534</definedName>
    <definedName name="wskakunin_sekkei11_JIMU_NO">DATA!$D$533</definedName>
    <definedName name="wskakunin_sekkei11_JIMU_SIKAKU__label">DATA!$D$531</definedName>
    <definedName name="wskakunin_sekkei11_JIMU_TOUROKU_KIKAN__label">DATA!$D$532</definedName>
    <definedName name="wskakunin_sekkei11_KENTIKUSI_NO">DATA!$D$528</definedName>
    <definedName name="wskakunin_sekkei11_NAME">DATA!$D$529</definedName>
    <definedName name="wskakunin_sekkei11_SIKAKU__label">DATA!$D$526</definedName>
    <definedName name="wskakunin_sekkei11_TEL">DATA!$D$538</definedName>
    <definedName name="wskakunin_sekkei11_TOUROKU_KIKAN__label">DATA!$D$527</definedName>
    <definedName name="wskakunin_sekkei11_ZIP">DATA!$D$536</definedName>
    <definedName name="wskakunin_sekkei12__address">DATA!$D$554</definedName>
    <definedName name="wskakunin_sekkei12__sikaku">DATA!$D$542</definedName>
    <definedName name="wskakunin_sekkei12_DOC">DATA!$D$556</definedName>
    <definedName name="wskakunin_sekkei12_JIMU__sikaku">DATA!$D$547</definedName>
    <definedName name="wskakunin_sekkei12_JIMU_NAME">DATA!$D$551</definedName>
    <definedName name="wskakunin_sekkei12_JIMU_NO">DATA!$D$550</definedName>
    <definedName name="wskakunin_sekkei12_JIMU_SIKAKU__label">DATA!$D$548</definedName>
    <definedName name="wskakunin_sekkei12_JIMU_TOUROKU_KIKAN__label">DATA!$D$549</definedName>
    <definedName name="wskakunin_sekkei12_KENTIKUSI_NO">DATA!$D$545</definedName>
    <definedName name="wskakunin_sekkei12_NAME">DATA!$D$546</definedName>
    <definedName name="wskakunin_sekkei12_SIKAKU__label">DATA!$D$543</definedName>
    <definedName name="wskakunin_sekkei12_TEL">DATA!$D$555</definedName>
    <definedName name="wskakunin_sekkei12_TOUROKU_KIKAN__label">DATA!$D$544</definedName>
    <definedName name="wskakunin_sekkei12_ZIP">DATA!$D$553</definedName>
    <definedName name="wskakunin_sekkei2__address">DATA!$D$384</definedName>
    <definedName name="wskakunin_sekkei2__sikaku">DATA!$D$372</definedName>
    <definedName name="wskakunin_sekkei2_DOC">DATA!$D$386</definedName>
    <definedName name="wskakunin_sekkei2_JIMU__sikaku">DATA!$D$377</definedName>
    <definedName name="wskakunin_sekkei2_JIMU_NAME">DATA!$D$381</definedName>
    <definedName name="wskakunin_sekkei2_JIMU_NO">DATA!$D$380</definedName>
    <definedName name="wskakunin_sekkei2_JIMU_SIKAKU__label">DATA!$D$378</definedName>
    <definedName name="wskakunin_sekkei2_JIMU_TOUROKU_KIKAN__label">DATA!$D$379</definedName>
    <definedName name="wskakunin_sekkei2_KENTIKUSI_NO">DATA!$D$375</definedName>
    <definedName name="wskakunin_sekkei2_NAME">DATA!$D$376</definedName>
    <definedName name="wskakunin_sekkei2_SIKAKU__label">DATA!$D$373</definedName>
    <definedName name="wskakunin_sekkei2_TEL">DATA!$D$385</definedName>
    <definedName name="wskakunin_sekkei2_TOUROKU_KIKAN__label">DATA!$D$374</definedName>
    <definedName name="wskakunin_sekkei2_ZIP">DATA!$D$383</definedName>
    <definedName name="wskakunin_sekkei3__address">DATA!$D$401</definedName>
    <definedName name="wskakunin_sekkei3__sikaku">DATA!$D$389</definedName>
    <definedName name="wskakunin_sekkei3_DOC">DATA!$D$403</definedName>
    <definedName name="wskakunin_sekkei3_JIMU__sikaku">DATA!$D$394</definedName>
    <definedName name="wskakunin_sekkei3_JIMU_NAME">DATA!$D$398</definedName>
    <definedName name="wskakunin_sekkei3_JIMU_NO">DATA!$D$397</definedName>
    <definedName name="wskakunin_sekkei3_JIMU_SIKAKU__label">DATA!$D$395</definedName>
    <definedName name="wskakunin_sekkei3_JIMU_TOUROKU_KIKAN__label">DATA!$D$396</definedName>
    <definedName name="wskakunin_sekkei3_KENTIKUSI_NO">DATA!$D$392</definedName>
    <definedName name="wskakunin_sekkei3_NAME">DATA!$D$393</definedName>
    <definedName name="wskakunin_sekkei3_SIKAKU__label">DATA!$D$390</definedName>
    <definedName name="wskakunin_sekkei3_TEL">DATA!$D$402</definedName>
    <definedName name="wskakunin_sekkei3_TOUROKU_KIKAN__label">DATA!$D$391</definedName>
    <definedName name="wskakunin_sekkei3_ZIP">DATA!$D$400</definedName>
    <definedName name="wskakunin_sekkei4__address">DATA!$D$418</definedName>
    <definedName name="wskakunin_sekkei4__sikaku">DATA!$D$406</definedName>
    <definedName name="wskakunin_sekkei4_DOC">DATA!$D$420</definedName>
    <definedName name="wskakunin_sekkei4_JIMU__sikaku">DATA!$D$411</definedName>
    <definedName name="wskakunin_sekkei4_JIMU_NAME">DATA!$D$415</definedName>
    <definedName name="wskakunin_sekkei4_JIMU_NO">DATA!$D$414</definedName>
    <definedName name="wskakunin_sekkei4_JIMU_SIKAKU__label">DATA!$D$412</definedName>
    <definedName name="wskakunin_sekkei4_JIMU_TOUROKU_KIKAN__label">DATA!$D$413</definedName>
    <definedName name="wskakunin_sekkei4_KENTIKUSI_NO">DATA!$D$409</definedName>
    <definedName name="wskakunin_sekkei4_NAME">DATA!$D$410</definedName>
    <definedName name="wskakunin_sekkei4_SIKAKU__label">DATA!$D$407</definedName>
    <definedName name="wskakunin_sekkei4_TEL">DATA!$D$419</definedName>
    <definedName name="wskakunin_sekkei4_TOUROKU_KIKAN__label">DATA!$D$408</definedName>
    <definedName name="wskakunin_sekkei4_ZIP">DATA!$D$417</definedName>
    <definedName name="wskakunin_sekkei5__address">DATA!$D$435</definedName>
    <definedName name="wskakunin_sekkei5__sikaku">DATA!$D$423</definedName>
    <definedName name="wskakunin_sekkei5_DOC">DATA!$D$437</definedName>
    <definedName name="wskakunin_sekkei5_JIMU__sikaku">DATA!$D$428</definedName>
    <definedName name="wskakunin_sekkei5_JIMU_NAME">DATA!$D$432</definedName>
    <definedName name="wskakunin_sekkei5_JIMU_NO">DATA!$D$431</definedName>
    <definedName name="wskakunin_sekkei5_JIMU_SIKAKU__label">DATA!$D$429</definedName>
    <definedName name="wskakunin_sekkei5_JIMU_TOUROKU_KIKAN__label">DATA!$D$430</definedName>
    <definedName name="wskakunin_sekkei5_KENTIKUSI_NO">DATA!$D$426</definedName>
    <definedName name="wskakunin_sekkei5_NAME">DATA!$D$427</definedName>
    <definedName name="wskakunin_sekkei5_SIKAKU__label">DATA!$D$424</definedName>
    <definedName name="wskakunin_sekkei5_TEL">DATA!$D$436</definedName>
    <definedName name="wskakunin_sekkei5_TOUROKU_KIKAN__label">DATA!$D$425</definedName>
    <definedName name="wskakunin_sekkei5_ZIP">DATA!$D$434</definedName>
    <definedName name="wskakunin_sekkei6__address">DATA!$D$452</definedName>
    <definedName name="wskakunin_sekkei6__sikaku">DATA!$D$440</definedName>
    <definedName name="wskakunin_sekkei6_DOC">DATA!$D$454</definedName>
    <definedName name="wskakunin_sekkei6_JIMU__sikaku">DATA!$D$445</definedName>
    <definedName name="wskakunin_sekkei6_JIMU_NAME">DATA!$D$449</definedName>
    <definedName name="wskakunin_sekkei6_JIMU_NO">DATA!$D$448</definedName>
    <definedName name="wskakunin_sekkei6_JIMU_SIKAKU__label">DATA!$D$446</definedName>
    <definedName name="wskakunin_sekkei6_JIMU_TOUROKU_KIKAN__label">DATA!$D$447</definedName>
    <definedName name="wskakunin_sekkei6_KENTIKUSI_NO">DATA!$D$443</definedName>
    <definedName name="wskakunin_sekkei6_NAME">DATA!$D$444</definedName>
    <definedName name="wskakunin_sekkei6_SIKAKU__label">DATA!$D$441</definedName>
    <definedName name="wskakunin_sekkei6_TEL">DATA!$D$453</definedName>
    <definedName name="wskakunin_sekkei6_TOUROKU_KIKAN__label">DATA!$D$442</definedName>
    <definedName name="wskakunin_sekkei6_ZIP">DATA!$D$451</definedName>
    <definedName name="wskakunin_sekkei7__address">DATA!$D$469</definedName>
    <definedName name="wskakunin_sekkei7__sikaku">DATA!$D$457</definedName>
    <definedName name="wskakunin_sekkei7_DOC">DATA!$D$471</definedName>
    <definedName name="wskakunin_sekkei7_JIMU__sikaku">DATA!$D$462</definedName>
    <definedName name="wskakunin_sekkei7_JIMU_NAME">DATA!$D$466</definedName>
    <definedName name="wskakunin_sekkei7_JIMU_NO">DATA!$D$465</definedName>
    <definedName name="wskakunin_sekkei7_JIMU_SIKAKU__label">DATA!$D$463</definedName>
    <definedName name="wskakunin_sekkei7_JIMU_TOUROKU_KIKAN__label">DATA!$D$464</definedName>
    <definedName name="wskakunin_sekkei7_KENTIKUSI_NO">DATA!$D$460</definedName>
    <definedName name="wskakunin_sekkei7_NAME">DATA!$D$461</definedName>
    <definedName name="wskakunin_sekkei7_SIKAKU__label">DATA!$D$458</definedName>
    <definedName name="wskakunin_sekkei7_TEL">DATA!$D$470</definedName>
    <definedName name="wskakunin_sekkei7_TOUROKU_KIKAN__label">DATA!$D$459</definedName>
    <definedName name="wskakunin_sekkei7_ZIP">DATA!$D$468</definedName>
    <definedName name="wskakunin_sekkei8__address">DATA!$D$486</definedName>
    <definedName name="wskakunin_sekkei8__sikaku">DATA!$D$474</definedName>
    <definedName name="wskakunin_sekkei8_DOC">DATA!$D$488</definedName>
    <definedName name="wskakunin_sekkei8_JIMU__sikaku">DATA!$D$479</definedName>
    <definedName name="wskakunin_sekkei8_JIMU_NAME">DATA!$D$483</definedName>
    <definedName name="wskakunin_sekkei8_JIMU_NO">DATA!$D$482</definedName>
    <definedName name="wskakunin_sekkei8_JIMU_SIKAKU__label">DATA!$D$480</definedName>
    <definedName name="wskakunin_sekkei8_JIMU_TOUROKU_KIKAN__label">DATA!$D$481</definedName>
    <definedName name="wskakunin_sekkei8_KENTIKUSI_NO">DATA!$D$477</definedName>
    <definedName name="wskakunin_sekkei8_NAME">DATA!$D$478</definedName>
    <definedName name="wskakunin_sekkei8_SIKAKU__label">DATA!$D$475</definedName>
    <definedName name="wskakunin_sekkei8_TEL">DATA!$D$487</definedName>
    <definedName name="wskakunin_sekkei8_TOUROKU_KIKAN__label">DATA!$D$476</definedName>
    <definedName name="wskakunin_sekkei8_ZIP">DATA!$D$485</definedName>
    <definedName name="wskakunin_sekkei9__address">DATA!$D$503</definedName>
    <definedName name="wskakunin_sekkei9__sikaku">DATA!$D$491</definedName>
    <definedName name="wskakunin_sekkei9_DOC">DATA!$D$505</definedName>
    <definedName name="wskakunin_sekkei9_JIMU__sikaku">DATA!$D$496</definedName>
    <definedName name="wskakunin_sekkei9_JIMU_NAME">DATA!$D$500</definedName>
    <definedName name="wskakunin_sekkei9_JIMU_NO">DATA!$D$499</definedName>
    <definedName name="wskakunin_sekkei9_JIMU_SIKAKU__label">DATA!$D$497</definedName>
    <definedName name="wskakunin_sekkei9_JIMU_TOUROKU_KIKAN__label">DATA!$D$498</definedName>
    <definedName name="wskakunin_sekkei9_KENTIKUSI_NO">DATA!$D$494</definedName>
    <definedName name="wskakunin_sekkei9_NAME">DATA!$D$495</definedName>
    <definedName name="wskakunin_sekkei9_SIKAKU__label">DATA!$D$492</definedName>
    <definedName name="wskakunin_sekkei9_TEL">DATA!$D$504</definedName>
    <definedName name="wskakunin_sekkei9_TOUROKU_KIKAN__label">DATA!$D$493</definedName>
    <definedName name="wskakunin_sekkei9_ZIP">DATA!$D$502</definedName>
    <definedName name="wskakunin_sekou1__address">DATA!$D$852</definedName>
    <definedName name="wskakunin_sekou1_JIMU_NAME">DATA!$D$850</definedName>
    <definedName name="wskakunin_sekou1_NAME">DATA!$D$846</definedName>
    <definedName name="wskakunin_sekou1_SEKOU__sikaku">DATA!$D$847</definedName>
    <definedName name="wskakunin_sekou1_SEKOU_NO">DATA!$D$849</definedName>
    <definedName name="wskakunin_sekou1_SEKOU_SIKAKU__label">DATA!$D$848</definedName>
    <definedName name="wskakunin_sekou1_TEL">DATA!$D$853</definedName>
    <definedName name="wskakunin_sekou1_ZIP">DATA!$D$851</definedName>
    <definedName name="wskakunin_sekou2__address">DATA!$D$862</definedName>
    <definedName name="wskakunin_sekou2_JIMU_NAME">DATA!$D$860</definedName>
    <definedName name="wskakunin_sekou2_NAME">DATA!$D$856</definedName>
    <definedName name="wskakunin_sekou2_SEKOU__sikaku">DATA!$D$857</definedName>
    <definedName name="wskakunin_sekou2_SEKOU_NO">DATA!$D$859</definedName>
    <definedName name="wskakunin_sekou2_SEKOU_SIKAKU__label">DATA!$D$858</definedName>
    <definedName name="wskakunin_sekou2_TEL">DATA!$D$863</definedName>
    <definedName name="wskakunin_sekou2_ZIP">DATA!$D$861</definedName>
    <definedName name="wskakunin_sekou3__address">DATA!$D$872</definedName>
    <definedName name="wskakunin_sekou3_JIMU_NAME">DATA!$D$870</definedName>
    <definedName name="wskakunin_sekou3_NAME">DATA!$D$866</definedName>
    <definedName name="wskakunin_sekou3_SEKOU__sikaku">DATA!$D$867</definedName>
    <definedName name="wskakunin_sekou3_SEKOU_NO">DATA!$D$869</definedName>
    <definedName name="wskakunin_sekou3_SEKOU_SIKAKU__label">DATA!$D$868</definedName>
    <definedName name="wskakunin_sekou3_TEL">DATA!$D$873</definedName>
    <definedName name="wskakunin_sekou3_ZIP">DATA!$D$871</definedName>
    <definedName name="wskakunin_sekou4__address">DATA!$D$882</definedName>
    <definedName name="wskakunin_sekou4_JIMU_NAME">DATA!$D$880</definedName>
    <definedName name="wskakunin_sekou4_NAME">DATA!$D$876</definedName>
    <definedName name="wskakunin_sekou4_SEKOU__sikaku">DATA!$D$877</definedName>
    <definedName name="wskakunin_sekou4_SEKOU_NO">DATA!$D$879</definedName>
    <definedName name="wskakunin_sekou4_SEKOU_SIKAKU__label">DATA!$D$878</definedName>
    <definedName name="wskakunin_sekou4_TEL">DATA!$D$883</definedName>
    <definedName name="wskakunin_sekou4_ZIP">DATA!$D$881</definedName>
    <definedName name="wskakunin_sekou5__address">DATA!$D$892</definedName>
    <definedName name="wskakunin_sekou5_JIMU_NAME">DATA!$D$890</definedName>
    <definedName name="wskakunin_sekou5_NAME">DATA!$D$886</definedName>
    <definedName name="wskakunin_sekou5_SEKOU__sikaku">DATA!$D$887</definedName>
    <definedName name="wskakunin_sekou5_SEKOU_NO">DATA!$D$889</definedName>
    <definedName name="wskakunin_sekou5_SEKOU_SIKAKU__label">DATA!$D$888</definedName>
    <definedName name="wskakunin_sekou5_TEL">DATA!$D$893</definedName>
    <definedName name="wskakunin_sekou5_ZIP">DATA!$D$891</definedName>
    <definedName name="wskakunin_sekou6__address">DATA!$D$902</definedName>
    <definedName name="wskakunin_sekou6_JIMU_NAME">DATA!$D$900</definedName>
    <definedName name="wskakunin_sekou6_NAME">DATA!$D$896</definedName>
    <definedName name="wskakunin_sekou6_SEKOU__sikaku">DATA!$D$897</definedName>
    <definedName name="wskakunin_sekou6_SEKOU_NO">DATA!$D$899</definedName>
    <definedName name="wskakunin_sekou6_SEKOU_SIKAKU__label">DATA!$D$898</definedName>
    <definedName name="wskakunin_sekou6_TEL">DATA!$D$903</definedName>
    <definedName name="wskakunin_sekou6_ZIP">DATA!$D$901</definedName>
    <definedName name="wskakunin_SHIKITI_MENSEKI_1_TOTAL">DATA!$D$1036</definedName>
    <definedName name="wskakunin_SHIKITI_MENSEKI_1A">DATA!$D$1011</definedName>
    <definedName name="wskakunin_SHIKITI_MENSEKI_1B">DATA!$D$1012</definedName>
    <definedName name="wskakunin_SHIKITI_MENSEKI_1C">DATA!$D$1013</definedName>
    <definedName name="wskakunin_SHIKITI_MENSEKI_1D">DATA!$D$1014</definedName>
    <definedName name="wskakunin_SHIKITI_MENSEKI_2_TOTAL">DATA!$D$1038</definedName>
    <definedName name="wskakunin_SHIKITI_MENSEKI_2A">DATA!$D$1015</definedName>
    <definedName name="wskakunin_SHIKITI_MENSEKI_2B">DATA!$D$1016</definedName>
    <definedName name="wskakunin_SHIKITI_MENSEKI_2C">DATA!$D$1017</definedName>
    <definedName name="wskakunin_SHIKITI_MENSEKI_2D">DATA!$D$1018</definedName>
    <definedName name="wskakunin_SHIKITI_MENSEKI_BIKOU">DATA!$D$1041</definedName>
    <definedName name="wskakunin_SHINSEI_DATE">DATA!$D$61</definedName>
    <definedName name="wskakunin_SONOTA_KUIKI">DATA!$D$1003</definedName>
    <definedName name="wskakunin_TAKASA_MAX_SHINSEI">DATA!$D$1181</definedName>
    <definedName name="wskakunin_TAKASA_MAX_SONOTA">DATA!$D$1182</definedName>
    <definedName name="wskakunin_tekihan01_TEKIHAN_KIKAN_ADDRESS">DATA!$D$921</definedName>
    <definedName name="wskakunin_tekihan01_TEKIHAN_KIKAN_KEN__ken">DATA!$D$920</definedName>
    <definedName name="wskakunin_tekihan01_TEKIHAN_KIKAN_NAME">DATA!$D$919</definedName>
    <definedName name="wskakunin_tekihan01_TEKIHAN_STATE">DATA!$D$915</definedName>
    <definedName name="wskakunin_tekihan02_TEKIHAN_KIKAN_ADDRESS">DATA!$D$925</definedName>
    <definedName name="wskakunin_tekihan02_TEKIHAN_KIKAN_KEN__ken">DATA!$D$924</definedName>
    <definedName name="wskakunin_tekihan02_TEKIHAN_KIKAN_NAME">DATA!$D$923</definedName>
    <definedName name="wskakunin_TOKUREI_1">DATA!$D$1285</definedName>
    <definedName name="wskakunin_TOKUREI_2">DATA!$D$1286</definedName>
    <definedName name="wskakunin_TOKUREI_3">DATA!$D$1287</definedName>
    <definedName name="wskakunin_TOKUREI_4">DATA!$D$1288</definedName>
    <definedName name="wskakunin_TOKUREI_TAKASA">DATA!$D$1196</definedName>
    <definedName name="wskakunin_TOKUREI_TAKASA_DOURO">DATA!$D$1201</definedName>
    <definedName name="wskakunin_TOKUREI_TAKASA_KITA">DATA!$D$1203</definedName>
    <definedName name="wskakunin_TOKUREI_TAKASA_RINTI">DATA!$D$1202</definedName>
    <definedName name="wskakunin_TOKUTEI_KOUJI_KANRYOU_DATE">DATA!$D$1300</definedName>
    <definedName name="wskakunin_TOKUTEI_KOUTEI">DATA!$D$1297</definedName>
    <definedName name="wskakunin_YOUSEKI_RITU">DATA!$D$1173</definedName>
    <definedName name="wskakunin_YOUSEKI_RITU_A">DATA!$D$1026</definedName>
    <definedName name="wskakunin_YOUSEKI_RITU_B">DATA!$D$1027</definedName>
    <definedName name="wskakunin_YOUSEKI_RITU_C">DATA!$D$1028</definedName>
    <definedName name="wskakunin_YOUSEKI_RITU_D">DATA!$D$1029</definedName>
    <definedName name="wskakunin_YOUTO">DATA!$D$1044</definedName>
    <definedName name="wskakunin_YOUTO_CODE">DATA!$D$1043</definedName>
    <definedName name="wskakunin_YOUTO_TIIKI">DATA!$D$1020</definedName>
    <definedName name="wskakunin_YOUTO_TIIKI_A">DATA!$D$1021</definedName>
    <definedName name="wskakunin_YOUTO_TIIKI_B">DATA!$D$1022</definedName>
    <definedName name="wskakunin_YOUTO_TIIKI_C">DATA!$D$1023</definedName>
    <definedName name="wskakunin_YOUTO_TIIKI_D">DATA!$D$1024</definedName>
    <definedName name="wskakuninKOUJI_SETUBI">DATA!$D$1057</definedName>
    <definedName name="Z_D83ABAE7_1F4C_4C77_8E04_C5172671ED17_.wvu.Rows" localSheetId="1">DATA!$945:$951</definedName>
    <definedName name="しろくろ">リスト!$I$1:$I$2</definedName>
    <definedName name="チェック">リスト!$P$1:$P$2</definedName>
    <definedName name="はんとく">リスト!$F$1:$F$3</definedName>
    <definedName name="一級">項目リスト!$A$3</definedName>
    <definedName name="外壁後退">リスト!$K$1:$K$5</definedName>
    <definedName name="確変">リスト!$S$1:$S$2</definedName>
    <definedName name="居住専用番号">リスト!$Q$1:$Q$5</definedName>
    <definedName name="許可">リスト!$M$1:$M$20</definedName>
    <definedName name="許可区分">リスト!$D$1:$D$4</definedName>
    <definedName name="近隣商業地域">項目リスト!$L$3:$L$8</definedName>
    <definedName name="近隣商業地域建ぺい率">項目リスト!$Y$3:$Y$4</definedName>
    <definedName name="月">リスト!$H$1:$H$13</definedName>
    <definedName name="建ぺい率">項目リスト!$R$2:$AD$2</definedName>
    <definedName name="建昇工">リスト!$T$1:$T$3</definedName>
    <definedName name="建築士">項目リスト!$A$2:$C$2</definedName>
    <definedName name="県知事">項目リスト!$A$4:$A$50</definedName>
    <definedName name="工業専用地域">項目リスト!$P$3:$P$7</definedName>
    <definedName name="工業専用地域建ぺい率">項目リスト!$AC$3:$AC$6</definedName>
    <definedName name="工業地域">項目リスト!$O$3:$O$7</definedName>
    <definedName name="工業地域建ぺい率">項目リスト!$AB$3:$AB$4</definedName>
    <definedName name="工事届用構造コード_2410">項目リスト!$AU$3:$AU$8</definedName>
    <definedName name="工事届用構造区分_2410">項目リスト!$AU$3:$AV$8</definedName>
    <definedName name="工事届用主要用途">項目リスト!$AO$3:$AO$7</definedName>
    <definedName name="工事届用主要用途_2410">項目リスト!$AQ$3:$AQ$34</definedName>
    <definedName name="工事届用主要用途2">項目リスト!$AO$8:$AO$44</definedName>
    <definedName name="工事届用主要用途区分">項目リスト!$AO$3:$AP$44</definedName>
    <definedName name="工事届用主要用途区分_2410">項目リスト!$AQ$3:$AR$34</definedName>
    <definedName name="工事届用用途コード_2410">項目リスト!$AS$3:$AS$74</definedName>
    <definedName name="工事届用用途区分_2410">項目リスト!$AS$3:$AT$74</definedName>
    <definedName name="構造">項目リスト!$AF$3:$AF$8</definedName>
    <definedName name="号">リスト!$U$1:$U$2</definedName>
    <definedName name="産業番号">リスト!$R$1:$R$37</definedName>
    <definedName name="指定なし">項目リスト!$Q$3:$Q$8</definedName>
    <definedName name="指定なし建ぺい率">項目リスト!$AD$3:$AD$7</definedName>
    <definedName name="施工者">項目リスト!$D$3:$D$51</definedName>
    <definedName name="資格">リスト!$A$2:$A$5</definedName>
    <definedName name="準工業地域">項目リスト!$N$3:$N$8</definedName>
    <definedName name="準工業地域建ぺい率">項目リスト!$AA$3:$AA$5</definedName>
    <definedName name="準住居地域">項目リスト!$K$3:$K$8</definedName>
    <definedName name="準住居地域建ぺい率">項目リスト!$X$3:$X$5</definedName>
    <definedName name="商業地域">項目リスト!$M$3:$M$14</definedName>
    <definedName name="商業地域建ぺい率">項目リスト!$Z$3</definedName>
    <definedName name="図書">リスト!$C$1:$C$6</definedName>
    <definedName name="数字">リスト!$G$1:$G$32</definedName>
    <definedName name="耐火建築物">項目リスト!$AM$3:$AM$8</definedName>
    <definedName name="大臣">項目リスト!$A$3</definedName>
    <definedName name="第一種住居地域">項目リスト!$I$3:$I$8</definedName>
    <definedName name="第一種住居地域建ぺい率">項目リスト!$V$3:$V$5</definedName>
    <definedName name="第一種中高層住居専用地域">項目リスト!$G$3:$G$8</definedName>
    <definedName name="第一種中高層住居専用地域建ぺい率">項目リスト!$T$3:$T$6</definedName>
    <definedName name="第一種低層住居専用地域">項目リスト!$E$3:$E$8</definedName>
    <definedName name="第一種低層住居専用地域建ぺい率">項目リスト!$R$3:$R$6</definedName>
    <definedName name="第二種住居地域">項目リスト!$J$3:$J$8</definedName>
    <definedName name="第二種住居地域建ぺい率">項目リスト!$W$3:$W$5</definedName>
    <definedName name="第二種中高層住居専用地域">項目リスト!$H$3:$H$8</definedName>
    <definedName name="第二種中高層住居専用地域建ぺい率">項目リスト!$U$3:$U$6</definedName>
    <definedName name="第二種低層住居専用地域">項目リスト!$F$3:$F$8</definedName>
    <definedName name="第二種低層住居専用地域建ぺい率">項目リスト!$S$3:$S$6</definedName>
    <definedName name="都道府県">リスト!$B$1:$B$3</definedName>
    <definedName name="特定工程">リスト!$N$1:$N$12</definedName>
    <definedName name="二級">項目リスト!$B$3:$B$49</definedName>
    <definedName name="年度">リスト!$E$1:$E$22</definedName>
    <definedName name="便所">項目リスト!$AN$3:$AN$5</definedName>
    <definedName name="面積">リスト!$J$1:$J$4</definedName>
    <definedName name="木造">項目リスト!$C$3:$C$49</definedName>
    <definedName name="容積率">項目リスト!$E$2:$Q$2</definedName>
    <definedName name="用途区分">項目リスト!$AG$3:$AG$68</definedName>
    <definedName name="用途地域">項目リスト!$AE$3:$AE$15</definedName>
    <definedName name="和暦">リスト!$O$1:$O$3</definedName>
  </definedNames>
  <calcPr calcId="191029" concurrentCalc="0"/>
  <customWorkbookViews>
    <customWorkbookView name="terada - 個人用ビュー" guid="{2DA24103-744A-47E0-AFFB-F94A0E194D57}" mergeInterval="0" personalView="1" xWindow="2047" yWindow="11" windowWidth="1720" windowHeight="1010" tabRatio="947" activeSheetId="1"/>
    <customWorkbookView name="tokunaga - 個人用ビュー" guid="{D83ABAE7-1F4C-4C77-8E04-C5172671ED17}" mergeInterval="0" personalView="1" maximized="1" xWindow="1912" yWindow="-8" windowWidth="1936" windowHeight="1096" tabRatio="947" activeSheetId="2"/>
    <customWorkbookView name="kasumi-PC - 個人用ビュー" guid="{E028D9C5-4CBB-430B-B1F8-80DD1ABDFA29}" mergeInterval="0" personalView="1" maximized="1" xWindow="1912" yWindow="-8" windowWidth="1936" windowHeight="1096" tabRatio="94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 i="239" l="1"/>
  <c r="K31" i="254"/>
  <c r="C31" i="254"/>
  <c r="K30" i="254"/>
  <c r="C30" i="254"/>
  <c r="K29" i="254"/>
  <c r="C29" i="254"/>
  <c r="K28" i="254"/>
  <c r="C28" i="254"/>
  <c r="U10" i="254"/>
  <c r="K31" i="253"/>
  <c r="C31" i="253"/>
  <c r="K30" i="253"/>
  <c r="C30" i="253"/>
  <c r="K29" i="253"/>
  <c r="C29" i="253"/>
  <c r="K28" i="253"/>
  <c r="C28" i="253"/>
  <c r="U30" i="266"/>
  <c r="U21" i="266"/>
  <c r="U14" i="266"/>
  <c r="U10" i="265"/>
  <c r="AD5" i="264"/>
  <c r="T5" i="264"/>
  <c r="AD38" i="260"/>
  <c r="AD36" i="260"/>
  <c r="T36" i="260"/>
  <c r="U6" i="258"/>
  <c r="S8" i="257"/>
  <c r="Y7" i="257"/>
  <c r="V18" i="263"/>
  <c r="V12" i="263"/>
  <c r="D31" i="262"/>
  <c r="D30" i="262"/>
  <c r="D29" i="262"/>
  <c r="D28" i="262"/>
  <c r="D26" i="262"/>
  <c r="D25" i="262"/>
  <c r="D24" i="262"/>
  <c r="D23" i="262"/>
  <c r="U12" i="262"/>
  <c r="U7" i="262"/>
  <c r="C28" i="261"/>
  <c r="L25" i="259"/>
  <c r="T31" i="255"/>
  <c r="C28" i="255"/>
  <c r="W14" i="255"/>
  <c r="W13" i="255"/>
  <c r="W12" i="255"/>
  <c r="W11" i="255"/>
  <c r="K31" i="250"/>
  <c r="K21" i="250"/>
  <c r="AI10" i="249"/>
  <c r="K7" i="249"/>
  <c r="K6" i="249"/>
  <c r="K19" i="237"/>
  <c r="GM72" i="235"/>
  <c r="EM72" i="235"/>
  <c r="CM72" i="235"/>
  <c r="AM72" i="235"/>
  <c r="GM71" i="235"/>
  <c r="EM71" i="235"/>
  <c r="CM71" i="235"/>
  <c r="AM71" i="235"/>
  <c r="GM70" i="235"/>
  <c r="EM70" i="235"/>
  <c r="CM70" i="235"/>
  <c r="AM70" i="235"/>
  <c r="GM69" i="235"/>
  <c r="EM69" i="235"/>
  <c r="CM69" i="235"/>
  <c r="AM69" i="235"/>
  <c r="GM68" i="235"/>
  <c r="EM68" i="235"/>
  <c r="CM68" i="235"/>
  <c r="AM68" i="235"/>
  <c r="GM67" i="235"/>
  <c r="EM67" i="235"/>
  <c r="CM67" i="235"/>
  <c r="AM67" i="235"/>
  <c r="GM66" i="235"/>
  <c r="EM66" i="235"/>
  <c r="CM66" i="235"/>
  <c r="AM66" i="235"/>
  <c r="GM52" i="235"/>
  <c r="EM52" i="235"/>
  <c r="CM52" i="235"/>
  <c r="AM52" i="235"/>
  <c r="GM51" i="235"/>
  <c r="EM51" i="235"/>
  <c r="CM51" i="235"/>
  <c r="AM51" i="235"/>
  <c r="GM50" i="235"/>
  <c r="ET50" i="235"/>
  <c r="ES50" i="235"/>
  <c r="EM50" i="235"/>
  <c r="CT50" i="235"/>
  <c r="CS50" i="235"/>
  <c r="CM50" i="235"/>
  <c r="AT50" i="235"/>
  <c r="AS50" i="235"/>
  <c r="AM50" i="235"/>
  <c r="GM49" i="235"/>
  <c r="ET49" i="235"/>
  <c r="EM49" i="235"/>
  <c r="CT49" i="235"/>
  <c r="CM49" i="235"/>
  <c r="AT49" i="235"/>
  <c r="AM49" i="235"/>
  <c r="ET48" i="235"/>
  <c r="ES48" i="235"/>
  <c r="CT48" i="235"/>
  <c r="CS48" i="235"/>
  <c r="AT48" i="235"/>
  <c r="AS48" i="235"/>
  <c r="GM47" i="235"/>
  <c r="ET47" i="235"/>
  <c r="ES47" i="235"/>
  <c r="EM47" i="235"/>
  <c r="CT47" i="235"/>
  <c r="CS47" i="235"/>
  <c r="CM47" i="235"/>
  <c r="AT47" i="235"/>
  <c r="AS47" i="235"/>
  <c r="AM47" i="235"/>
  <c r="ET46" i="235"/>
  <c r="ES46" i="235"/>
  <c r="CT46" i="235"/>
  <c r="CS46" i="235"/>
  <c r="AT46" i="235"/>
  <c r="AS46" i="235"/>
  <c r="GM45" i="235"/>
  <c r="ET45" i="235"/>
  <c r="ES45" i="235"/>
  <c r="EM45" i="235"/>
  <c r="CT45" i="235"/>
  <c r="CS45" i="235"/>
  <c r="CM45" i="235"/>
  <c r="AT45" i="235"/>
  <c r="AS45" i="235"/>
  <c r="AM45" i="235"/>
  <c r="ES44" i="235"/>
  <c r="CS44" i="235"/>
  <c r="AS44" i="235"/>
  <c r="GM43" i="235"/>
  <c r="ET43" i="235"/>
  <c r="ES43" i="235"/>
  <c r="EM43" i="235"/>
  <c r="CT43" i="235"/>
  <c r="CS43" i="235"/>
  <c r="CM43" i="235"/>
  <c r="AT43" i="235"/>
  <c r="AS43" i="235"/>
  <c r="AM43" i="235"/>
  <c r="ET42" i="235"/>
  <c r="ES42" i="235"/>
  <c r="CT42" i="235"/>
  <c r="CS42" i="235"/>
  <c r="AT42" i="235"/>
  <c r="AS42" i="235"/>
  <c r="GM38" i="235"/>
  <c r="EM38" i="235"/>
  <c r="CM38" i="235"/>
  <c r="AM38" i="235"/>
  <c r="ET32" i="235"/>
  <c r="CT32" i="235"/>
  <c r="AT32" i="235"/>
  <c r="GM31" i="235"/>
  <c r="EM31" i="235"/>
  <c r="CM31" i="235"/>
  <c r="AM31" i="235"/>
  <c r="ET30" i="235"/>
  <c r="CT30" i="235"/>
  <c r="AT30" i="235"/>
  <c r="ES27" i="235"/>
  <c r="ET27" i="235"/>
  <c r="CS27" i="235"/>
  <c r="CT27" i="235"/>
  <c r="AT27" i="235"/>
  <c r="AS27" i="235"/>
  <c r="ET26" i="235"/>
  <c r="ES26" i="235"/>
  <c r="CT26" i="235"/>
  <c r="CS26" i="235"/>
  <c r="AT26" i="235"/>
  <c r="AS26" i="235"/>
  <c r="ET25" i="235"/>
  <c r="CT25" i="235"/>
  <c r="AT25" i="235"/>
  <c r="ET24" i="235"/>
  <c r="CT24" i="235"/>
  <c r="AT24" i="235"/>
  <c r="ET23" i="235"/>
  <c r="CT23" i="235"/>
  <c r="CM20" i="235"/>
  <c r="AT23" i="235"/>
  <c r="ET22" i="235"/>
  <c r="CT22" i="235"/>
  <c r="AT22" i="235"/>
  <c r="ET21" i="235"/>
  <c r="CT21" i="235"/>
  <c r="AT21" i="235"/>
  <c r="GM20" i="235"/>
  <c r="ET20" i="235"/>
  <c r="CT20" i="235"/>
  <c r="AT20" i="235"/>
  <c r="AM20" i="235"/>
  <c r="ET19" i="235"/>
  <c r="ES19" i="235"/>
  <c r="CT19" i="235"/>
  <c r="CS19" i="235"/>
  <c r="AT19" i="235"/>
  <c r="AS19" i="235"/>
  <c r="ET18" i="235"/>
  <c r="ES18" i="235"/>
  <c r="CT18" i="235"/>
  <c r="CS18" i="235"/>
  <c r="AT18" i="235"/>
  <c r="AS18" i="235"/>
  <c r="ES17" i="235"/>
  <c r="CS17" i="235"/>
  <c r="AS17" i="235"/>
  <c r="GM16" i="235"/>
  <c r="ET16" i="235"/>
  <c r="EM16" i="235"/>
  <c r="CT16" i="235"/>
  <c r="CM16" i="235"/>
  <c r="AT16" i="235"/>
  <c r="AM16" i="235"/>
  <c r="ET14" i="235"/>
  <c r="CT14" i="235"/>
  <c r="AT14" i="235"/>
  <c r="ET12" i="235"/>
  <c r="CT12" i="235"/>
  <c r="AT12" i="235"/>
  <c r="GP11" i="235"/>
  <c r="GO11" i="235"/>
  <c r="GN11" i="235"/>
  <c r="ET11" i="235"/>
  <c r="EP11" i="235"/>
  <c r="EO11" i="235"/>
  <c r="EN11" i="235"/>
  <c r="CT11" i="235"/>
  <c r="CP11" i="235"/>
  <c r="CO11" i="235"/>
  <c r="CN11" i="235"/>
  <c r="AT11" i="235"/>
  <c r="AP11" i="235"/>
  <c r="AO11" i="235"/>
  <c r="AN11" i="235"/>
  <c r="GN10" i="235"/>
  <c r="GM10" i="235"/>
  <c r="ET10" i="235"/>
  <c r="EN10" i="235"/>
  <c r="EM10" i="235"/>
  <c r="CT10" i="235"/>
  <c r="CN10" i="235"/>
  <c r="CM10" i="235"/>
  <c r="AT10" i="235"/>
  <c r="AN10" i="235"/>
  <c r="AM10" i="235"/>
  <c r="GM7" i="235"/>
  <c r="ET7" i="235"/>
  <c r="EM7" i="235"/>
  <c r="CT7" i="235"/>
  <c r="CM7" i="235"/>
  <c r="AT7" i="235"/>
  <c r="AM7" i="235"/>
  <c r="GM4" i="235"/>
  <c r="ES4" i="235"/>
  <c r="ET4" i="235"/>
  <c r="EM4" i="235"/>
  <c r="CS4" i="235"/>
  <c r="CT4" i="235"/>
  <c r="CM4" i="235"/>
  <c r="AT4" i="235"/>
  <c r="AS4" i="235"/>
  <c r="AM4" i="235"/>
  <c r="AE125" i="230"/>
  <c r="J125" i="230"/>
  <c r="AF124" i="230"/>
  <c r="K124" i="230"/>
  <c r="S109" i="230"/>
  <c r="M106" i="230"/>
  <c r="AB84" i="230"/>
  <c r="S84" i="230"/>
  <c r="O78" i="230"/>
  <c r="Z74" i="230"/>
  <c r="J74" i="230"/>
  <c r="Z73" i="230"/>
  <c r="J72" i="230"/>
  <c r="I35" i="230"/>
  <c r="I34" i="230"/>
  <c r="P32" i="230"/>
  <c r="I26" i="230"/>
  <c r="Y10" i="230"/>
  <c r="Y115" i="276"/>
  <c r="J100" i="276"/>
  <c r="F92" i="276"/>
  <c r="X90" i="276"/>
  <c r="M75" i="276"/>
  <c r="M71" i="276"/>
  <c r="Z70" i="276"/>
  <c r="S70" i="276"/>
  <c r="Z68" i="276"/>
  <c r="S65" i="276"/>
  <c r="Z64" i="276"/>
  <c r="S64" i="276"/>
  <c r="Z62" i="276"/>
  <c r="S62" i="276"/>
  <c r="Z53" i="276"/>
  <c r="M53" i="276"/>
  <c r="G47" i="276"/>
  <c r="H39" i="276"/>
  <c r="S38" i="276"/>
  <c r="S37" i="276"/>
  <c r="J36" i="276"/>
  <c r="X34" i="276"/>
  <c r="N30" i="276"/>
  <c r="I29" i="276"/>
  <c r="F13" i="276"/>
  <c r="W12" i="276"/>
  <c r="M12" i="276"/>
  <c r="T142" i="275"/>
  <c r="I141" i="275"/>
  <c r="K139" i="275"/>
  <c r="J132" i="275"/>
  <c r="I129" i="275"/>
  <c r="I128" i="275"/>
  <c r="I127" i="275"/>
  <c r="K123" i="275"/>
  <c r="I122" i="275"/>
  <c r="I121" i="275"/>
  <c r="I120" i="275"/>
  <c r="I119" i="275"/>
  <c r="R118" i="275"/>
  <c r="I112" i="275"/>
  <c r="I108" i="275"/>
  <c r="X107" i="275"/>
  <c r="I100" i="275"/>
  <c r="I99" i="275"/>
  <c r="I98" i="275"/>
  <c r="I95" i="275"/>
  <c r="I92" i="275"/>
  <c r="I79" i="275"/>
  <c r="I78" i="275"/>
  <c r="I77" i="275"/>
  <c r="P68" i="275"/>
  <c r="P64" i="275"/>
  <c r="I47" i="275"/>
  <c r="R46" i="275"/>
  <c r="J46" i="275"/>
  <c r="I45" i="275"/>
  <c r="X44" i="275"/>
  <c r="R38" i="275"/>
  <c r="J38" i="275"/>
  <c r="I34" i="275"/>
  <c r="I29" i="275"/>
  <c r="X28" i="275"/>
  <c r="L26" i="275"/>
  <c r="I24" i="275"/>
  <c r="X19" i="275"/>
  <c r="I16" i="275"/>
  <c r="I14" i="275"/>
  <c r="I13" i="275"/>
  <c r="X12" i="275"/>
  <c r="J10" i="275"/>
  <c r="I6" i="275"/>
  <c r="S61" i="272"/>
  <c r="N61" i="272"/>
  <c r="I61" i="272"/>
  <c r="S60" i="272"/>
  <c r="S59" i="272"/>
  <c r="S58" i="272"/>
  <c r="S57" i="272"/>
  <c r="S56" i="272"/>
  <c r="S55" i="272"/>
  <c r="S54" i="272"/>
  <c r="S53" i="272"/>
  <c r="B93" i="271"/>
  <c r="B90" i="271"/>
  <c r="K82" i="271"/>
  <c r="I82" i="271"/>
  <c r="G82" i="271"/>
  <c r="E82" i="271"/>
  <c r="C81" i="271"/>
  <c r="O79" i="271"/>
  <c r="M79" i="271"/>
  <c r="T69" i="271"/>
  <c r="R69" i="271"/>
  <c r="N65" i="271"/>
  <c r="N64" i="271"/>
  <c r="O55" i="271"/>
  <c r="J55" i="271"/>
  <c r="J52" i="271"/>
  <c r="O51" i="271"/>
  <c r="J51" i="271"/>
  <c r="T50" i="271"/>
  <c r="O47" i="271"/>
  <c r="J47" i="271"/>
  <c r="T46" i="271"/>
  <c r="J46" i="271"/>
  <c r="J42" i="271"/>
  <c r="O40" i="271"/>
  <c r="J40" i="271"/>
  <c r="J38" i="271"/>
  <c r="O37" i="271"/>
  <c r="Q32" i="271"/>
  <c r="N32" i="271"/>
  <c r="K32" i="271"/>
  <c r="H32" i="271"/>
  <c r="X30" i="271"/>
  <c r="J30" i="271"/>
  <c r="M22" i="271"/>
  <c r="G22" i="271"/>
  <c r="S20" i="271"/>
  <c r="M20" i="271"/>
  <c r="M18" i="271"/>
  <c r="G18" i="271"/>
  <c r="L15" i="271"/>
  <c r="B10" i="271"/>
  <c r="E3" i="271"/>
  <c r="H164" i="270"/>
  <c r="G163" i="270"/>
  <c r="G162" i="270"/>
  <c r="G157" i="270"/>
  <c r="G154" i="270"/>
  <c r="G153" i="270"/>
  <c r="S151" i="270"/>
  <c r="G144" i="270"/>
  <c r="T143" i="270"/>
  <c r="N143" i="270"/>
  <c r="H143" i="270"/>
  <c r="G142" i="270"/>
  <c r="T141" i="270"/>
  <c r="N141" i="270"/>
  <c r="N134" i="270"/>
  <c r="H134" i="270"/>
  <c r="N125" i="270"/>
  <c r="H125" i="270"/>
  <c r="N123" i="270"/>
  <c r="H123" i="270"/>
  <c r="J120" i="270"/>
  <c r="G114" i="270"/>
  <c r="T113" i="270"/>
  <c r="N113" i="270"/>
  <c r="J110" i="270"/>
  <c r="G109" i="270"/>
  <c r="G101" i="270"/>
  <c r="G97" i="270"/>
  <c r="G96" i="270"/>
  <c r="G82" i="270"/>
  <c r="G81" i="270"/>
  <c r="G79" i="270"/>
  <c r="L76" i="270"/>
  <c r="L69" i="270"/>
  <c r="L67" i="270"/>
  <c r="G66" i="270"/>
  <c r="G50" i="270"/>
  <c r="H49" i="270"/>
  <c r="G48" i="270"/>
  <c r="T47" i="270"/>
  <c r="G41" i="270"/>
  <c r="T40" i="270"/>
  <c r="H38" i="270"/>
  <c r="G30" i="270"/>
  <c r="T29" i="270"/>
  <c r="H29" i="270"/>
  <c r="J26" i="270"/>
  <c r="H21" i="270"/>
  <c r="T19" i="270"/>
  <c r="H19" i="270"/>
  <c r="P16" i="270"/>
  <c r="G16" i="270"/>
  <c r="T10" i="270"/>
  <c r="N10" i="270"/>
  <c r="H10" i="270"/>
  <c r="B36" i="269"/>
  <c r="J31" i="269"/>
  <c r="K29" i="269"/>
  <c r="O25" i="269"/>
  <c r="Q17" i="269"/>
  <c r="B30" i="268"/>
  <c r="D18" i="184"/>
  <c r="C18" i="184"/>
  <c r="B18" i="184"/>
  <c r="E18" i="184"/>
  <c r="H5" i="184"/>
  <c r="H4" i="184"/>
  <c r="H3" i="184"/>
  <c r="F1490" i="3"/>
  <c r="F1489" i="3"/>
  <c r="F1488" i="3"/>
  <c r="V8" i="240"/>
  <c r="F1487" i="3"/>
  <c r="F1486" i="3"/>
  <c r="F1485" i="3"/>
  <c r="F1484" i="3"/>
  <c r="F1483" i="3"/>
  <c r="F1482" i="3"/>
  <c r="F1481" i="3"/>
  <c r="F1480" i="3"/>
  <c r="F1479" i="3"/>
  <c r="F1477" i="3"/>
  <c r="F1476" i="3"/>
  <c r="F1475" i="3"/>
  <c r="F1474" i="3"/>
  <c r="F1473" i="3"/>
  <c r="F1472" i="3"/>
  <c r="F1469" i="3"/>
  <c r="F1467" i="3"/>
  <c r="F1465" i="3"/>
  <c r="F1464" i="3"/>
  <c r="F1462" i="3"/>
  <c r="F1461" i="3"/>
  <c r="F1460" i="3"/>
  <c r="F1459" i="3"/>
  <c r="F1458" i="3"/>
  <c r="F1453" i="3"/>
  <c r="F1451" i="3"/>
  <c r="F1449" i="3"/>
  <c r="F1448" i="3"/>
  <c r="F1446" i="3"/>
  <c r="F1445" i="3"/>
  <c r="F1455" i="3"/>
  <c r="F1444" i="3"/>
  <c r="F1443" i="3"/>
  <c r="F1442" i="3"/>
  <c r="F1440" i="3"/>
  <c r="M19" i="245"/>
  <c r="F1437" i="3"/>
  <c r="F1436" i="3"/>
  <c r="F1435" i="3"/>
  <c r="F1432" i="3"/>
  <c r="F1429" i="3"/>
  <c r="F1418" i="3"/>
  <c r="F1417" i="3"/>
  <c r="F1416" i="3"/>
  <c r="F1404" i="3"/>
  <c r="F1403" i="3"/>
  <c r="F1402" i="3"/>
  <c r="F1401" i="3"/>
  <c r="F1400" i="3"/>
  <c r="F1394" i="3"/>
  <c r="F1393" i="3"/>
  <c r="F1370" i="3"/>
  <c r="F1369" i="3"/>
  <c r="F1368" i="3"/>
  <c r="F1365" i="3"/>
  <c r="F1364" i="3"/>
  <c r="F1363" i="3"/>
  <c r="F1331" i="3"/>
  <c r="F1330" i="3"/>
  <c r="F1329" i="3"/>
  <c r="F1328" i="3"/>
  <c r="F1327" i="3"/>
  <c r="F1324" i="3"/>
  <c r="F1323" i="3"/>
  <c r="F1322" i="3"/>
  <c r="F1321" i="3"/>
  <c r="F1320" i="3"/>
  <c r="F1317" i="3"/>
  <c r="F1316" i="3"/>
  <c r="F1315" i="3"/>
  <c r="F1314" i="3"/>
  <c r="F1313" i="3"/>
  <c r="F1310" i="3"/>
  <c r="F1309" i="3"/>
  <c r="F1308" i="3"/>
  <c r="F1307" i="3"/>
  <c r="F1306" i="3"/>
  <c r="F1297" i="3"/>
  <c r="F1290" i="3"/>
  <c r="F1284" i="3"/>
  <c r="F1277" i="3"/>
  <c r="F1275" i="3"/>
  <c r="I118" i="276"/>
  <c r="F1273" i="3"/>
  <c r="F1272" i="3"/>
  <c r="V115" i="276"/>
  <c r="F1271" i="3"/>
  <c r="F1268" i="3"/>
  <c r="Y112" i="276"/>
  <c r="F1267" i="3"/>
  <c r="V112" i="276"/>
  <c r="F1266" i="3"/>
  <c r="F1265" i="3"/>
  <c r="C88" i="271"/>
  <c r="F1264" i="3"/>
  <c r="C87" i="271"/>
  <c r="F1263" i="3"/>
  <c r="K85" i="271"/>
  <c r="F1262" i="3"/>
  <c r="H85" i="271"/>
  <c r="F1261" i="3"/>
  <c r="F1259" i="3"/>
  <c r="F1258" i="3"/>
  <c r="F1257" i="3"/>
  <c r="F1254" i="3"/>
  <c r="F1253" i="3"/>
  <c r="F1252" i="3"/>
  <c r="F1249" i="3"/>
  <c r="F1248" i="3"/>
  <c r="J108" i="276"/>
  <c r="F1247" i="3"/>
  <c r="F1244" i="3"/>
  <c r="N81" i="271"/>
  <c r="F1243" i="3"/>
  <c r="K81" i="271"/>
  <c r="F1242" i="3"/>
  <c r="F107" i="276"/>
  <c r="F1237" i="3"/>
  <c r="F1236" i="3"/>
  <c r="F1234" i="3"/>
  <c r="U61" i="230"/>
  <c r="F1232" i="3"/>
  <c r="M78" i="271"/>
  <c r="F1230" i="3"/>
  <c r="B73" i="271"/>
  <c r="F1227" i="3"/>
  <c r="F1226" i="3"/>
  <c r="F1225" i="3"/>
  <c r="F1224" i="3"/>
  <c r="H97" i="276"/>
  <c r="F1223" i="3"/>
  <c r="F1219" i="3"/>
  <c r="F1218" i="3"/>
  <c r="F1217" i="3"/>
  <c r="F1216" i="3"/>
  <c r="F1215" i="3"/>
  <c r="H96" i="276"/>
  <c r="F1211" i="3"/>
  <c r="F1210" i="3"/>
  <c r="F1209" i="3"/>
  <c r="H95" i="276"/>
  <c r="F1208" i="3"/>
  <c r="F1207" i="3"/>
  <c r="F1203" i="3"/>
  <c r="F1202" i="3"/>
  <c r="M92" i="276"/>
  <c r="F1201" i="3"/>
  <c r="C71" i="271"/>
  <c r="F1198" i="3"/>
  <c r="F1197" i="3"/>
  <c r="U90" i="276"/>
  <c r="F1196" i="3"/>
  <c r="F1193" i="3"/>
  <c r="F1192" i="3"/>
  <c r="F1191" i="3"/>
  <c r="R89" i="276"/>
  <c r="F1190" i="3"/>
  <c r="F67" i="271"/>
  <c r="F1188" i="3"/>
  <c r="R88" i="276"/>
  <c r="F1187" i="3"/>
  <c r="F1185" i="3"/>
  <c r="R87" i="276"/>
  <c r="F1184" i="3"/>
  <c r="J87" i="276"/>
  <c r="F1182" i="3"/>
  <c r="N63" i="271"/>
  <c r="F1181" i="3"/>
  <c r="I63" i="271"/>
  <c r="F1177" i="3"/>
  <c r="M82" i="276"/>
  <c r="F1176" i="3"/>
  <c r="K60" i="271"/>
  <c r="F1173" i="3"/>
  <c r="J58" i="271"/>
  <c r="F1170" i="3"/>
  <c r="M76" i="276"/>
  <c r="F1167" i="3"/>
  <c r="F1166" i="3"/>
  <c r="F1165" i="3"/>
  <c r="J56" i="271"/>
  <c r="F1162" i="3"/>
  <c r="T55" i="271"/>
  <c r="F1161" i="3"/>
  <c r="S74" i="276"/>
  <c r="F1160" i="3"/>
  <c r="M74" i="276"/>
  <c r="F1157" i="3"/>
  <c r="T54" i="271"/>
  <c r="F1156" i="3"/>
  <c r="F1155" i="3"/>
  <c r="M73" i="276"/>
  <c r="F1152" i="3"/>
  <c r="F1151" i="3"/>
  <c r="F1150" i="3"/>
  <c r="J53" i="271"/>
  <c r="F1147" i="3"/>
  <c r="Z71" i="276"/>
  <c r="F1146" i="3"/>
  <c r="S71" i="276"/>
  <c r="F1145" i="3"/>
  <c r="F1142" i="3"/>
  <c r="T51" i="271"/>
  <c r="F1141" i="3"/>
  <c r="F1140" i="3"/>
  <c r="M70" i="276"/>
  <c r="F1137" i="3"/>
  <c r="F1136" i="3"/>
  <c r="O50" i="271"/>
  <c r="F1135" i="3"/>
  <c r="M68" i="276"/>
  <c r="F1132" i="3"/>
  <c r="F1131" i="3"/>
  <c r="F1130" i="3"/>
  <c r="F1127" i="3"/>
  <c r="F1126" i="3"/>
  <c r="F1125" i="3"/>
  <c r="M66" i="276"/>
  <c r="F1122" i="3"/>
  <c r="F1121" i="3"/>
  <c r="F1120" i="3"/>
  <c r="M65" i="276"/>
  <c r="F1117" i="3"/>
  <c r="F1116" i="3"/>
  <c r="O46" i="271"/>
  <c r="F1115" i="3"/>
  <c r="M64" i="276"/>
  <c r="F1112" i="3"/>
  <c r="T44" i="271"/>
  <c r="F1111" i="3"/>
  <c r="O44" i="271"/>
  <c r="F1110" i="3"/>
  <c r="F1107" i="3"/>
  <c r="F1106" i="3"/>
  <c r="F1105" i="3"/>
  <c r="M60" i="276"/>
  <c r="F1102" i="3"/>
  <c r="F1101" i="3"/>
  <c r="S58" i="276"/>
  <c r="F1100" i="3"/>
  <c r="M58" i="276"/>
  <c r="F1096" i="3"/>
  <c r="M54" i="276"/>
  <c r="F1095" i="3"/>
  <c r="T37" i="271"/>
  <c r="F1094" i="3"/>
  <c r="S53" i="276"/>
  <c r="F1093" i="3"/>
  <c r="J37" i="271"/>
  <c r="F1092" i="3"/>
  <c r="T35" i="271"/>
  <c r="F1091" i="3"/>
  <c r="F1090" i="3"/>
  <c r="F1087" i="3"/>
  <c r="F1086" i="3"/>
  <c r="F1085" i="3"/>
  <c r="F1084" i="3"/>
  <c r="F1083" i="3"/>
  <c r="F1082" i="3"/>
  <c r="F1081" i="3"/>
  <c r="F1080" i="3"/>
  <c r="F1079" i="3"/>
  <c r="F1076" i="3"/>
  <c r="F1075" i="3"/>
  <c r="F1074" i="3"/>
  <c r="F1073" i="3"/>
  <c r="F1072" i="3"/>
  <c r="F1071" i="3"/>
  <c r="F1069" i="3"/>
  <c r="F1068" i="3"/>
  <c r="F1067" i="3"/>
  <c r="F1066" i="3"/>
  <c r="F1065" i="3"/>
  <c r="F1064" i="3"/>
  <c r="F1063" i="3"/>
  <c r="F1062" i="3"/>
  <c r="F1061" i="3"/>
  <c r="F1058" i="3"/>
  <c r="F1057" i="3"/>
  <c r="F1056" i="3"/>
  <c r="F1055" i="3"/>
  <c r="E33" i="271"/>
  <c r="F1054" i="3"/>
  <c r="T46" i="276"/>
  <c r="F1053" i="3"/>
  <c r="Q46" i="276"/>
  <c r="F1052" i="3"/>
  <c r="F1051" i="3"/>
  <c r="K46" i="276"/>
  <c r="F1050" i="3"/>
  <c r="F1049" i="3"/>
  <c r="F1047" i="3"/>
  <c r="F1046" i="3"/>
  <c r="F1045" i="3"/>
  <c r="F1044" i="3"/>
  <c r="M43" i="276"/>
  <c r="F1043" i="3"/>
  <c r="F1041" i="3"/>
  <c r="E29" i="271"/>
  <c r="F1040" i="3"/>
  <c r="P28" i="271"/>
  <c r="F1039" i="3"/>
  <c r="P27" i="271"/>
  <c r="F1038" i="3"/>
  <c r="H26" i="271"/>
  <c r="F1037" i="3"/>
  <c r="F1036" i="3"/>
  <c r="H25" i="271"/>
  <c r="F1034" i="3"/>
  <c r="F1033" i="3"/>
  <c r="S24" i="271"/>
  <c r="F1032" i="3"/>
  <c r="N34" i="276"/>
  <c r="F1031" i="3"/>
  <c r="F1029" i="3"/>
  <c r="X32" i="276"/>
  <c r="F1028" i="3"/>
  <c r="F1027" i="3"/>
  <c r="N32" i="276"/>
  <c r="F1026" i="3"/>
  <c r="I32" i="276"/>
  <c r="F1024" i="3"/>
  <c r="X30" i="276"/>
  <c r="F1023" i="3"/>
  <c r="S30" i="276"/>
  <c r="F1022" i="3"/>
  <c r="F1021" i="3"/>
  <c r="G20" i="271"/>
  <c r="F1020" i="3"/>
  <c r="F1018" i="3"/>
  <c r="X29" i="276"/>
  <c r="F1017" i="3"/>
  <c r="F1016" i="3"/>
  <c r="F1015" i="3"/>
  <c r="G19" i="271"/>
  <c r="F1014" i="3"/>
  <c r="X28" i="276"/>
  <c r="F1013" i="3"/>
  <c r="S28" i="276"/>
  <c r="F1012" i="3"/>
  <c r="N28" i="276"/>
  <c r="F1011" i="3"/>
  <c r="I28" i="276"/>
  <c r="F1007" i="3"/>
  <c r="F1006" i="3"/>
  <c r="M23" i="276"/>
  <c r="F1003" i="3"/>
  <c r="F1001" i="3"/>
  <c r="M19" i="276"/>
  <c r="F1000" i="3"/>
  <c r="N8" i="271"/>
  <c r="F999" i="3"/>
  <c r="L16" i="276"/>
  <c r="F998" i="3"/>
  <c r="G16" i="276"/>
  <c r="F997" i="3"/>
  <c r="F995" i="3"/>
  <c r="F994" i="3"/>
  <c r="B7" i="271"/>
  <c r="F993" i="3"/>
  <c r="Q6" i="271"/>
  <c r="F992" i="3"/>
  <c r="Q12" i="276"/>
  <c r="F991" i="3"/>
  <c r="F990" i="3"/>
  <c r="J73" i="230"/>
  <c r="F988" i="3"/>
  <c r="F989" i="3"/>
  <c r="F987" i="3"/>
  <c r="F984" i="3"/>
  <c r="F983" i="3"/>
  <c r="F982" i="3"/>
  <c r="F979" i="3"/>
  <c r="F978" i="3"/>
  <c r="A12" i="230"/>
  <c r="F977" i="3"/>
  <c r="F973" i="3"/>
  <c r="F972" i="3"/>
  <c r="F971" i="3"/>
  <c r="F970" i="3"/>
  <c r="F969" i="3"/>
  <c r="F968" i="3"/>
  <c r="F966" i="3"/>
  <c r="F965" i="3"/>
  <c r="F964" i="3"/>
  <c r="F963" i="3"/>
  <c r="K92" i="230"/>
  <c r="F962" i="3"/>
  <c r="F961" i="3"/>
  <c r="F960" i="3"/>
  <c r="F959" i="3"/>
  <c r="F958" i="3"/>
  <c r="F957" i="3"/>
  <c r="K104" i="230"/>
  <c r="F956" i="3"/>
  <c r="F955" i="3"/>
  <c r="F954" i="3"/>
  <c r="F953" i="3"/>
  <c r="F952" i="3"/>
  <c r="F951" i="3"/>
  <c r="F944" i="3"/>
  <c r="F943" i="3"/>
  <c r="F939" i="3"/>
  <c r="F938" i="3"/>
  <c r="F937" i="3"/>
  <c r="G161" i="270"/>
  <c r="F935" i="3"/>
  <c r="F934" i="3"/>
  <c r="F933" i="3"/>
  <c r="F932" i="3"/>
  <c r="B163" i="270"/>
  <c r="F931" i="3"/>
  <c r="B162" i="270"/>
  <c r="F930" i="3"/>
  <c r="B161" i="270"/>
  <c r="F926" i="3"/>
  <c r="G158" i="270"/>
  <c r="F925" i="3"/>
  <c r="F924" i="3"/>
  <c r="F923" i="3"/>
  <c r="F921" i="3"/>
  <c r="F920" i="3"/>
  <c r="F919" i="3"/>
  <c r="F922" i="3"/>
  <c r="F918" i="3"/>
  <c r="B159" i="270"/>
  <c r="F917" i="3"/>
  <c r="B158" i="270"/>
  <c r="F916" i="3"/>
  <c r="B157" i="270"/>
  <c r="F911" i="3"/>
  <c r="I148" i="275"/>
  <c r="F910" i="3"/>
  <c r="J26" i="249"/>
  <c r="F909" i="3"/>
  <c r="N147" i="275"/>
  <c r="F903" i="3"/>
  <c r="F902" i="3"/>
  <c r="F901" i="3"/>
  <c r="F900" i="3"/>
  <c r="F899" i="3"/>
  <c r="F898" i="3"/>
  <c r="F897" i="3"/>
  <c r="F896" i="3"/>
  <c r="F893" i="3"/>
  <c r="F892" i="3"/>
  <c r="F891" i="3"/>
  <c r="F890" i="3"/>
  <c r="F889" i="3"/>
  <c r="F888" i="3"/>
  <c r="F887" i="3"/>
  <c r="F886" i="3"/>
  <c r="F883" i="3"/>
  <c r="F882" i="3"/>
  <c r="F881" i="3"/>
  <c r="F880" i="3"/>
  <c r="F879" i="3"/>
  <c r="F878" i="3"/>
  <c r="F877" i="3"/>
  <c r="F876" i="3"/>
  <c r="F873" i="3"/>
  <c r="F872" i="3"/>
  <c r="F871" i="3"/>
  <c r="F870" i="3"/>
  <c r="F869" i="3"/>
  <c r="F868" i="3"/>
  <c r="F867" i="3"/>
  <c r="F866" i="3"/>
  <c r="F863" i="3"/>
  <c r="F862" i="3"/>
  <c r="F861" i="3"/>
  <c r="F860" i="3"/>
  <c r="F859" i="3"/>
  <c r="F858" i="3"/>
  <c r="F857" i="3"/>
  <c r="F856" i="3"/>
  <c r="F853" i="3"/>
  <c r="I146" i="275"/>
  <c r="F852" i="3"/>
  <c r="F851" i="3"/>
  <c r="F850" i="3"/>
  <c r="F849" i="3"/>
  <c r="AC32" i="261"/>
  <c r="F848" i="3"/>
  <c r="F847" i="3"/>
  <c r="F846" i="3"/>
  <c r="F843" i="3"/>
  <c r="F842" i="3"/>
  <c r="F841" i="3"/>
  <c r="F840" i="3"/>
  <c r="F839" i="3"/>
  <c r="F838" i="3"/>
  <c r="F837" i="3"/>
  <c r="F836" i="3"/>
  <c r="F835" i="3"/>
  <c r="F834" i="3"/>
  <c r="F833" i="3"/>
  <c r="F832" i="3"/>
  <c r="F831" i="3"/>
  <c r="F830" i="3"/>
  <c r="F827" i="3"/>
  <c r="F826" i="3"/>
  <c r="F825" i="3"/>
  <c r="F824" i="3"/>
  <c r="F823" i="3"/>
  <c r="F822" i="3"/>
  <c r="F821" i="3"/>
  <c r="F820" i="3"/>
  <c r="F819" i="3"/>
  <c r="F818" i="3"/>
  <c r="F817" i="3"/>
  <c r="F816" i="3"/>
  <c r="F815" i="3"/>
  <c r="F814" i="3"/>
  <c r="F811" i="3"/>
  <c r="F810" i="3"/>
  <c r="F809" i="3"/>
  <c r="F808" i="3"/>
  <c r="F807" i="3"/>
  <c r="F806" i="3"/>
  <c r="F805" i="3"/>
  <c r="F804" i="3"/>
  <c r="F803" i="3"/>
  <c r="F802" i="3"/>
  <c r="F801" i="3"/>
  <c r="F800" i="3"/>
  <c r="F799" i="3"/>
  <c r="F798" i="3"/>
  <c r="F795" i="3"/>
  <c r="F794" i="3"/>
  <c r="F793" i="3"/>
  <c r="F792" i="3"/>
  <c r="F791" i="3"/>
  <c r="F790" i="3"/>
  <c r="F789" i="3"/>
  <c r="F788" i="3"/>
  <c r="F787" i="3"/>
  <c r="F786" i="3"/>
  <c r="F785" i="3"/>
  <c r="F784" i="3"/>
  <c r="F783" i="3"/>
  <c r="F782" i="3"/>
  <c r="F779" i="3"/>
  <c r="F778" i="3"/>
  <c r="F777" i="3"/>
  <c r="F776" i="3"/>
  <c r="F775" i="3"/>
  <c r="F774" i="3"/>
  <c r="F773" i="3"/>
  <c r="F772" i="3"/>
  <c r="F771" i="3"/>
  <c r="F770" i="3"/>
  <c r="F769" i="3"/>
  <c r="F768" i="3"/>
  <c r="F767" i="3"/>
  <c r="F766" i="3"/>
  <c r="F763" i="3"/>
  <c r="F762" i="3"/>
  <c r="F761" i="3"/>
  <c r="F760" i="3"/>
  <c r="F759" i="3"/>
  <c r="F758" i="3"/>
  <c r="F757" i="3"/>
  <c r="F756" i="3"/>
  <c r="F755" i="3"/>
  <c r="F754" i="3"/>
  <c r="F753" i="3"/>
  <c r="F752" i="3"/>
  <c r="F751" i="3"/>
  <c r="F750" i="3"/>
  <c r="F747" i="3"/>
  <c r="F746" i="3"/>
  <c r="F745" i="3"/>
  <c r="F744" i="3"/>
  <c r="F743" i="3"/>
  <c r="F742" i="3"/>
  <c r="F741" i="3"/>
  <c r="F740" i="3"/>
  <c r="F739" i="3"/>
  <c r="F738" i="3"/>
  <c r="F737" i="3"/>
  <c r="F736" i="3"/>
  <c r="F735" i="3"/>
  <c r="F734" i="3"/>
  <c r="F731" i="3"/>
  <c r="F730" i="3"/>
  <c r="F729" i="3"/>
  <c r="F728" i="3"/>
  <c r="F727" i="3"/>
  <c r="F726" i="3"/>
  <c r="F725" i="3"/>
  <c r="F724" i="3"/>
  <c r="F723" i="3"/>
  <c r="F722" i="3"/>
  <c r="F721" i="3"/>
  <c r="F720" i="3"/>
  <c r="F719" i="3"/>
  <c r="F718" i="3"/>
  <c r="F715" i="3"/>
  <c r="F714" i="3"/>
  <c r="I138" i="275"/>
  <c r="F713" i="3"/>
  <c r="I137" i="275"/>
  <c r="F712" i="3"/>
  <c r="F711" i="3"/>
  <c r="K39" i="260"/>
  <c r="F710" i="3"/>
  <c r="X134" i="275"/>
  <c r="F709" i="3"/>
  <c r="T38" i="260"/>
  <c r="F708" i="3"/>
  <c r="F707" i="3"/>
  <c r="F706" i="3"/>
  <c r="F705" i="3"/>
  <c r="X132" i="275"/>
  <c r="F704" i="3"/>
  <c r="R132" i="275"/>
  <c r="F703" i="3"/>
  <c r="F702" i="3"/>
  <c r="F699" i="3"/>
  <c r="F698" i="3"/>
  <c r="F697" i="3"/>
  <c r="F696" i="3"/>
  <c r="L24" i="260"/>
  <c r="F695" i="3"/>
  <c r="K23" i="260"/>
  <c r="F694" i="3"/>
  <c r="T134" i="270"/>
  <c r="F693" i="3"/>
  <c r="T22" i="260"/>
  <c r="F692" i="3"/>
  <c r="F691" i="3"/>
  <c r="F690" i="3"/>
  <c r="F689" i="3"/>
  <c r="F688" i="3"/>
  <c r="F687" i="3"/>
  <c r="F686" i="3"/>
  <c r="F683" i="3"/>
  <c r="AC9" i="260"/>
  <c r="F682" i="3"/>
  <c r="K9" i="260"/>
  <c r="F681" i="3"/>
  <c r="F680" i="3"/>
  <c r="F679" i="3"/>
  <c r="K7" i="260"/>
  <c r="F678" i="3"/>
  <c r="X118" i="275"/>
  <c r="F677" i="3"/>
  <c r="T6" i="260"/>
  <c r="F676" i="3"/>
  <c r="F675" i="3"/>
  <c r="F674" i="3"/>
  <c r="G124" i="270"/>
  <c r="F673" i="3"/>
  <c r="T123" i="270"/>
  <c r="F672" i="3"/>
  <c r="F671" i="3"/>
  <c r="K4" i="260"/>
  <c r="F670" i="3"/>
  <c r="F667" i="3"/>
  <c r="AC36" i="259"/>
  <c r="F666" i="3"/>
  <c r="F665" i="3"/>
  <c r="F664" i="3"/>
  <c r="F663" i="3"/>
  <c r="F662" i="3"/>
  <c r="I110" i="275"/>
  <c r="F661" i="3"/>
  <c r="F660" i="3"/>
  <c r="F659" i="3"/>
  <c r="F658" i="3"/>
  <c r="F657" i="3"/>
  <c r="F656" i="3"/>
  <c r="AD31" i="259"/>
  <c r="F655" i="3"/>
  <c r="F654" i="3"/>
  <c r="H113" i="270"/>
  <c r="F653" i="3"/>
  <c r="F650" i="3"/>
  <c r="F649" i="3"/>
  <c r="F648" i="3"/>
  <c r="F647" i="3"/>
  <c r="F646" i="3"/>
  <c r="F645" i="3"/>
  <c r="F644" i="3"/>
  <c r="F642" i="3"/>
  <c r="K104" i="275"/>
  <c r="F641" i="3"/>
  <c r="I103" i="275"/>
  <c r="F640" i="3"/>
  <c r="G108" i="270"/>
  <c r="F639" i="3"/>
  <c r="F638" i="3"/>
  <c r="G106" i="270"/>
  <c r="F637" i="3"/>
  <c r="G105" i="270"/>
  <c r="F636" i="3"/>
  <c r="G104" i="270"/>
  <c r="F633" i="3"/>
  <c r="F632" i="3"/>
  <c r="I96" i="275"/>
  <c r="F631" i="3"/>
  <c r="G100" i="270"/>
  <c r="F630" i="3"/>
  <c r="I94" i="275"/>
  <c r="F629" i="3"/>
  <c r="G98" i="270"/>
  <c r="F628" i="3"/>
  <c r="F627" i="3"/>
  <c r="I91" i="275"/>
  <c r="F624" i="3"/>
  <c r="J94" i="270"/>
  <c r="F623" i="3"/>
  <c r="I89" i="275"/>
  <c r="F622" i="3"/>
  <c r="G92" i="270"/>
  <c r="F621" i="3"/>
  <c r="F620" i="3"/>
  <c r="G90" i="270"/>
  <c r="F619" i="3"/>
  <c r="F618" i="3"/>
  <c r="F615" i="3"/>
  <c r="F614" i="3"/>
  <c r="F613" i="3"/>
  <c r="F612" i="3"/>
  <c r="F611" i="3"/>
  <c r="F610" i="3"/>
  <c r="G80" i="270"/>
  <c r="F609" i="3"/>
  <c r="I76" i="275"/>
  <c r="F605" i="3"/>
  <c r="F604" i="3"/>
  <c r="F603" i="3"/>
  <c r="F602" i="3"/>
  <c r="F601" i="3"/>
  <c r="P73" i="275"/>
  <c r="F600" i="3"/>
  <c r="F599" i="3"/>
  <c r="F598" i="3"/>
  <c r="F597" i="3"/>
  <c r="L72" i="270"/>
  <c r="F596" i="3"/>
  <c r="G71" i="270"/>
  <c r="F593" i="3"/>
  <c r="F592" i="3"/>
  <c r="F591" i="3"/>
  <c r="F590" i="3"/>
  <c r="F589" i="3"/>
  <c r="P66" i="275"/>
  <c r="F588" i="3"/>
  <c r="P65" i="275"/>
  <c r="F587" i="3"/>
  <c r="F586" i="3"/>
  <c r="P63" i="275"/>
  <c r="F585" i="3"/>
  <c r="F584" i="3"/>
  <c r="F581" i="3"/>
  <c r="F580" i="3"/>
  <c r="F579" i="3"/>
  <c r="F578" i="3"/>
  <c r="F577" i="3"/>
  <c r="F576" i="3"/>
  <c r="F575" i="3"/>
  <c r="F574" i="3"/>
  <c r="F573" i="3"/>
  <c r="F572" i="3"/>
  <c r="F569" i="3"/>
  <c r="F568" i="3"/>
  <c r="F567" i="3"/>
  <c r="F566" i="3"/>
  <c r="F565" i="3"/>
  <c r="F564" i="3"/>
  <c r="F563" i="3"/>
  <c r="F562" i="3"/>
  <c r="F561" i="3"/>
  <c r="F560" i="3"/>
  <c r="F556" i="3"/>
  <c r="F555" i="3"/>
  <c r="F554" i="3"/>
  <c r="F553" i="3"/>
  <c r="F552" i="3"/>
  <c r="F551" i="3"/>
  <c r="F550" i="3"/>
  <c r="F549" i="3"/>
  <c r="F548" i="3"/>
  <c r="F547" i="3"/>
  <c r="F546" i="3"/>
  <c r="F545" i="3"/>
  <c r="F544" i="3"/>
  <c r="F543" i="3"/>
  <c r="F542" i="3"/>
  <c r="F539" i="3"/>
  <c r="F538" i="3"/>
  <c r="F537" i="3"/>
  <c r="F536" i="3"/>
  <c r="F535" i="3"/>
  <c r="F534" i="3"/>
  <c r="F533" i="3"/>
  <c r="F532" i="3"/>
  <c r="F531" i="3"/>
  <c r="F530" i="3"/>
  <c r="F529" i="3"/>
  <c r="F528" i="3"/>
  <c r="F527" i="3"/>
  <c r="F526" i="3"/>
  <c r="F525" i="3"/>
  <c r="F522" i="3"/>
  <c r="F521" i="3"/>
  <c r="F520" i="3"/>
  <c r="F519" i="3"/>
  <c r="F518" i="3"/>
  <c r="F517" i="3"/>
  <c r="F516" i="3"/>
  <c r="F515" i="3"/>
  <c r="F514" i="3"/>
  <c r="F513" i="3"/>
  <c r="F512" i="3"/>
  <c r="F511" i="3"/>
  <c r="F510" i="3"/>
  <c r="F509" i="3"/>
  <c r="F508" i="3"/>
  <c r="F505" i="3"/>
  <c r="F504" i="3"/>
  <c r="F503" i="3"/>
  <c r="F502" i="3"/>
  <c r="F501" i="3"/>
  <c r="F500" i="3"/>
  <c r="F499" i="3"/>
  <c r="F498" i="3"/>
  <c r="F497" i="3"/>
  <c r="F496" i="3"/>
  <c r="F495" i="3"/>
  <c r="F494" i="3"/>
  <c r="F493" i="3"/>
  <c r="F492" i="3"/>
  <c r="F491" i="3"/>
  <c r="F488" i="3"/>
  <c r="F487" i="3"/>
  <c r="F486" i="3"/>
  <c r="F485" i="3"/>
  <c r="F484" i="3"/>
  <c r="F483" i="3"/>
  <c r="F482" i="3"/>
  <c r="F481" i="3"/>
  <c r="F480" i="3"/>
  <c r="F479" i="3"/>
  <c r="F478" i="3"/>
  <c r="F477" i="3"/>
  <c r="F476" i="3"/>
  <c r="F475" i="3"/>
  <c r="F474" i="3"/>
  <c r="F471" i="3"/>
  <c r="F470" i="3"/>
  <c r="F469" i="3"/>
  <c r="F468" i="3"/>
  <c r="F467" i="3"/>
  <c r="F466" i="3"/>
  <c r="F465" i="3"/>
  <c r="F464" i="3"/>
  <c r="F463" i="3"/>
  <c r="F462" i="3"/>
  <c r="F461" i="3"/>
  <c r="F460" i="3"/>
  <c r="F459" i="3"/>
  <c r="F458" i="3"/>
  <c r="F457" i="3"/>
  <c r="F454" i="3"/>
  <c r="F453" i="3"/>
  <c r="F452" i="3"/>
  <c r="F451" i="3"/>
  <c r="F450" i="3"/>
  <c r="F449" i="3"/>
  <c r="F448" i="3"/>
  <c r="F447" i="3"/>
  <c r="F446" i="3"/>
  <c r="F445" i="3"/>
  <c r="F444" i="3"/>
  <c r="F443" i="3"/>
  <c r="F442" i="3"/>
  <c r="F441" i="3"/>
  <c r="F440" i="3"/>
  <c r="F437" i="3"/>
  <c r="F436" i="3"/>
  <c r="F435" i="3"/>
  <c r="F434" i="3"/>
  <c r="F433" i="3"/>
  <c r="F432" i="3"/>
  <c r="F431" i="3"/>
  <c r="F430" i="3"/>
  <c r="F429" i="3"/>
  <c r="F428" i="3"/>
  <c r="F427" i="3"/>
  <c r="F426" i="3"/>
  <c r="F425" i="3"/>
  <c r="F424" i="3"/>
  <c r="F423" i="3"/>
  <c r="F420" i="3"/>
  <c r="F419" i="3"/>
  <c r="F418" i="3"/>
  <c r="F417" i="3"/>
  <c r="F416" i="3"/>
  <c r="F415" i="3"/>
  <c r="F414" i="3"/>
  <c r="F413" i="3"/>
  <c r="N49" i="270"/>
  <c r="F412" i="3"/>
  <c r="F411" i="3"/>
  <c r="F410" i="3"/>
  <c r="F409" i="3"/>
  <c r="F408" i="3"/>
  <c r="F407" i="3"/>
  <c r="F406" i="3"/>
  <c r="F403" i="3"/>
  <c r="F402" i="3"/>
  <c r="K25" i="264"/>
  <c r="F401" i="3"/>
  <c r="G43" i="270"/>
  <c r="F400" i="3"/>
  <c r="F399" i="3"/>
  <c r="F398" i="3"/>
  <c r="K23" i="264"/>
  <c r="F397" i="3"/>
  <c r="F396" i="3"/>
  <c r="F395" i="3"/>
  <c r="K22" i="264"/>
  <c r="F394" i="3"/>
  <c r="F393" i="3"/>
  <c r="F392" i="3"/>
  <c r="F391" i="3"/>
  <c r="F390" i="3"/>
  <c r="F389" i="3"/>
  <c r="F386" i="3"/>
  <c r="F385" i="3"/>
  <c r="F384" i="3"/>
  <c r="F383" i="3"/>
  <c r="F382" i="3"/>
  <c r="F381" i="3"/>
  <c r="F380" i="3"/>
  <c r="F379" i="3"/>
  <c r="F378" i="3"/>
  <c r="H31" i="270"/>
  <c r="F377" i="3"/>
  <c r="F376" i="3"/>
  <c r="K14" i="264"/>
  <c r="F375" i="3"/>
  <c r="AD13" i="264"/>
  <c r="F374" i="3"/>
  <c r="R28" i="275"/>
  <c r="F373" i="3"/>
  <c r="F372" i="3"/>
  <c r="F369" i="3"/>
  <c r="AD10" i="264"/>
  <c r="F368" i="3"/>
  <c r="I25" i="275"/>
  <c r="F367" i="3"/>
  <c r="F366" i="3"/>
  <c r="F365" i="3"/>
  <c r="F364" i="3"/>
  <c r="O24" i="269"/>
  <c r="F363" i="3"/>
  <c r="F362" i="3"/>
  <c r="R21" i="275"/>
  <c r="F361" i="3"/>
  <c r="K7" i="264"/>
  <c r="F360" i="3"/>
  <c r="F359" i="3"/>
  <c r="G20" i="270"/>
  <c r="F358" i="3"/>
  <c r="F357" i="3"/>
  <c r="R19" i="275"/>
  <c r="F356" i="3"/>
  <c r="F355" i="3"/>
  <c r="F352" i="3"/>
  <c r="F351" i="3"/>
  <c r="F350" i="3"/>
  <c r="F349" i="3"/>
  <c r="F348" i="3"/>
  <c r="F347" i="3"/>
  <c r="F346" i="3"/>
  <c r="F345" i="3"/>
  <c r="F344" i="3"/>
  <c r="F343" i="3"/>
  <c r="F342" i="3"/>
  <c r="F341" i="3"/>
  <c r="F340" i="3"/>
  <c r="F339" i="3"/>
  <c r="F338" i="3"/>
  <c r="F337" i="3"/>
  <c r="F334" i="3"/>
  <c r="F333" i="3"/>
  <c r="F332" i="3"/>
  <c r="F331" i="3"/>
  <c r="F330" i="3"/>
  <c r="F329" i="3"/>
  <c r="F328" i="3"/>
  <c r="F327" i="3"/>
  <c r="F326" i="3"/>
  <c r="F325" i="3"/>
  <c r="F324" i="3"/>
  <c r="F323" i="3"/>
  <c r="F322" i="3"/>
  <c r="F321" i="3"/>
  <c r="F320" i="3"/>
  <c r="F319" i="3"/>
  <c r="F316" i="3"/>
  <c r="F315" i="3"/>
  <c r="F314" i="3"/>
  <c r="F313" i="3"/>
  <c r="F312" i="3"/>
  <c r="F311" i="3"/>
  <c r="F310" i="3"/>
  <c r="F309" i="3"/>
  <c r="F308" i="3"/>
  <c r="F307" i="3"/>
  <c r="F306" i="3"/>
  <c r="F305" i="3"/>
  <c r="F304" i="3"/>
  <c r="F303" i="3"/>
  <c r="F302" i="3"/>
  <c r="F301" i="3"/>
  <c r="F298" i="3"/>
  <c r="F297" i="3"/>
  <c r="F296" i="3"/>
  <c r="F295" i="3"/>
  <c r="F294" i="3"/>
  <c r="F293" i="3"/>
  <c r="F292" i="3"/>
  <c r="F291" i="3"/>
  <c r="F290" i="3"/>
  <c r="F289" i="3"/>
  <c r="F288" i="3"/>
  <c r="F287" i="3"/>
  <c r="F286" i="3"/>
  <c r="F285" i="3"/>
  <c r="F284" i="3"/>
  <c r="F283" i="3"/>
  <c r="F280" i="3"/>
  <c r="F279" i="3"/>
  <c r="F278" i="3"/>
  <c r="F277" i="3"/>
  <c r="F276" i="3"/>
  <c r="F275" i="3"/>
  <c r="F274" i="3"/>
  <c r="F273" i="3"/>
  <c r="F272" i="3"/>
  <c r="F271" i="3"/>
  <c r="F270" i="3"/>
  <c r="F269" i="3"/>
  <c r="F268" i="3"/>
  <c r="F267" i="3"/>
  <c r="F266" i="3"/>
  <c r="F265" i="3"/>
  <c r="F262" i="3"/>
  <c r="F261" i="3"/>
  <c r="F260" i="3"/>
  <c r="F259" i="3"/>
  <c r="F258" i="3"/>
  <c r="F257" i="3"/>
  <c r="F256" i="3"/>
  <c r="F255" i="3"/>
  <c r="F254" i="3"/>
  <c r="F253" i="3"/>
  <c r="F252" i="3"/>
  <c r="F251" i="3"/>
  <c r="F250" i="3"/>
  <c r="F249" i="3"/>
  <c r="F248" i="3"/>
  <c r="F247" i="3"/>
  <c r="F244" i="3"/>
  <c r="F243" i="3"/>
  <c r="F242" i="3"/>
  <c r="F241" i="3"/>
  <c r="F240" i="3"/>
  <c r="F239" i="3"/>
  <c r="F238" i="3"/>
  <c r="F237" i="3"/>
  <c r="F236" i="3"/>
  <c r="F235" i="3"/>
  <c r="F234" i="3"/>
  <c r="F233" i="3"/>
  <c r="F232" i="3"/>
  <c r="F231" i="3"/>
  <c r="F230" i="3"/>
  <c r="F229" i="3"/>
  <c r="F227" i="3"/>
  <c r="F225" i="3"/>
  <c r="F224" i="3"/>
  <c r="F223" i="3"/>
  <c r="K12" i="258"/>
  <c r="F222" i="3"/>
  <c r="I15" i="275"/>
  <c r="F221" i="3"/>
  <c r="F220" i="3"/>
  <c r="F219" i="3"/>
  <c r="F218" i="3"/>
  <c r="F217" i="3"/>
  <c r="F216" i="3"/>
  <c r="F215" i="3"/>
  <c r="F214" i="3"/>
  <c r="F213" i="3"/>
  <c r="F212" i="3"/>
  <c r="F211" i="3"/>
  <c r="AG6" i="258"/>
  <c r="F210" i="3"/>
  <c r="F209" i="3"/>
  <c r="L10" i="249"/>
  <c r="F208" i="3"/>
  <c r="F205" i="3"/>
  <c r="F204" i="3"/>
  <c r="F203" i="3"/>
  <c r="F202" i="3"/>
  <c r="F201" i="3"/>
  <c r="F200" i="3"/>
  <c r="F199" i="3"/>
  <c r="F198" i="3"/>
  <c r="F197" i="3"/>
  <c r="F192" i="3"/>
  <c r="F191" i="3"/>
  <c r="F190" i="3"/>
  <c r="F189" i="3"/>
  <c r="F194" i="3"/>
  <c r="F188" i="3"/>
  <c r="F187" i="3"/>
  <c r="F186" i="3"/>
  <c r="S88" i="257"/>
  <c r="F185" i="3"/>
  <c r="F184" i="3"/>
  <c r="F179" i="3"/>
  <c r="F178" i="3"/>
  <c r="F177" i="3"/>
  <c r="F176" i="3"/>
  <c r="F181" i="3"/>
  <c r="F175" i="3"/>
  <c r="F174" i="3"/>
  <c r="F173" i="3"/>
  <c r="F172" i="3"/>
  <c r="F171" i="3"/>
  <c r="F168" i="3"/>
  <c r="F165" i="3"/>
  <c r="F164" i="3"/>
  <c r="F163" i="3"/>
  <c r="T59" i="257"/>
  <c r="F162" i="3"/>
  <c r="F161" i="3"/>
  <c r="F160" i="3"/>
  <c r="F159" i="3"/>
  <c r="F158" i="3"/>
  <c r="F157" i="3"/>
  <c r="S61" i="257"/>
  <c r="F154" i="3"/>
  <c r="F152" i="3"/>
  <c r="F151" i="3"/>
  <c r="F150" i="3"/>
  <c r="F149" i="3"/>
  <c r="F148" i="3"/>
  <c r="F147" i="3"/>
  <c r="F146" i="3"/>
  <c r="F145" i="3"/>
  <c r="F144" i="3"/>
  <c r="F141" i="3"/>
  <c r="F140" i="3"/>
  <c r="K18" i="250"/>
  <c r="F139" i="3"/>
  <c r="S37" i="257"/>
  <c r="F138" i="3"/>
  <c r="F137" i="3"/>
  <c r="F136" i="3"/>
  <c r="F135" i="3"/>
  <c r="AH36" i="257"/>
  <c r="F134" i="3"/>
  <c r="F133" i="3"/>
  <c r="S36" i="257"/>
  <c r="F132" i="3"/>
  <c r="F131" i="3"/>
  <c r="F128" i="3"/>
  <c r="F127" i="3"/>
  <c r="F126" i="3"/>
  <c r="F124" i="3"/>
  <c r="F123" i="3"/>
  <c r="F122" i="3"/>
  <c r="F121" i="3"/>
  <c r="F120" i="3"/>
  <c r="F119" i="3"/>
  <c r="F118" i="3"/>
  <c r="F117" i="3"/>
  <c r="F116" i="3"/>
  <c r="F113" i="3"/>
  <c r="K5" i="250"/>
  <c r="F112" i="3"/>
  <c r="F111" i="3"/>
  <c r="F110" i="3"/>
  <c r="K6" i="250"/>
  <c r="F109" i="3"/>
  <c r="F108" i="3"/>
  <c r="K8" i="250"/>
  <c r="F107" i="3"/>
  <c r="T7" i="257"/>
  <c r="F106" i="3"/>
  <c r="F105" i="3"/>
  <c r="F104" i="3"/>
  <c r="F103" i="3"/>
  <c r="F102" i="3"/>
  <c r="F101" i="3"/>
  <c r="S9" i="257"/>
  <c r="F94" i="3"/>
  <c r="F98" i="3"/>
  <c r="F92" i="3"/>
  <c r="F91" i="3"/>
  <c r="F90" i="3"/>
  <c r="F89" i="3"/>
  <c r="G6" i="270"/>
  <c r="F88" i="3"/>
  <c r="F86" i="3"/>
  <c r="F87" i="3"/>
  <c r="F85" i="3"/>
  <c r="F84" i="3"/>
  <c r="F83" i="3"/>
  <c r="F82" i="3"/>
  <c r="F81" i="3"/>
  <c r="V13" i="263"/>
  <c r="F78" i="3"/>
  <c r="N21" i="268"/>
  <c r="F75" i="3"/>
  <c r="C165" i="270"/>
  <c r="F68" i="3"/>
  <c r="J33" i="269"/>
  <c r="F66" i="3"/>
  <c r="J32" i="269"/>
  <c r="F65" i="3"/>
  <c r="F64" i="3"/>
  <c r="F63" i="3"/>
  <c r="F61" i="3"/>
  <c r="F59" i="3"/>
  <c r="F58" i="3"/>
  <c r="F57" i="3"/>
  <c r="F56" i="3"/>
  <c r="F52" i="3"/>
  <c r="F51" i="3"/>
  <c r="F48" i="3"/>
  <c r="F47" i="3"/>
  <c r="F44" i="3"/>
  <c r="U19" i="237"/>
  <c r="F43" i="3"/>
  <c r="F42" i="3"/>
  <c r="O38" i="230"/>
  <c r="F40" i="3"/>
  <c r="F38" i="3"/>
  <c r="F35" i="3"/>
  <c r="F34" i="3"/>
  <c r="F26" i="3"/>
  <c r="F28" i="3"/>
  <c r="F23" i="3" a="1"/>
  <c r="F23" i="3"/>
  <c r="F22" i="3"/>
  <c r="F21" i="3"/>
  <c r="F20" i="3"/>
  <c r="F19" i="3"/>
  <c r="F49" i="3"/>
  <c r="F18" i="3"/>
  <c r="F17" i="3"/>
  <c r="F16" i="3"/>
  <c r="X26" i="246"/>
  <c r="F15" i="3"/>
  <c r="F14" i="3"/>
  <c r="F13" i="3"/>
  <c r="F12" i="3"/>
  <c r="F11" i="3"/>
  <c r="F9" i="3"/>
  <c r="F7" i="3"/>
  <c r="D13" i="1"/>
  <c r="B13" i="1"/>
  <c r="D12" i="1"/>
  <c r="B12" i="1"/>
  <c r="AU2" i="1"/>
  <c r="AT2" i="1"/>
  <c r="AP2" i="1"/>
  <c r="AO2" i="1"/>
  <c r="AN2" i="1"/>
  <c r="AM2" i="1"/>
  <c r="AL2" i="1"/>
  <c r="AK2" i="1"/>
  <c r="AJ2" i="1"/>
  <c r="AI2" i="1"/>
  <c r="AH2" i="1"/>
  <c r="AD2" i="1"/>
  <c r="AC2" i="1"/>
  <c r="AB2" i="1"/>
  <c r="AA2" i="1"/>
  <c r="Z2" i="1"/>
  <c r="Y2" i="1"/>
  <c r="X2" i="1"/>
  <c r="W2" i="1"/>
  <c r="V2" i="1"/>
  <c r="R2" i="1"/>
  <c r="Q2" i="1"/>
  <c r="P2" i="1"/>
  <c r="O2" i="1"/>
  <c r="N2" i="1"/>
  <c r="M2" i="1"/>
  <c r="L2" i="1"/>
  <c r="K2" i="1"/>
  <c r="J2" i="1"/>
  <c r="F29" i="3"/>
  <c r="F1378" i="3"/>
  <c r="F31" i="3"/>
  <c r="L24" i="263"/>
  <c r="F1292" i="3"/>
  <c r="F1334" i="3"/>
  <c r="F1298" i="3"/>
  <c r="F1335" i="3"/>
  <c r="F1299" i="3"/>
  <c r="F1336" i="3"/>
  <c r="F1300" i="3"/>
  <c r="F1350" i="3"/>
  <c r="F70" i="3"/>
  <c r="F1351" i="3"/>
  <c r="F45" i="3"/>
  <c r="F27" i="3"/>
  <c r="F1344" i="3"/>
  <c r="S32" i="255"/>
  <c r="K4" i="249"/>
  <c r="G4" i="270"/>
  <c r="I4" i="275"/>
  <c r="F1383" i="3"/>
  <c r="F1375" i="3"/>
  <c r="F1373" i="3"/>
  <c r="F1384" i="3"/>
  <c r="I34" i="276"/>
  <c r="G24" i="271"/>
  <c r="O56" i="271"/>
  <c r="S75" i="276"/>
  <c r="S22" i="257"/>
  <c r="U9" i="266"/>
  <c r="K35" i="250"/>
  <c r="S73" i="257"/>
  <c r="Q71" i="271"/>
  <c r="T92" i="276"/>
  <c r="C82" i="271"/>
  <c r="F108" i="276"/>
  <c r="F1414" i="3"/>
  <c r="C24" i="238"/>
  <c r="D29" i="244"/>
  <c r="H18" i="240"/>
  <c r="C24" i="239"/>
  <c r="I8" i="271"/>
  <c r="F32" i="3"/>
  <c r="J30" i="269"/>
  <c r="U18" i="266"/>
  <c r="S49" i="257"/>
  <c r="AH62" i="257"/>
  <c r="U23" i="266"/>
  <c r="F166" i="3"/>
  <c r="K30" i="250"/>
  <c r="M13" i="276"/>
  <c r="H7" i="271"/>
  <c r="J75" i="230"/>
  <c r="S22" i="271"/>
  <c r="S32" i="276"/>
  <c r="H43" i="276"/>
  <c r="G30" i="271"/>
  <c r="K33" i="271"/>
  <c r="N47" i="276"/>
  <c r="Z58" i="276"/>
  <c r="T40" i="271"/>
  <c r="Z65" i="276"/>
  <c r="T47" i="271"/>
  <c r="J88" i="276"/>
  <c r="I65" i="271"/>
  <c r="G99" i="270"/>
  <c r="C26" i="246"/>
  <c r="Y28" i="254"/>
  <c r="Y28" i="253"/>
  <c r="X39" i="230"/>
  <c r="S39" i="230"/>
  <c r="N39" i="230"/>
  <c r="Q108" i="276"/>
  <c r="F1415" i="3"/>
  <c r="N82" i="271"/>
  <c r="F1374" i="3"/>
  <c r="F68" i="271"/>
  <c r="S34" i="276"/>
  <c r="C22" i="252"/>
  <c r="U5" i="266"/>
  <c r="D16" i="253"/>
  <c r="W18" i="255"/>
  <c r="U14" i="262"/>
  <c r="U11" i="236"/>
  <c r="V19" i="263"/>
  <c r="K11" i="249"/>
  <c r="K7" i="258"/>
  <c r="U11" i="237"/>
  <c r="V17" i="259"/>
  <c r="V18" i="261"/>
  <c r="I11" i="275"/>
  <c r="D16" i="254"/>
  <c r="F109" i="276"/>
  <c r="C83" i="271"/>
  <c r="S19" i="271"/>
  <c r="S29" i="276"/>
  <c r="K29" i="250"/>
  <c r="S60" i="257"/>
  <c r="AD25" i="264"/>
  <c r="L43" i="275"/>
  <c r="J45" i="270"/>
  <c r="I80" i="275"/>
  <c r="G83" i="270"/>
  <c r="R116" i="275"/>
  <c r="T4" i="260"/>
  <c r="O52" i="271"/>
  <c r="K20" i="250"/>
  <c r="Y33" i="257"/>
  <c r="AD20" i="264"/>
  <c r="X36" i="275"/>
  <c r="T38" i="270"/>
  <c r="J109" i="275"/>
  <c r="K33" i="259"/>
  <c r="K23" i="250"/>
  <c r="S47" i="257"/>
  <c r="J44" i="275"/>
  <c r="H47" i="270"/>
  <c r="R124" i="275"/>
  <c r="T20" i="260"/>
  <c r="N132" i="270"/>
  <c r="I25" i="230"/>
  <c r="S34" i="261"/>
  <c r="I145" i="275"/>
  <c r="T10" i="238"/>
  <c r="T13" i="244"/>
  <c r="T10" i="239"/>
  <c r="M72" i="276"/>
  <c r="T13" i="264"/>
  <c r="N29" i="270"/>
  <c r="AD18" i="264"/>
  <c r="J36" i="270"/>
  <c r="L35" i="275"/>
  <c r="T49" i="270"/>
  <c r="X46" i="275"/>
  <c r="N29" i="276"/>
  <c r="M19" i="271"/>
  <c r="S60" i="276"/>
  <c r="O42" i="271"/>
  <c r="S66" i="276"/>
  <c r="O48" i="271"/>
  <c r="J89" i="276"/>
  <c r="F1194" i="3"/>
  <c r="Y30" i="253"/>
  <c r="X22" i="252"/>
  <c r="Y30" i="254"/>
  <c r="F226" i="3"/>
  <c r="Z60" i="276"/>
  <c r="T42" i="271"/>
  <c r="J44" i="271"/>
  <c r="M62" i="276"/>
  <c r="M67" i="276"/>
  <c r="J49" i="271"/>
  <c r="T20" i="264"/>
  <c r="R36" i="275"/>
  <c r="N38" i="270"/>
  <c r="I48" i="275"/>
  <c r="G51" i="270"/>
  <c r="G64" i="270"/>
  <c r="P61" i="275"/>
  <c r="P70" i="275"/>
  <c r="G73" i="270"/>
  <c r="K25" i="260"/>
  <c r="G138" i="270"/>
  <c r="I130" i="275"/>
  <c r="L33" i="261"/>
  <c r="F907" i="3"/>
  <c r="F906" i="3"/>
  <c r="G152" i="270"/>
  <c r="F854" i="3"/>
  <c r="I143" i="275"/>
  <c r="P23" i="230"/>
  <c r="B6" i="271"/>
  <c r="F12" i="276"/>
  <c r="K9" i="250"/>
  <c r="S11" i="257"/>
  <c r="S50" i="257"/>
  <c r="K27" i="250"/>
  <c r="I49" i="275"/>
  <c r="G52" i="270"/>
  <c r="L74" i="270"/>
  <c r="P71" i="275"/>
  <c r="I81" i="275"/>
  <c r="G84" i="270"/>
  <c r="X116" i="275"/>
  <c r="AD4" i="260"/>
  <c r="AC25" i="260"/>
  <c r="J139" i="270"/>
  <c r="I144" i="275"/>
  <c r="M34" i="261"/>
  <c r="I24" i="230"/>
  <c r="T52" i="271"/>
  <c r="K21" i="264"/>
  <c r="I37" i="275"/>
  <c r="G39" i="270"/>
  <c r="I50" i="275"/>
  <c r="G53" i="270"/>
  <c r="P58" i="275"/>
  <c r="G61" i="270"/>
  <c r="G75" i="270"/>
  <c r="P72" i="275"/>
  <c r="J85" i="270"/>
  <c r="K82" i="275"/>
  <c r="K5" i="260"/>
  <c r="I117" i="275"/>
  <c r="K41" i="260"/>
  <c r="G147" i="270"/>
  <c r="F95" i="3"/>
  <c r="I16" i="230"/>
  <c r="K41" i="250"/>
  <c r="S86" i="257"/>
  <c r="AI12" i="249"/>
  <c r="AG8" i="258"/>
  <c r="T12" i="270"/>
  <c r="L9" i="264"/>
  <c r="G23" i="270"/>
  <c r="X30" i="275"/>
  <c r="AD15" i="264"/>
  <c r="T31" i="270"/>
  <c r="R44" i="275"/>
  <c r="N47" i="270"/>
  <c r="L51" i="275"/>
  <c r="J54" i="270"/>
  <c r="L62" i="270"/>
  <c r="P59" i="275"/>
  <c r="G88" i="270"/>
  <c r="I84" i="275"/>
  <c r="AD33" i="259"/>
  <c r="T115" i="270"/>
  <c r="X109" i="275"/>
  <c r="G11" i="270"/>
  <c r="H115" i="270"/>
  <c r="M24" i="271"/>
  <c r="I23" i="275"/>
  <c r="Z74" i="276"/>
  <c r="X21" i="275"/>
  <c r="T21" i="270"/>
  <c r="AD7" i="264"/>
  <c r="I93" i="275"/>
  <c r="Y20" i="257"/>
  <c r="K14" i="250"/>
  <c r="L12" i="249"/>
  <c r="K8" i="258"/>
  <c r="J12" i="275"/>
  <c r="K15" i="264"/>
  <c r="J30" i="275"/>
  <c r="K20" i="260"/>
  <c r="J124" i="275"/>
  <c r="H132" i="270"/>
  <c r="H18" i="184"/>
  <c r="F18" i="184"/>
  <c r="K15" i="250"/>
  <c r="S24" i="257"/>
  <c r="Y12" i="249"/>
  <c r="R12" i="275"/>
  <c r="N12" i="270"/>
  <c r="U8" i="258"/>
  <c r="T15" i="264"/>
  <c r="N31" i="270"/>
  <c r="R30" i="275"/>
  <c r="T33" i="259"/>
  <c r="N115" i="270"/>
  <c r="R109" i="275"/>
  <c r="V13" i="261"/>
  <c r="U9" i="262"/>
  <c r="U12" i="254"/>
  <c r="V14" i="263"/>
  <c r="V12" i="259"/>
  <c r="U12" i="253"/>
  <c r="U9" i="265"/>
  <c r="S34" i="255"/>
  <c r="S34" i="257"/>
  <c r="K17" i="250"/>
  <c r="K43" i="250"/>
  <c r="T85" i="257"/>
  <c r="D14" i="239"/>
  <c r="V9" i="240"/>
  <c r="U11" i="245"/>
  <c r="D14" i="238"/>
  <c r="G18" i="184"/>
  <c r="H12" i="270"/>
  <c r="J57" i="271"/>
  <c r="Q16" i="276"/>
  <c r="L22" i="252"/>
  <c r="Y29" i="253"/>
  <c r="Y29" i="254"/>
  <c r="L26" i="246"/>
  <c r="L24" i="264"/>
  <c r="I40" i="275"/>
  <c r="G42" i="270"/>
  <c r="J35" i="271"/>
  <c r="M51" i="276"/>
  <c r="Z66" i="276"/>
  <c r="T48" i="271"/>
  <c r="Z75" i="276"/>
  <c r="T56" i="271"/>
  <c r="G83" i="271"/>
  <c r="K83" i="271"/>
  <c r="I83" i="271"/>
  <c r="E83" i="271"/>
  <c r="J109" i="276"/>
  <c r="F1385" i="3"/>
  <c r="O35" i="271"/>
  <c r="S51" i="276"/>
  <c r="L40" i="260"/>
  <c r="I136" i="275"/>
  <c r="G145" i="270"/>
  <c r="U25" i="266"/>
  <c r="S74" i="257"/>
  <c r="K8" i="264"/>
  <c r="I22" i="275"/>
  <c r="G22" i="270"/>
  <c r="N26" i="268"/>
  <c r="L65" i="270"/>
  <c r="P62" i="275"/>
  <c r="Q40" i="260"/>
  <c r="G146" i="270"/>
  <c r="AH88" i="257"/>
  <c r="U31" i="266"/>
  <c r="F193" i="3"/>
  <c r="K42" i="250"/>
  <c r="AD10" i="230"/>
  <c r="Y17" i="269"/>
  <c r="P19" i="268"/>
  <c r="W17" i="269"/>
  <c r="U17" i="269"/>
  <c r="AG10" i="230"/>
  <c r="T19" i="268"/>
  <c r="V19" i="268"/>
  <c r="X19" i="268"/>
  <c r="S21" i="257"/>
  <c r="K11" i="250"/>
  <c r="U17" i="266"/>
  <c r="S48" i="257"/>
  <c r="AH75" i="257"/>
  <c r="U27" i="266"/>
  <c r="F180" i="3"/>
  <c r="K36" i="250"/>
  <c r="Y85" i="257"/>
  <c r="K44" i="250"/>
  <c r="H5" i="243"/>
  <c r="C27" i="238"/>
  <c r="M17" i="245"/>
  <c r="D26" i="244"/>
  <c r="C27" i="239"/>
  <c r="T9" i="239"/>
  <c r="T9" i="238"/>
  <c r="T12" i="244"/>
  <c r="E8" i="271"/>
  <c r="K131" i="275"/>
  <c r="D37" i="262"/>
  <c r="Y36" i="262"/>
  <c r="O36" i="262"/>
  <c r="D36" i="262"/>
  <c r="S37" i="262"/>
  <c r="F1397" i="3"/>
  <c r="F1338" i="3"/>
  <c r="F30" i="3"/>
  <c r="F96" i="3"/>
  <c r="H23" i="249"/>
  <c r="E4" i="271"/>
  <c r="G8" i="276"/>
  <c r="F1295" i="3"/>
  <c r="F1352" i="3"/>
  <c r="O19" i="269"/>
  <c r="G68" i="270"/>
  <c r="G155" i="270"/>
  <c r="J35" i="276"/>
  <c r="L35" i="261"/>
  <c r="U15" i="266"/>
  <c r="S67" i="276"/>
  <c r="O49" i="271"/>
  <c r="U10" i="266"/>
  <c r="S23" i="257"/>
  <c r="K16" i="264"/>
  <c r="I31" i="275"/>
  <c r="G32" i="270"/>
  <c r="F72" i="3"/>
  <c r="F53" i="3"/>
  <c r="F73" i="3"/>
  <c r="J19" i="275"/>
  <c r="K5" i="264"/>
  <c r="L35" i="259"/>
  <c r="I33" i="230"/>
  <c r="G117" i="270"/>
  <c r="N19" i="270"/>
  <c r="M77" i="276"/>
  <c r="K7" i="250"/>
  <c r="K36" i="260"/>
  <c r="H141" i="270"/>
  <c r="U60" i="230"/>
  <c r="M60" i="230"/>
  <c r="K78" i="271"/>
  <c r="Q60" i="230"/>
  <c r="I78" i="271"/>
  <c r="D15" i="253"/>
  <c r="K9" i="258"/>
  <c r="W17" i="255"/>
  <c r="U13" i="262"/>
  <c r="U10" i="236"/>
  <c r="D15" i="254"/>
  <c r="U10" i="237"/>
  <c r="K13" i="249"/>
  <c r="V17" i="261"/>
  <c r="G13" i="270"/>
  <c r="K97" i="275"/>
  <c r="J102" i="270"/>
  <c r="K21" i="260"/>
  <c r="I125" i="275"/>
  <c r="J78" i="230"/>
  <c r="E32" i="271"/>
  <c r="G46" i="276"/>
  <c r="S29" i="249"/>
  <c r="Q61" i="230"/>
  <c r="P29" i="249"/>
  <c r="M61" i="230"/>
  <c r="M29" i="249"/>
  <c r="J103" i="276"/>
  <c r="F1302" i="3"/>
  <c r="G2" i="1"/>
  <c r="S2" i="1"/>
  <c r="AE2" i="1"/>
  <c r="AQ2" i="1"/>
  <c r="U19" i="266"/>
  <c r="AH49" i="257"/>
  <c r="F153" i="3"/>
  <c r="K24" i="250"/>
  <c r="K10" i="258"/>
  <c r="K14" i="249"/>
  <c r="G14" i="270"/>
  <c r="L59" i="270"/>
  <c r="P56" i="275"/>
  <c r="AF2" i="1"/>
  <c r="V10" i="259"/>
  <c r="V11" i="261"/>
  <c r="U10" i="253"/>
  <c r="Y31" i="255"/>
  <c r="I18" i="230"/>
  <c r="I7" i="275"/>
  <c r="AH23" i="257"/>
  <c r="U11" i="266"/>
  <c r="F125" i="3"/>
  <c r="K12" i="250"/>
  <c r="K39" i="250"/>
  <c r="S76" i="257"/>
  <c r="Y10" i="249"/>
  <c r="R10" i="275"/>
  <c r="K11" i="258"/>
  <c r="W16" i="255"/>
  <c r="V17" i="263"/>
  <c r="V16" i="261"/>
  <c r="G15" i="270"/>
  <c r="K15" i="249"/>
  <c r="AD22" i="264"/>
  <c r="X38" i="275"/>
  <c r="G91" i="270"/>
  <c r="I87" i="275"/>
  <c r="AD6" i="260"/>
  <c r="T125" i="270"/>
  <c r="K22" i="260"/>
  <c r="J126" i="275"/>
  <c r="K37" i="260"/>
  <c r="I133" i="275"/>
  <c r="L16" i="271"/>
  <c r="M24" i="276"/>
  <c r="T78" i="230"/>
  <c r="N46" i="276"/>
  <c r="O54" i="271"/>
  <c r="S73" i="276"/>
  <c r="F1454" i="3"/>
  <c r="J48" i="271"/>
  <c r="O78" i="271"/>
  <c r="I30" i="276"/>
  <c r="S68" i="276"/>
  <c r="M81" i="276"/>
  <c r="AD20" i="260"/>
  <c r="X124" i="275"/>
  <c r="AC41" i="260"/>
  <c r="J148" i="270"/>
  <c r="Q109" i="276"/>
  <c r="N83" i="271"/>
  <c r="S89" i="257"/>
  <c r="K45" i="250"/>
  <c r="P55" i="275"/>
  <c r="G58" i="270"/>
  <c r="I85" i="275"/>
  <c r="G89" i="270"/>
  <c r="K6" i="260"/>
  <c r="J118" i="275"/>
  <c r="Z67" i="276"/>
  <c r="T49" i="271"/>
  <c r="T53" i="271"/>
  <c r="Z72" i="276"/>
  <c r="U7" i="266"/>
  <c r="AH10" i="257"/>
  <c r="K38" i="250"/>
  <c r="Y72" i="257"/>
  <c r="K10" i="264"/>
  <c r="G25" i="270"/>
  <c r="T22" i="264"/>
  <c r="N40" i="270"/>
  <c r="H2" i="1"/>
  <c r="T2" i="1"/>
  <c r="AR2" i="1"/>
  <c r="Y59" i="257"/>
  <c r="K32" i="250"/>
  <c r="L17" i="264"/>
  <c r="I32" i="275"/>
  <c r="G33" i="270"/>
  <c r="I2" i="1"/>
  <c r="E70" i="1"/>
  <c r="D70" i="1"/>
  <c r="B70" i="1"/>
  <c r="U2" i="1"/>
  <c r="AG2" i="1"/>
  <c r="AS2" i="1"/>
  <c r="Y20" i="262"/>
  <c r="U19" i="236"/>
  <c r="U15" i="252"/>
  <c r="U16" i="246"/>
  <c r="S35" i="255"/>
  <c r="K8" i="249"/>
  <c r="I19" i="230"/>
  <c r="T46" i="257"/>
  <c r="K25" i="250"/>
  <c r="S63" i="257"/>
  <c r="K33" i="250"/>
  <c r="F1348" i="3"/>
  <c r="G7" i="270"/>
  <c r="T132" i="270"/>
  <c r="I79" i="271"/>
  <c r="I86" i="275"/>
  <c r="J86" i="276"/>
  <c r="V15" i="259"/>
  <c r="O53" i="271"/>
  <c r="S72" i="276"/>
  <c r="X23" i="252"/>
  <c r="Y32" i="254"/>
  <c r="X27" i="246"/>
  <c r="Y32" i="253"/>
  <c r="K37" i="250"/>
  <c r="T72" i="257"/>
  <c r="F167" i="3"/>
  <c r="Q9" i="264"/>
  <c r="G24" i="270"/>
  <c r="K34" i="259"/>
  <c r="G116" i="270"/>
  <c r="J85" i="230"/>
  <c r="J84" i="230"/>
  <c r="F1337" i="3"/>
  <c r="E37" i="1"/>
  <c r="D37" i="1"/>
  <c r="B37" i="1"/>
  <c r="L19" i="236"/>
  <c r="M20" i="262"/>
  <c r="R19" i="236"/>
  <c r="O19" i="236"/>
  <c r="V11" i="259"/>
  <c r="V12" i="261"/>
  <c r="U11" i="253"/>
  <c r="S33" i="255"/>
  <c r="U8" i="262"/>
  <c r="U8" i="265"/>
  <c r="U11" i="254"/>
  <c r="F97" i="3"/>
  <c r="F93" i="3"/>
  <c r="T20" i="257"/>
  <c r="K13" i="250"/>
  <c r="K19" i="250"/>
  <c r="T33" i="257"/>
  <c r="Y46" i="257"/>
  <c r="K26" i="250"/>
  <c r="S87" i="257"/>
  <c r="U29" i="266"/>
  <c r="K6" i="264"/>
  <c r="I20" i="275"/>
  <c r="J28" i="275"/>
  <c r="K13" i="264"/>
  <c r="K18" i="264"/>
  <c r="G35" i="270"/>
  <c r="G107" i="270"/>
  <c r="I101" i="275"/>
  <c r="K31" i="259"/>
  <c r="J107" i="275"/>
  <c r="G119" i="270"/>
  <c r="H36" i="259"/>
  <c r="I113" i="275"/>
  <c r="L8" i="260"/>
  <c r="G127" i="270"/>
  <c r="AD22" i="260"/>
  <c r="X126" i="275"/>
  <c r="K38" i="260"/>
  <c r="J134" i="275"/>
  <c r="L31" i="261"/>
  <c r="I22" i="230"/>
  <c r="G150" i="270"/>
  <c r="F1349" i="3"/>
  <c r="N27" i="268"/>
  <c r="G8" i="270"/>
  <c r="H40" i="270"/>
  <c r="G93" i="270"/>
  <c r="G133" i="270"/>
  <c r="K79" i="271"/>
  <c r="I111" i="275"/>
  <c r="Z51" i="276"/>
  <c r="V16" i="259"/>
  <c r="K6" i="258"/>
  <c r="L23" i="252"/>
  <c r="Y31" i="254"/>
  <c r="L27" i="246"/>
  <c r="Y31" i="253"/>
  <c r="Q19" i="237"/>
  <c r="N19" i="237"/>
  <c r="L26" i="263"/>
  <c r="L20" i="249"/>
  <c r="L25" i="261"/>
  <c r="M25" i="255"/>
  <c r="U13" i="253"/>
  <c r="AH34" i="255"/>
  <c r="U10" i="262"/>
  <c r="U13" i="254"/>
  <c r="V15" i="263"/>
  <c r="V13" i="259"/>
  <c r="V14" i="261"/>
  <c r="Q17" i="264"/>
  <c r="I33" i="275"/>
  <c r="Q35" i="259"/>
  <c r="G118" i="270"/>
  <c r="G135" i="270"/>
  <c r="H6" i="271"/>
  <c r="S18" i="271"/>
  <c r="E81" i="271"/>
  <c r="P69" i="275"/>
  <c r="R86" i="276"/>
  <c r="Y78" i="230"/>
  <c r="G126" i="270"/>
  <c r="G136" i="270"/>
  <c r="L6" i="271"/>
  <c r="J71" i="271"/>
  <c r="I81" i="271"/>
  <c r="X10" i="275"/>
  <c r="J21" i="275"/>
  <c r="I39" i="275"/>
  <c r="I88" i="275"/>
  <c r="I102" i="275"/>
  <c r="K114" i="275"/>
  <c r="R134" i="275"/>
  <c r="EM20" i="235"/>
  <c r="K16" i="249"/>
  <c r="T31" i="259"/>
  <c r="R107" i="275"/>
  <c r="Q8" i="260"/>
  <c r="G128" i="270"/>
  <c r="G34" i="270"/>
  <c r="G44" i="270"/>
  <c r="K61" i="271"/>
  <c r="J116" i="275"/>
  <c r="Q107" i="276"/>
  <c r="I17" i="230"/>
  <c r="Q24" i="264"/>
  <c r="I41" i="275"/>
  <c r="U32" i="261"/>
  <c r="N142" i="275"/>
  <c r="C22" i="253"/>
  <c r="J25" i="249"/>
  <c r="H22" i="249"/>
  <c r="C22" i="254"/>
  <c r="C28" i="259"/>
  <c r="D39" i="262"/>
  <c r="C29" i="263"/>
  <c r="J107" i="276"/>
  <c r="G81" i="271"/>
  <c r="U12" i="245"/>
  <c r="A16" i="238"/>
  <c r="V10" i="240"/>
  <c r="G129" i="270"/>
  <c r="J54" i="271"/>
  <c r="I42" i="275"/>
  <c r="K90" i="275"/>
  <c r="R126" i="275"/>
  <c r="I135" i="275"/>
  <c r="G5" i="276"/>
  <c r="Z73" i="276"/>
  <c r="U6" i="266"/>
  <c r="S10" i="257"/>
  <c r="S35" i="257"/>
  <c r="U13" i="266"/>
  <c r="S62" i="257"/>
  <c r="U22" i="266"/>
  <c r="U26" i="266"/>
  <c r="S75" i="257"/>
  <c r="T7" i="264"/>
  <c r="N21" i="270"/>
  <c r="J36" i="275"/>
  <c r="K20" i="264"/>
  <c r="I31" i="230"/>
  <c r="K32" i="259"/>
  <c r="Q24" i="260"/>
  <c r="G137" i="270"/>
  <c r="J18" i="236"/>
  <c r="C25" i="254"/>
  <c r="I18" i="237"/>
  <c r="K15" i="265"/>
  <c r="J27" i="249"/>
  <c r="C25" i="253"/>
  <c r="J130" i="270"/>
  <c r="K151" i="270"/>
  <c r="J50" i="271"/>
  <c r="I64" i="271"/>
  <c r="F1390" i="3"/>
  <c r="F1379" i="3"/>
  <c r="F1380" i="3"/>
  <c r="F1389" i="3"/>
  <c r="F1388" i="3"/>
  <c r="L18" i="249"/>
  <c r="L23" i="261"/>
  <c r="M23" i="255"/>
  <c r="L23" i="259"/>
  <c r="F1341" i="3"/>
  <c r="X16" i="265"/>
  <c r="F1342" i="3"/>
  <c r="F1358" i="3"/>
  <c r="F1343" i="3"/>
  <c r="F1356" i="3"/>
  <c r="F1359" i="3"/>
  <c r="F1357" i="3"/>
  <c r="F1355" i="3"/>
  <c r="F1345" i="3"/>
  <c r="E41" i="1"/>
  <c r="D41" i="1"/>
  <c r="B41" i="1"/>
  <c r="E66" i="1"/>
  <c r="D66" i="1"/>
  <c r="B66" i="1"/>
  <c r="E52" i="1"/>
  <c r="D52" i="1"/>
  <c r="B52" i="1"/>
  <c r="E39" i="1"/>
  <c r="D39" i="1"/>
  <c r="B39" i="1"/>
  <c r="E26" i="1"/>
  <c r="D26" i="1"/>
  <c r="B26" i="1"/>
  <c r="E42" i="1"/>
  <c r="D42" i="1"/>
  <c r="B42" i="1"/>
  <c r="E55" i="1"/>
  <c r="D55" i="1"/>
  <c r="B55" i="1"/>
  <c r="E40" i="1"/>
  <c r="D40" i="1"/>
  <c r="B40" i="1"/>
  <c r="E27" i="1"/>
  <c r="D27" i="1"/>
  <c r="B27" i="1"/>
  <c r="E63" i="1"/>
  <c r="D63" i="1"/>
  <c r="B63" i="1"/>
  <c r="E36" i="1"/>
  <c r="D36" i="1"/>
  <c r="B36" i="1"/>
  <c r="E19" i="1"/>
  <c r="D19" i="1"/>
  <c r="B19" i="1"/>
  <c r="E16" i="1"/>
  <c r="D16" i="1"/>
  <c r="B16" i="1"/>
  <c r="E62" i="1"/>
  <c r="D62" i="1"/>
  <c r="B62" i="1"/>
  <c r="E44" i="1"/>
  <c r="D44" i="1"/>
  <c r="B44" i="1"/>
  <c r="E50" i="1"/>
  <c r="D50" i="1"/>
  <c r="B50" i="1"/>
  <c r="E32" i="1"/>
  <c r="D32" i="1"/>
  <c r="B32" i="1"/>
  <c r="E35" i="1"/>
  <c r="D35" i="1"/>
  <c r="B35" i="1"/>
  <c r="E18" i="1"/>
  <c r="D18" i="1"/>
  <c r="B18" i="1"/>
  <c r="E11" i="1"/>
  <c r="D11" i="1"/>
  <c r="B11" i="1"/>
  <c r="E68" i="1"/>
  <c r="D68" i="1"/>
  <c r="B68" i="1"/>
  <c r="E58" i="1"/>
  <c r="D58" i="1"/>
  <c r="B58" i="1"/>
  <c r="E15" i="1"/>
  <c r="D15" i="1"/>
  <c r="B15" i="1"/>
  <c r="E67" i="1"/>
  <c r="D67" i="1"/>
  <c r="B67" i="1"/>
  <c r="E14" i="1"/>
  <c r="D14" i="1"/>
  <c r="B14" i="1"/>
  <c r="E24" i="1"/>
  <c r="D24" i="1"/>
  <c r="B24" i="1"/>
  <c r="E59" i="1"/>
  <c r="D59" i="1"/>
  <c r="B59" i="1"/>
  <c r="E23" i="1"/>
  <c r="D23" i="1"/>
  <c r="B23" i="1"/>
  <c r="E31" i="1"/>
  <c r="D31" i="1"/>
  <c r="B31" i="1"/>
  <c r="E48" i="1"/>
  <c r="D48" i="1"/>
  <c r="B48" i="1"/>
  <c r="E64" i="1"/>
  <c r="D64" i="1"/>
  <c r="B64" i="1"/>
  <c r="E46" i="1"/>
  <c r="D46" i="1"/>
  <c r="B46" i="1"/>
  <c r="E20" i="1"/>
  <c r="D20" i="1"/>
  <c r="B20" i="1"/>
  <c r="E28" i="1"/>
  <c r="D28" i="1"/>
  <c r="B28" i="1"/>
  <c r="E54" i="1"/>
  <c r="D54" i="1"/>
  <c r="B54" i="1"/>
  <c r="E12" i="1"/>
  <c r="E22" i="1"/>
  <c r="D22" i="1"/>
  <c r="B22" i="1"/>
  <c r="E45" i="1"/>
  <c r="D45" i="1"/>
  <c r="B45" i="1"/>
  <c r="E49" i="1"/>
  <c r="D49" i="1"/>
  <c r="B49" i="1"/>
  <c r="E53" i="1"/>
  <c r="D53" i="1"/>
  <c r="B53" i="1"/>
  <c r="E65" i="1"/>
  <c r="D65" i="1"/>
  <c r="B65" i="1"/>
  <c r="E43" i="1"/>
  <c r="D43" i="1"/>
  <c r="B43" i="1"/>
  <c r="E34" i="1"/>
  <c r="D34" i="1"/>
  <c r="B34" i="1"/>
  <c r="B14" i="268"/>
  <c r="L40" i="230"/>
  <c r="B12" i="269"/>
  <c r="E38" i="1"/>
  <c r="D38" i="1"/>
  <c r="B38" i="1"/>
  <c r="E47" i="1"/>
  <c r="D47" i="1"/>
  <c r="B47" i="1"/>
  <c r="I21" i="237"/>
  <c r="K5" i="249"/>
  <c r="J21" i="236"/>
  <c r="G5" i="270"/>
  <c r="I5" i="275"/>
  <c r="E69" i="1"/>
  <c r="D69" i="1"/>
  <c r="B69" i="1"/>
  <c r="E30" i="1"/>
  <c r="D30" i="1"/>
  <c r="B30" i="1"/>
  <c r="E21" i="1"/>
  <c r="D21" i="1"/>
  <c r="B21" i="1"/>
  <c r="E25" i="1"/>
  <c r="D25" i="1"/>
  <c r="B25" i="1"/>
  <c r="E17" i="1"/>
  <c r="D17" i="1"/>
  <c r="B17" i="1"/>
  <c r="L25" i="263"/>
  <c r="L24" i="259"/>
  <c r="Q19" i="249"/>
  <c r="L16" i="265"/>
  <c r="L24" i="261"/>
  <c r="N19" i="249"/>
  <c r="M24" i="255"/>
  <c r="T19" i="249"/>
  <c r="F1422" i="3"/>
  <c r="F1423" i="3"/>
  <c r="F1411" i="3"/>
  <c r="F1426" i="3"/>
  <c r="F1407" i="3"/>
  <c r="F1425" i="3"/>
  <c r="F1424" i="3"/>
  <c r="F1410" i="3"/>
  <c r="F1409" i="3"/>
  <c r="F1408" i="3"/>
  <c r="E57" i="1"/>
  <c r="D57" i="1"/>
  <c r="B57" i="1"/>
  <c r="E61" i="1"/>
  <c r="D61" i="1"/>
  <c r="B61" i="1"/>
  <c r="E56" i="1"/>
  <c r="D56" i="1"/>
  <c r="B56" i="1"/>
  <c r="E29" i="1"/>
  <c r="D29" i="1"/>
  <c r="B29" i="1"/>
  <c r="E13" i="1"/>
  <c r="E60" i="1"/>
  <c r="D60" i="1"/>
  <c r="B60" i="1"/>
  <c r="E33" i="1"/>
  <c r="D33" i="1"/>
  <c r="B33" i="1"/>
  <c r="E51" i="1"/>
  <c r="D51" i="1"/>
  <c r="B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65" authorId="0" shapeId="0" xr:uid="{00000000-0006-0000-0B00-000001000000}">
      <text>
        <r>
          <rPr>
            <b/>
            <sz val="9"/>
            <color indexed="81"/>
            <rFont val="ＭＳ Ｐゴシック"/>
            <family val="3"/>
            <charset val="128"/>
          </rPr>
          <t xml:space="preserve">計画変更の際は、その面に係る変更の概要を記入してください。
</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uhec07</author>
  </authors>
  <commentList>
    <comment ref="U10" authorId="0" shapeId="0" xr:uid="{00000000-0006-0000-1800-000004000000}">
      <text>
        <r>
          <rPr>
            <sz val="9"/>
            <color indexed="81"/>
            <rFont val="ＭＳ Ｐ明朝"/>
            <family val="1"/>
            <charset val="128"/>
          </rPr>
          <t>代理者が設計事務所に属しているときは、その設計事務所の名称を記入して下さい。
代理者が2以上のときは、このページには代表となる代理者について記入し、他の代理者については（第一面）別紙「代理者」「設計者」にそれぞれ必要な事項を記入して下さい。</t>
        </r>
      </text>
    </comment>
    <comment ref="U11" authorId="0" shapeId="0" xr:uid="{00000000-0006-0000-1800-000003000000}">
      <text>
        <r>
          <rPr>
            <sz val="9"/>
            <color indexed="81"/>
            <rFont val="ＭＳ Ｐ明朝"/>
            <family val="1"/>
            <charset val="128"/>
          </rPr>
          <t xml:space="preserve">氏名をご記入ください
</t>
        </r>
      </text>
    </comment>
    <comment ref="K19" authorId="1" shapeId="0" xr:uid="{00000000-0006-0000-1800-000002000000}">
      <text>
        <r>
          <rPr>
            <sz val="9"/>
            <color indexed="81"/>
            <rFont val="ＭＳ Ｐ明朝"/>
            <family val="1"/>
            <charset val="128"/>
          </rPr>
          <t>直近の確認済証（計画変更を含む）の交付年月日を記入して下さい。</t>
        </r>
        <r>
          <rPr>
            <sz val="9"/>
            <color indexed="81"/>
            <rFont val="ＭＳ Ｐゴシック"/>
            <family val="3"/>
            <charset val="128"/>
          </rPr>
          <t xml:space="preserve">
</t>
        </r>
      </text>
    </comment>
    <comment ref="K20" authorId="1" shapeId="0" xr:uid="{00000000-0006-0000-1800-000001000000}">
      <text>
        <r>
          <rPr>
            <sz val="9"/>
            <color indexed="81"/>
            <rFont val="ＭＳ Ｐ明朝"/>
            <family val="1"/>
            <charset val="128"/>
          </rPr>
          <t>「検査済証を交付できない旨の通知書」の交付年月日を記入して下さい。</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16" authorId="0" shapeId="0" xr:uid="{00000000-0006-0000-1900-000008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18" authorId="0" shapeId="0" xr:uid="{00000000-0006-0000-1900-000007000000}">
      <text>
        <r>
          <rPr>
            <sz val="9"/>
            <color indexed="81"/>
            <rFont val="ＭＳ Ｐ明朝"/>
            <family val="1"/>
            <charset val="128"/>
          </rPr>
          <t>氏名等を記入して下さい。</t>
        </r>
      </text>
    </comment>
    <comment ref="C26" authorId="0" shapeId="0" xr:uid="{00000000-0006-0000-1900-000006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L26" authorId="0" shapeId="0" xr:uid="{00000000-0006-0000-1900-000005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X26" authorId="0" shapeId="0" xr:uid="{00000000-0006-0000-1900-000004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C27" authorId="0" shapeId="0" xr:uid="{00000000-0006-0000-1900-000003000000}">
      <text>
        <r>
          <rPr>
            <sz val="9"/>
            <color indexed="81"/>
            <rFont val="ＭＳ Ｐ明朝"/>
            <family val="1"/>
            <charset val="128"/>
          </rPr>
          <t>このセルをクリックすると選択肢を表示することができます。
該当するときは、「☑」を選択して下さい。
複数チェックがある申請書は無効となりますので、ご注意ください。</t>
        </r>
      </text>
    </comment>
    <comment ref="L27" authorId="0" shapeId="0" xr:uid="{00000000-0006-0000-1900-000002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X27" authorId="0" shapeId="0" xr:uid="{00000000-0006-0000-1900-000001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15" authorId="0" shapeId="0" xr:uid="{00000000-0006-0000-1A00-000001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17" authorId="0" shapeId="0" xr:uid="{00000000-0006-0000-1A00-000002000000}">
      <text>
        <r>
          <rPr>
            <sz val="9"/>
            <color indexed="81"/>
            <rFont val="ＭＳ Ｐ明朝"/>
            <family val="1"/>
            <charset val="128"/>
          </rPr>
          <t>氏名等を記入して下さい。</t>
        </r>
      </text>
    </comment>
    <comment ref="C22" authorId="0" shapeId="0" xr:uid="{00000000-0006-0000-1A00-000003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L22" authorId="0" shapeId="0" xr:uid="{00000000-0006-0000-1A00-000005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X22" authorId="0" shapeId="0" xr:uid="{00000000-0006-0000-1A00-000007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C23" authorId="0" shapeId="0" xr:uid="{00000000-0006-0000-1A00-000004000000}">
      <text>
        <r>
          <rPr>
            <sz val="9"/>
            <color indexed="81"/>
            <rFont val="ＭＳ Ｐ明朝"/>
            <family val="1"/>
            <charset val="128"/>
          </rPr>
          <t>このセルをクリックすると選択肢を表示することができます。
該当するときは、「☑」を選択して下さい。
複数チェックがある申請書は無効となりますので、ご注意ください。</t>
        </r>
      </text>
    </comment>
    <comment ref="L23" authorId="0" shapeId="0" xr:uid="{00000000-0006-0000-1A00-000006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 ref="X23" authorId="0" shapeId="0" xr:uid="{00000000-0006-0000-1A00-000008000000}">
      <text>
        <r>
          <rPr>
            <sz val="9"/>
            <color indexed="81"/>
            <rFont val="ＭＳ Ｐ明朝"/>
            <family val="1"/>
            <charset val="128"/>
          </rPr>
          <t xml:space="preserve">このセルをクリックすると選択肢を表示することができます。
該当するときは、「☑」を選択して下さい。
</t>
        </r>
        <r>
          <rPr>
            <b/>
            <sz val="9"/>
            <color indexed="10"/>
            <rFont val="ＭＳ Ｐ明朝"/>
            <family val="1"/>
            <charset val="128"/>
          </rPr>
          <t>複数チェックがある申請書は無効となります</t>
        </r>
        <r>
          <rPr>
            <sz val="9"/>
            <color indexed="81"/>
            <rFont val="ＭＳ Ｐ明朝"/>
            <family val="1"/>
            <charset val="128"/>
          </rPr>
          <t>ので、ご注意ください。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4" authorId="0" shapeId="0" xr:uid="{00000000-0006-0000-1B00-000012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6" authorId="0" shapeId="0" xr:uid="{00000000-0006-0000-1B00-000011000000}">
      <text>
        <r>
          <rPr>
            <sz val="9"/>
            <color indexed="81"/>
            <rFont val="ＭＳ Ｐ明朝"/>
            <family val="1"/>
            <charset val="128"/>
          </rPr>
          <t>氏名等を記入して下さい。</t>
        </r>
      </text>
    </comment>
    <comment ref="U8" authorId="0" shapeId="0" xr:uid="{00000000-0006-0000-1B00-000010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10" authorId="0" shapeId="0" xr:uid="{00000000-0006-0000-1B00-00000F000000}">
      <text>
        <r>
          <rPr>
            <sz val="9"/>
            <color indexed="81"/>
            <rFont val="ＭＳ Ｐ明朝"/>
            <family val="1"/>
            <charset val="128"/>
          </rPr>
          <t>氏名等を記入して下さい。</t>
        </r>
      </text>
    </comment>
    <comment ref="U12" authorId="0" shapeId="0" xr:uid="{00000000-0006-0000-1B00-00000E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14" authorId="0" shapeId="0" xr:uid="{00000000-0006-0000-1B00-00000D000000}">
      <text>
        <r>
          <rPr>
            <sz val="9"/>
            <color indexed="81"/>
            <rFont val="ＭＳ Ｐ明朝"/>
            <family val="1"/>
            <charset val="128"/>
          </rPr>
          <t>氏名等を記入して下さい。</t>
        </r>
      </text>
    </comment>
    <comment ref="U16" authorId="0" shapeId="0" xr:uid="{00000000-0006-0000-1B00-00000C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18" authorId="0" shapeId="0" xr:uid="{00000000-0006-0000-1B00-00000B000000}">
      <text>
        <r>
          <rPr>
            <sz val="9"/>
            <color indexed="81"/>
            <rFont val="ＭＳ Ｐ明朝"/>
            <family val="1"/>
            <charset val="128"/>
          </rPr>
          <t>氏名等を記入して下さい。</t>
        </r>
      </text>
    </comment>
    <comment ref="U20" authorId="0" shapeId="0" xr:uid="{00000000-0006-0000-1B00-00000A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22" authorId="0" shapeId="0" xr:uid="{00000000-0006-0000-1B00-000009000000}">
      <text>
        <r>
          <rPr>
            <sz val="9"/>
            <color indexed="81"/>
            <rFont val="ＭＳ Ｐ明朝"/>
            <family val="1"/>
            <charset val="128"/>
          </rPr>
          <t>氏名等を記入して下さい。</t>
        </r>
      </text>
    </comment>
    <comment ref="U24" authorId="0" shapeId="0" xr:uid="{00000000-0006-0000-1B00-000008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26" authorId="0" shapeId="0" xr:uid="{00000000-0006-0000-1B00-000007000000}">
      <text>
        <r>
          <rPr>
            <sz val="9"/>
            <color indexed="81"/>
            <rFont val="ＭＳ Ｐ明朝"/>
            <family val="1"/>
            <charset val="128"/>
          </rPr>
          <t>氏名等を記入して下さい。</t>
        </r>
      </text>
    </comment>
    <comment ref="U28" authorId="0" shapeId="0" xr:uid="{00000000-0006-0000-1B00-000006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30" authorId="0" shapeId="0" xr:uid="{00000000-0006-0000-1B00-000005000000}">
      <text>
        <r>
          <rPr>
            <sz val="9"/>
            <color indexed="81"/>
            <rFont val="ＭＳ Ｐ明朝"/>
            <family val="1"/>
            <charset val="128"/>
          </rPr>
          <t>氏名等を記入して下さい。</t>
        </r>
      </text>
    </comment>
    <comment ref="U32" authorId="0" shapeId="0" xr:uid="{00000000-0006-0000-1B00-000004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34" authorId="0" shapeId="0" xr:uid="{00000000-0006-0000-1B00-000003000000}">
      <text>
        <r>
          <rPr>
            <sz val="9"/>
            <color indexed="81"/>
            <rFont val="ＭＳ Ｐ明朝"/>
            <family val="1"/>
            <charset val="128"/>
          </rPr>
          <t>氏名等を記入して下さい。</t>
        </r>
      </text>
    </comment>
    <comment ref="U36" authorId="0" shapeId="0" xr:uid="{00000000-0006-0000-1B00-000002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U38" authorId="0" shapeId="0" xr:uid="{00000000-0006-0000-1B00-000001000000}">
      <text>
        <r>
          <rPr>
            <sz val="9"/>
            <color indexed="81"/>
            <rFont val="ＭＳ Ｐ明朝"/>
            <family val="1"/>
            <charset val="128"/>
          </rPr>
          <t>氏名等を記入して下さい。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H5" authorId="0" shapeId="0" xr:uid="{00000000-0006-0000-1C00-000012000000}">
      <text>
        <r>
          <rPr>
            <sz val="9"/>
            <color indexed="81"/>
            <rFont val="ＭＳ Ｐ明朝"/>
            <family val="1"/>
            <charset val="128"/>
          </rPr>
          <t>引受時に発行する手数料の請求書の宛先を記入して下さい。</t>
        </r>
      </text>
    </comment>
    <comment ref="H8" authorId="0" shapeId="0" xr:uid="{00000000-0006-0000-1C00-000011000000}">
      <text>
        <r>
          <rPr>
            <sz val="9"/>
            <color indexed="81"/>
            <rFont val="ＭＳ Ｐ明朝"/>
            <family val="1"/>
            <charset val="128"/>
          </rPr>
          <t>手数料請求先が企業のときは、手数料振込み等の担当部署の名称、担当者の氏名を記入して下さい。</t>
        </r>
      </text>
    </comment>
    <comment ref="H11" authorId="0" shapeId="0" xr:uid="{00000000-0006-0000-1C00-000010000000}">
      <text>
        <r>
          <rPr>
            <sz val="9"/>
            <color indexed="81"/>
            <rFont val="ＭＳ Ｐ明朝"/>
            <family val="1"/>
            <charset val="128"/>
          </rPr>
          <t>引受時に発行する手数料の請求書の宛先を記入して下さい。</t>
        </r>
      </text>
    </comment>
    <comment ref="H14" authorId="0" shapeId="0" xr:uid="{00000000-0006-0000-1C00-00000F000000}">
      <text>
        <r>
          <rPr>
            <sz val="9"/>
            <color indexed="81"/>
            <rFont val="ＭＳ Ｐ明朝"/>
            <family val="1"/>
            <charset val="128"/>
          </rPr>
          <t>手数料請求先が企業のときは、手数料振込み等の担当部署の名称、担当者の氏名を記入して下さい。</t>
        </r>
      </text>
    </comment>
    <comment ref="H17" authorId="0" shapeId="0" xr:uid="{00000000-0006-0000-1C00-00000E000000}">
      <text>
        <r>
          <rPr>
            <sz val="9"/>
            <color indexed="81"/>
            <rFont val="ＭＳ Ｐ明朝"/>
            <family val="1"/>
            <charset val="128"/>
          </rPr>
          <t>引受時に発行する手数料の請求書の宛先を記入して下さい。</t>
        </r>
      </text>
    </comment>
    <comment ref="H20" authorId="0" shapeId="0" xr:uid="{00000000-0006-0000-1C00-00000D000000}">
      <text>
        <r>
          <rPr>
            <sz val="9"/>
            <color indexed="81"/>
            <rFont val="ＭＳ Ｐ明朝"/>
            <family val="1"/>
            <charset val="128"/>
          </rPr>
          <t>手数料請求先が企業のときは、手数料振込み等の担当部署の名称、担当者の氏名を記入して下さい。</t>
        </r>
      </text>
    </comment>
    <comment ref="H23" authorId="0" shapeId="0" xr:uid="{00000000-0006-0000-1C00-00000C000000}">
      <text>
        <r>
          <rPr>
            <sz val="9"/>
            <color indexed="81"/>
            <rFont val="ＭＳ Ｐ明朝"/>
            <family val="1"/>
            <charset val="128"/>
          </rPr>
          <t>引受時に発行する手数料の請求書の宛先を記入して下さい。</t>
        </r>
      </text>
    </comment>
    <comment ref="H26" authorId="0" shapeId="0" xr:uid="{00000000-0006-0000-1C00-00000B000000}">
      <text>
        <r>
          <rPr>
            <sz val="9"/>
            <color indexed="81"/>
            <rFont val="ＭＳ Ｐ明朝"/>
            <family val="1"/>
            <charset val="128"/>
          </rPr>
          <t>手数料請求先が企業のときは、手数料振込み等の担当部署の名称、担当者の氏名を記入して下さい。</t>
        </r>
      </text>
    </comment>
    <comment ref="H29" authorId="0" shapeId="0" xr:uid="{00000000-0006-0000-1C00-00000A000000}">
      <text>
        <r>
          <rPr>
            <sz val="9"/>
            <color indexed="81"/>
            <rFont val="ＭＳ Ｐ明朝"/>
            <family val="1"/>
            <charset val="128"/>
          </rPr>
          <t>引受時に発行する手数料の請求書の宛先を記入して下さい。</t>
        </r>
      </text>
    </comment>
    <comment ref="H32" authorId="0" shapeId="0" xr:uid="{00000000-0006-0000-1C00-000009000000}">
      <text>
        <r>
          <rPr>
            <sz val="9"/>
            <color indexed="81"/>
            <rFont val="ＭＳ Ｐ明朝"/>
            <family val="1"/>
            <charset val="128"/>
          </rPr>
          <t>手数料請求先が企業のときは、手数料振込み等の担当部署の名称、担当者の氏名を記入して下さい。</t>
        </r>
      </text>
    </comment>
    <comment ref="H35" authorId="0" shapeId="0" xr:uid="{00000000-0006-0000-1C00-000008000000}">
      <text>
        <r>
          <rPr>
            <sz val="9"/>
            <color indexed="81"/>
            <rFont val="ＭＳ Ｐ明朝"/>
            <family val="1"/>
            <charset val="128"/>
          </rPr>
          <t>引受時に発行する手数料の請求書の宛先を記入して下さい。</t>
        </r>
      </text>
    </comment>
    <comment ref="H38" authorId="0" shapeId="0" xr:uid="{00000000-0006-0000-1C00-000007000000}">
      <text>
        <r>
          <rPr>
            <sz val="9"/>
            <color indexed="81"/>
            <rFont val="ＭＳ Ｐ明朝"/>
            <family val="1"/>
            <charset val="128"/>
          </rPr>
          <t>手数料請求先が企業のときは、手数料振込み等の担当部署の名称、担当者の氏名を記入して下さい。</t>
        </r>
      </text>
    </comment>
    <comment ref="H41" authorId="0" shapeId="0" xr:uid="{00000000-0006-0000-1C00-000006000000}">
      <text>
        <r>
          <rPr>
            <sz val="9"/>
            <color indexed="81"/>
            <rFont val="ＭＳ Ｐ明朝"/>
            <family val="1"/>
            <charset val="128"/>
          </rPr>
          <t>引受時に発行する手数料の請求書の宛先を記入して下さい。</t>
        </r>
      </text>
    </comment>
    <comment ref="H44" authorId="0" shapeId="0" xr:uid="{00000000-0006-0000-1C00-000005000000}">
      <text>
        <r>
          <rPr>
            <sz val="9"/>
            <color indexed="81"/>
            <rFont val="ＭＳ Ｐ明朝"/>
            <family val="1"/>
            <charset val="128"/>
          </rPr>
          <t>手数料請求先が企業のときは、手数料振込み等の担当部署の名称、担当者の氏名を記入して下さい。</t>
        </r>
      </text>
    </comment>
    <comment ref="H47" authorId="0" shapeId="0" xr:uid="{00000000-0006-0000-1C00-000004000000}">
      <text>
        <r>
          <rPr>
            <sz val="9"/>
            <color indexed="81"/>
            <rFont val="ＭＳ Ｐ明朝"/>
            <family val="1"/>
            <charset val="128"/>
          </rPr>
          <t>引受時に発行する手数料の請求書の宛先を記入して下さい。</t>
        </r>
      </text>
    </comment>
    <comment ref="H50" authorId="0" shapeId="0" xr:uid="{00000000-0006-0000-1C00-000003000000}">
      <text>
        <r>
          <rPr>
            <sz val="9"/>
            <color indexed="81"/>
            <rFont val="ＭＳ Ｐ明朝"/>
            <family val="1"/>
            <charset val="128"/>
          </rPr>
          <t>手数料請求先が企業のときは、手数料振込み等の担当部署の名称、担当者の氏名を記入して下さい。</t>
        </r>
      </text>
    </comment>
    <comment ref="H53" authorId="0" shapeId="0" xr:uid="{00000000-0006-0000-1C00-000002000000}">
      <text>
        <r>
          <rPr>
            <sz val="9"/>
            <color indexed="81"/>
            <rFont val="ＭＳ Ｐ明朝"/>
            <family val="1"/>
            <charset val="128"/>
          </rPr>
          <t>引受時に発行する手数料の請求書の宛先を記入して下さい。</t>
        </r>
      </text>
    </comment>
    <comment ref="H56" authorId="0" shapeId="0" xr:uid="{00000000-0006-0000-1C00-000001000000}">
      <text>
        <r>
          <rPr>
            <sz val="9"/>
            <color indexed="81"/>
            <rFont val="ＭＳ Ｐ明朝"/>
            <family val="1"/>
            <charset val="128"/>
          </rPr>
          <t>手数料請求先が企業のときは、手数料振込み等の担当部署の名称、担当者の氏名を記入して下さい。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株式会社イズミシステム設計</author>
    <author>uhec79</author>
    <author>　</author>
  </authors>
  <commentList>
    <comment ref="K4" authorId="0" shapeId="0" xr:uid="{00000000-0006-0000-1D00-00000B000000}">
      <text>
        <r>
          <rPr>
            <sz val="9"/>
            <color indexed="81"/>
            <rFont val="ＭＳ Ｐ明朝"/>
            <family val="1"/>
            <charset val="128"/>
          </rPr>
          <t>建築主が企業に属しているときは、その企業、事業所、部署、役職、肩書き、氏名等にカタカナでフリガナをふって下さい。</t>
        </r>
      </text>
    </comment>
    <comment ref="K5" authorId="0" shapeId="0" xr:uid="{00000000-0006-0000-1D00-00000A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7" authorId="1" shapeId="0" xr:uid="{00000000-0006-0000-1D00-000009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L10" authorId="0" shapeId="0" xr:uid="{00000000-0006-0000-1D00-000008000000}">
      <text>
        <r>
          <rPr>
            <sz val="9"/>
            <color indexed="81"/>
            <rFont val="ＭＳ Ｐ明朝"/>
            <family val="1"/>
            <charset val="128"/>
          </rPr>
          <t>このセルをクリックして、該当する項目を選択して下さい。</t>
        </r>
      </text>
    </comment>
    <comment ref="K11" authorId="0" shapeId="0" xr:uid="{00000000-0006-0000-1D00-000007000000}">
      <text>
        <r>
          <rPr>
            <sz val="9"/>
            <color indexed="81"/>
            <rFont val="ＭＳ Ｐ明朝"/>
            <family val="1"/>
            <charset val="128"/>
          </rPr>
          <t>代理者が設計事務所に属しているときは、その設計事務所における役職、肩書き、氏名を記入して下さい。
代理者が2以上のときは、このページには代表となる代理者について記入し、他の代理者については（第二面）別紙【代理者】【設計者】【工事監理者】にそれぞれ必要な事項を記入して下さい。</t>
        </r>
      </text>
    </comment>
    <comment ref="L12" authorId="0" shapeId="0" xr:uid="{00000000-0006-0000-1D00-000006000000}">
      <text>
        <r>
          <rPr>
            <sz val="9"/>
            <color indexed="81"/>
            <rFont val="ＭＳ Ｐ明朝"/>
            <family val="1"/>
            <charset val="128"/>
          </rPr>
          <t>このセルをクリックして、該当する項目を選択して下さい。</t>
        </r>
      </text>
    </comment>
    <comment ref="K13" authorId="0" shapeId="0" xr:uid="{00000000-0006-0000-1D00-000005000000}">
      <text>
        <r>
          <rPr>
            <sz val="9"/>
            <color indexed="81"/>
            <rFont val="ＭＳ Ｐ明朝"/>
            <family val="1"/>
            <charset val="128"/>
          </rPr>
          <t>代理者が設計事務所に属しているときは、その設計事務所の名称を記入して下さい。</t>
        </r>
      </text>
    </comment>
    <comment ref="K15" authorId="1" shapeId="0" xr:uid="{00000000-0006-0000-1D00-000004000000}">
      <text>
        <r>
          <rPr>
            <sz val="9"/>
            <color indexed="81"/>
            <rFont val="ＭＳ Ｐ明朝"/>
            <family val="1"/>
            <charset val="128"/>
          </rPr>
          <t xml:space="preserve">都道府県名から記入して下さい。
代理者が、設計事務所に属していないときは、代理者の住所を記入して下さい。
</t>
        </r>
      </text>
    </comment>
    <comment ref="L18" authorId="2" shapeId="0" xr:uid="{00000000-0006-0000-1D00-00000C000000}">
      <text>
        <r>
          <rPr>
            <b/>
            <sz val="9"/>
            <color indexed="81"/>
            <rFont val="ＭＳ Ｐゴシック"/>
            <family val="3"/>
            <charset val="128"/>
          </rPr>
          <t>直近の確認申請の済証番号を記入してください。</t>
        </r>
      </text>
    </comment>
    <comment ref="H22" authorId="0" shapeId="0" xr:uid="{00000000-0006-0000-1D00-000003000000}">
      <text>
        <r>
          <rPr>
            <sz val="9"/>
            <color indexed="81"/>
            <rFont val="ＭＳ Ｐ明朝"/>
            <family val="1"/>
            <charset val="128"/>
          </rPr>
          <t>都道府県名から記入して下さい。</t>
        </r>
      </text>
    </comment>
    <comment ref="H23" authorId="0" shapeId="0" xr:uid="{00000000-0006-0000-1D00-000002000000}">
      <text>
        <r>
          <rPr>
            <sz val="9"/>
            <color indexed="81"/>
            <rFont val="ＭＳ Ｐ明朝"/>
            <family val="1"/>
            <charset val="128"/>
          </rPr>
          <t>住居表示が定まっているときは、記入して下さい。
都道府県名から記入して下さい。</t>
        </r>
      </text>
    </comment>
    <comment ref="M29" authorId="3" shapeId="0" xr:uid="{00000000-0006-0000-1D00-000001000000}">
      <text>
        <r>
          <rPr>
            <sz val="9"/>
            <color indexed="81"/>
            <rFont val="ＭＳ Ｐゴシック"/>
            <family val="3"/>
            <charset val="128"/>
          </rPr>
          <t>建築物全体の工事完了予定日を記入してください。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株式会社イズミシステム設計</author>
  </authors>
  <commentList>
    <comment ref="K5" authorId="0" shapeId="0" xr:uid="{00000000-0006-0000-1E00-000001000000}">
      <text>
        <r>
          <rPr>
            <sz val="9"/>
            <color indexed="81"/>
            <rFont val="ＭＳ Ｐ明朝"/>
            <family val="1"/>
            <charset val="128"/>
          </rPr>
          <t>建築主が企業に属しているときは、その企業、事業所、部署、役職、肩書き、氏名等にカタカナでフリガナをふって下さい。</t>
        </r>
      </text>
    </comment>
    <comment ref="K6" authorId="0" shapeId="0" xr:uid="{00000000-0006-0000-1E00-000002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8" authorId="1" shapeId="0" xr:uid="{00000000-0006-0000-1E00-000003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11" authorId="0" shapeId="0" xr:uid="{00000000-0006-0000-1E00-000004000000}">
      <text>
        <r>
          <rPr>
            <sz val="9"/>
            <color indexed="81"/>
            <rFont val="ＭＳ Ｐ明朝"/>
            <family val="1"/>
            <charset val="128"/>
          </rPr>
          <t>建築主が企業に属しているときは、その企業、事業所、部署、役職、肩書き、氏名等にカタカナでフリガナをふって下さい。</t>
        </r>
      </text>
    </comment>
    <comment ref="K12" authorId="0" shapeId="0" xr:uid="{00000000-0006-0000-1E00-000005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14" authorId="1" shapeId="0" xr:uid="{00000000-0006-0000-1E00-000006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17" authorId="0" shapeId="0" xr:uid="{00000000-0006-0000-1E00-000007000000}">
      <text>
        <r>
          <rPr>
            <sz val="9"/>
            <color indexed="81"/>
            <rFont val="ＭＳ Ｐ明朝"/>
            <family val="1"/>
            <charset val="128"/>
          </rPr>
          <t>建築主が企業に属しているときは、その企業、事業所、部署、役職、肩書き、氏名等にカタカナでフリガナをふって下さい。</t>
        </r>
      </text>
    </comment>
    <comment ref="K18" authorId="0" shapeId="0" xr:uid="{00000000-0006-0000-1E00-000008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20" authorId="1" shapeId="0" xr:uid="{00000000-0006-0000-1E00-000009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23" authorId="0" shapeId="0" xr:uid="{00000000-0006-0000-1E00-00000A000000}">
      <text>
        <r>
          <rPr>
            <sz val="9"/>
            <color indexed="81"/>
            <rFont val="ＭＳ Ｐ明朝"/>
            <family val="1"/>
            <charset val="128"/>
          </rPr>
          <t>建築主が企業に属しているときは、その企業、事業所、部署、役職、肩書き、氏名等にカタカナでフリガナをふって下さい。</t>
        </r>
      </text>
    </comment>
    <comment ref="K24" authorId="0" shapeId="0" xr:uid="{00000000-0006-0000-1E00-00000B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26" authorId="1" shapeId="0" xr:uid="{00000000-0006-0000-1E00-00000C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29" authorId="0" shapeId="0" xr:uid="{00000000-0006-0000-1E00-00000D000000}">
      <text>
        <r>
          <rPr>
            <sz val="9"/>
            <color indexed="81"/>
            <rFont val="ＭＳ Ｐ明朝"/>
            <family val="1"/>
            <charset val="128"/>
          </rPr>
          <t>建築主が企業に属しているときは、その企業、事業所、部署、役職、肩書き、氏名等にカタカナでフリガナをふって下さい。</t>
        </r>
      </text>
    </comment>
    <comment ref="K30" authorId="0" shapeId="0" xr:uid="{00000000-0006-0000-1E00-00000E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32" authorId="1" shapeId="0" xr:uid="{00000000-0006-0000-1E00-00000F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35" authorId="0" shapeId="0" xr:uid="{00000000-0006-0000-1E00-000010000000}">
      <text>
        <r>
          <rPr>
            <sz val="9"/>
            <color indexed="81"/>
            <rFont val="ＭＳ Ｐ明朝"/>
            <family val="1"/>
            <charset val="128"/>
          </rPr>
          <t>建築主が企業に属しているときは、その企業、事業所、部署、役職、肩書き、氏名等にカタカナでフリガナをふって下さい。</t>
        </r>
      </text>
    </comment>
    <comment ref="K36" authorId="0" shapeId="0" xr:uid="{00000000-0006-0000-1E00-000011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38" authorId="1" shapeId="0" xr:uid="{00000000-0006-0000-1E00-000012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 ref="K41" authorId="0" shapeId="0" xr:uid="{00000000-0006-0000-1E00-000013000000}">
      <text>
        <r>
          <rPr>
            <sz val="9"/>
            <color indexed="81"/>
            <rFont val="ＭＳ Ｐ明朝"/>
            <family val="1"/>
            <charset val="128"/>
          </rPr>
          <t>建築主が企業に属しているときは、その企業、事業所、部署、役職、肩書き、氏名等にカタカナでフリガナをふって下さい。</t>
        </r>
      </text>
    </comment>
    <comment ref="K42" authorId="0" shapeId="0" xr:uid="{00000000-0006-0000-1E00-000014000000}">
      <text>
        <r>
          <rPr>
            <sz val="9"/>
            <color indexed="81"/>
            <rFont val="ＭＳ Ｐ明朝"/>
            <family val="1"/>
            <charset val="128"/>
          </rPr>
          <t>建築主等が企業に属しているときは、その企業、事業所、所属部署の名称及び役職、肩書き、氏名を記入して下さい。
建築主等が2以上のときは、このページには代表となる建築主等について記入し、他の建築主等については（第二面）別紙【建築主等】にそれぞれ必要な事項を記入して下さい。</t>
        </r>
      </text>
    </comment>
    <comment ref="K44" authorId="1" shapeId="0" xr:uid="{00000000-0006-0000-1E00-000015000000}">
      <text>
        <r>
          <rPr>
            <sz val="9"/>
            <color indexed="81"/>
            <rFont val="ＭＳ Ｐ明朝"/>
            <family val="1"/>
            <charset val="128"/>
          </rPr>
          <t>建築主が、企業に属しているときは、その企業の事務所の所在地を、企業に属していないときは住所を、都道府県名から記入して下さい。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uhec79</author>
  </authors>
  <commentList>
    <comment ref="W12" authorId="0" shapeId="0" xr:uid="{00000000-0006-0000-2000-000011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W13" authorId="0" shapeId="0" xr:uid="{00000000-0006-0000-2000-000010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W14" authorId="0" shapeId="0" xr:uid="{00000000-0006-0000-2000-00000F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W17" authorId="0" shapeId="0" xr:uid="{00000000-0006-0000-2000-00000E000000}">
      <text>
        <r>
          <rPr>
            <sz val="9"/>
            <color indexed="81"/>
            <rFont val="ＭＳ Ｐ明朝"/>
            <family val="1"/>
            <charset val="128"/>
          </rPr>
          <t>代理者が、設計事務所に属しているときは、その設計事務所の名称等を記入して下さい。</t>
        </r>
      </text>
    </comment>
    <comment ref="W18" authorId="0" shapeId="0" xr:uid="{00000000-0006-0000-2000-00000D000000}">
      <text>
        <r>
          <rPr>
            <sz val="9"/>
            <color indexed="81"/>
            <rFont val="ＭＳ Ｐ明朝"/>
            <family val="1"/>
            <charset val="128"/>
          </rPr>
          <t>代理者の氏名等を記入して下さい。</t>
        </r>
      </text>
    </comment>
    <comment ref="M25" authorId="0" shapeId="0" xr:uid="{00000000-0006-0000-2000-00000C000000}">
      <text>
        <r>
          <rPr>
            <sz val="9"/>
            <color indexed="81"/>
            <rFont val="ＭＳ Ｐ明朝"/>
            <family val="1"/>
            <charset val="128"/>
          </rPr>
          <t>前願の交付日をご確認の上、交付者を入力してください
R7.6.19以降　　　代表取締役</t>
        </r>
        <r>
          <rPr>
            <sz val="9"/>
            <color indexed="10"/>
            <rFont val="ＭＳ Ｐ明朝"/>
            <family val="1"/>
            <charset val="128"/>
          </rPr>
          <t>社長</t>
        </r>
        <r>
          <rPr>
            <sz val="9"/>
            <color indexed="81"/>
            <rFont val="ＭＳ Ｐ明朝"/>
            <family val="1"/>
            <charset val="128"/>
          </rPr>
          <t>　野崎　豊
R5.6.22～7.6.19  代表取締役</t>
        </r>
        <r>
          <rPr>
            <sz val="9"/>
            <color indexed="12"/>
            <rFont val="ＭＳ Ｐ明朝"/>
            <family val="1"/>
            <charset val="128"/>
          </rPr>
          <t>副社長</t>
        </r>
        <r>
          <rPr>
            <sz val="9"/>
            <color indexed="81"/>
            <rFont val="ＭＳ Ｐ明朝"/>
            <family val="1"/>
            <charset val="128"/>
          </rPr>
          <t>　野崎　豊
H29.6.23～R5.6.21代表取締役社長　金谷　輝範</t>
        </r>
      </text>
    </comment>
    <comment ref="C28" authorId="0" shapeId="0" xr:uid="{00000000-0006-0000-2000-00000B000000}">
      <text>
        <r>
          <rPr>
            <sz val="9"/>
            <color indexed="81"/>
            <rFont val="ＭＳ Ｐ明朝"/>
            <family val="1"/>
            <charset val="128"/>
          </rPr>
          <t>建築場所等の地名地番を、都道府県名から記入して下さい。</t>
        </r>
      </text>
    </comment>
    <comment ref="Y31" authorId="0" shapeId="0" xr:uid="{00000000-0006-0000-2000-00000A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32" authorId="1" shapeId="0" xr:uid="{00000000-0006-0000-2000-000009000000}">
      <text>
        <r>
          <rPr>
            <b/>
            <sz val="9"/>
            <color indexed="81"/>
            <rFont val="ＭＳ Ｐゴシック"/>
            <family val="3"/>
            <charset val="128"/>
          </rPr>
          <t>建築主等が、企業に属しているときは、その企業の名称、属する部署名、肩書にもフリガナを記入して下さい。</t>
        </r>
      </text>
    </comment>
    <comment ref="S33" authorId="0" shapeId="0" xr:uid="{00000000-0006-0000-2000-000008000000}">
      <text>
        <r>
          <rPr>
            <sz val="9"/>
            <color indexed="81"/>
            <rFont val="ＭＳ Ｐ明朝"/>
            <family val="1"/>
            <charset val="128"/>
          </rPr>
          <t>建築主等が、企業に属しているときは、その企業の名称、属する部署名を記入して下さい。</t>
        </r>
      </text>
    </comment>
    <comment ref="S34" authorId="0" shapeId="0" xr:uid="{00000000-0006-0000-2000-000007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34" authorId="0" shapeId="0" xr:uid="{00000000-0006-0000-2000-000006000000}">
      <text>
        <r>
          <rPr>
            <sz val="9"/>
            <color indexed="81"/>
            <rFont val="ＭＳ Ｐ明朝"/>
            <family val="1"/>
            <charset val="128"/>
          </rPr>
          <t>氏名を記入して下さい。</t>
        </r>
      </text>
    </comment>
    <comment ref="Y38" authorId="0" shapeId="0" xr:uid="{00000000-0006-0000-2000-000005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39" authorId="1" shapeId="0" xr:uid="{00000000-0006-0000-2000-000004000000}">
      <text>
        <r>
          <rPr>
            <b/>
            <sz val="9"/>
            <color indexed="81"/>
            <rFont val="ＭＳ Ｐゴシック"/>
            <family val="3"/>
            <charset val="128"/>
          </rPr>
          <t>建築主等が、企業に属しているときは、その企業の名称、属する部署名、肩書にもフリガナを記入して下さい。</t>
        </r>
      </text>
    </comment>
    <comment ref="S40" authorId="0" shapeId="0" xr:uid="{00000000-0006-0000-2000-000003000000}">
      <text>
        <r>
          <rPr>
            <sz val="9"/>
            <color indexed="81"/>
            <rFont val="ＭＳ Ｐ明朝"/>
            <family val="1"/>
            <charset val="128"/>
          </rPr>
          <t>建築主等が、企業に属しているときは、その企業の名称、属する部署名を記入して下さい。</t>
        </r>
      </text>
    </comment>
    <comment ref="S41" authorId="0" shapeId="0" xr:uid="{00000000-0006-0000-2000-000002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41" authorId="0" shapeId="0" xr:uid="{00000000-0006-0000-2000-000001000000}">
      <text>
        <r>
          <rPr>
            <sz val="9"/>
            <color indexed="81"/>
            <rFont val="ＭＳ Ｐ明朝"/>
            <family val="1"/>
            <charset val="128"/>
          </rPr>
          <t>氏名を記入して下さい。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V11" authorId="0" shapeId="0" xr:uid="{00000000-0006-0000-2100-000011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V15" authorId="0" shapeId="0" xr:uid="{00000000-0006-0000-2100-000010000000}">
      <text>
        <r>
          <rPr>
            <sz val="9"/>
            <color indexed="81"/>
            <rFont val="ＭＳ Ｐ明朝"/>
            <family val="1"/>
            <charset val="128"/>
          </rPr>
          <t>代理者が設計事務所に属しているときは、その設計事務所の所在地を、属していないときは住所を、都道府県名から記入して下さい。</t>
        </r>
      </text>
    </comment>
    <comment ref="V16" authorId="0" shapeId="0" xr:uid="{00000000-0006-0000-2100-00000F000000}">
      <text>
        <r>
          <rPr>
            <sz val="9"/>
            <color indexed="81"/>
            <rFont val="ＭＳ Ｐ明朝"/>
            <family val="1"/>
            <charset val="128"/>
          </rPr>
          <t>代理者が設計事務所に属しているときは、その設計事務所の名称、属する部署名を記入して下さい。</t>
        </r>
      </text>
    </comment>
    <comment ref="L25" authorId="0" shapeId="0" xr:uid="{00000000-0006-0000-2100-00000E000000}">
      <text>
        <r>
          <rPr>
            <sz val="9"/>
            <color indexed="81"/>
            <rFont val="ＭＳ Ｐ明朝"/>
            <family val="1"/>
            <charset val="128"/>
          </rPr>
          <t>前願の交付日をご確認の上、交付者を入力してください
R7.6.19以降　　　代表取締役</t>
        </r>
        <r>
          <rPr>
            <sz val="9"/>
            <color indexed="10"/>
            <rFont val="ＭＳ Ｐ明朝"/>
            <family val="1"/>
            <charset val="128"/>
          </rPr>
          <t>社長</t>
        </r>
        <r>
          <rPr>
            <sz val="9"/>
            <color indexed="81"/>
            <rFont val="ＭＳ Ｐ明朝"/>
            <family val="1"/>
            <charset val="128"/>
          </rPr>
          <t>　野崎　豊
R5.6.22～7.6.19  代表取締役</t>
        </r>
        <r>
          <rPr>
            <sz val="9"/>
            <color indexed="12"/>
            <rFont val="ＭＳ Ｐ明朝"/>
            <family val="1"/>
            <charset val="128"/>
          </rPr>
          <t>副社長</t>
        </r>
        <r>
          <rPr>
            <sz val="9"/>
            <color indexed="81"/>
            <rFont val="ＭＳ Ｐ明朝"/>
            <family val="1"/>
            <charset val="128"/>
          </rPr>
          <t>　野崎　豊
H29.6.23～R5.6.21代表取締役社長　金谷　輝範</t>
        </r>
      </text>
    </comment>
    <comment ref="C28" authorId="0" shapeId="0" xr:uid="{00000000-0006-0000-2100-00000D000000}">
      <text>
        <r>
          <rPr>
            <sz val="9"/>
            <color indexed="81"/>
            <rFont val="ＭＳ Ｐ明朝"/>
            <family val="1"/>
            <charset val="128"/>
          </rPr>
          <t>建築場所等の地名地番を、都道府県名から記入して下さい。</t>
        </r>
      </text>
    </comment>
    <comment ref="A30" authorId="0" shapeId="0" xr:uid="{00000000-0006-0000-2100-00000C000000}">
      <text>
        <r>
          <rPr>
            <sz val="9"/>
            <color indexed="81"/>
            <rFont val="ＭＳ Ｐゴシック"/>
            <family val="3"/>
            <charset val="128"/>
          </rPr>
          <t>ここをクリｯクしてどちらかを選択ください。</t>
        </r>
      </text>
    </comment>
    <comment ref="K31" authorId="0" shapeId="0" xr:uid="{00000000-0006-0000-2100-00000B000000}">
      <text>
        <r>
          <rPr>
            <sz val="9"/>
            <color indexed="81"/>
            <rFont val="ＭＳ Ｐ明朝"/>
            <family val="1"/>
            <charset val="128"/>
          </rPr>
          <t>このセルをクリックして該当する項目を選択して下さい。</t>
        </r>
      </text>
    </comment>
    <comment ref="K32" authorId="0" shapeId="0" xr:uid="{00000000-0006-0000-2100-00000A000000}">
      <text>
        <r>
          <rPr>
            <sz val="9"/>
            <color indexed="81"/>
            <rFont val="ＭＳ Ｐ明朝"/>
            <family val="1"/>
            <charset val="128"/>
          </rPr>
          <t>工事監理者が設計事務所に属するときは、その設計事務所における肩書き、役職等、氏名を記入して下さい。（ただし直近の申請内容と表記を合わせてください。）
複数名の場合は別紙「補足用」に全員分記入して下さい。</t>
        </r>
      </text>
    </comment>
    <comment ref="K33" authorId="0" shapeId="0" xr:uid="{00000000-0006-0000-2100-000009000000}">
      <text>
        <r>
          <rPr>
            <sz val="9"/>
            <color indexed="81"/>
            <rFont val="ＭＳ Ｐ明朝"/>
            <family val="1"/>
            <charset val="128"/>
          </rPr>
          <t>このセルをクリックして該当する項目を選択して下さい。</t>
        </r>
      </text>
    </comment>
    <comment ref="K34" authorId="0" shapeId="0" xr:uid="{00000000-0006-0000-2100-000008000000}">
      <text>
        <r>
          <rPr>
            <sz val="9"/>
            <color indexed="81"/>
            <rFont val="ＭＳ Ｐ明朝"/>
            <family val="1"/>
            <charset val="128"/>
          </rPr>
          <t>工事管理者が事務所に属するときは、その設計事務所の名称を記入して下さい。</t>
        </r>
      </text>
    </comment>
    <comment ref="Q35" authorId="0" shapeId="0" xr:uid="{00000000-0006-0000-2100-000007000000}">
      <text>
        <r>
          <rPr>
            <sz val="9"/>
            <color indexed="81"/>
            <rFont val="ＭＳ Ｐ明朝"/>
            <family val="1"/>
            <charset val="128"/>
          </rPr>
          <t>都道府県名から記入して下さい。</t>
        </r>
      </text>
    </comment>
    <comment ref="A38" authorId="0" shapeId="0" xr:uid="{00000000-0006-0000-2100-000006000000}">
      <text>
        <r>
          <rPr>
            <sz val="9"/>
            <color indexed="81"/>
            <rFont val="ＭＳ Ｐゴシック"/>
            <family val="3"/>
            <charset val="128"/>
          </rPr>
          <t xml:space="preserve">ここをクリックしてどちらかを選択ください。
</t>
        </r>
      </text>
    </comment>
    <comment ref="K39" authorId="0" shapeId="0" xr:uid="{00000000-0006-0000-2100-000005000000}">
      <text>
        <r>
          <rPr>
            <sz val="9"/>
            <color indexed="81"/>
            <rFont val="ＭＳ Ｐ明朝"/>
            <family val="1"/>
            <charset val="128"/>
          </rPr>
          <t>このセルをクリックして該当する項目を選択して下さい。</t>
        </r>
      </text>
    </comment>
    <comment ref="K40" authorId="0" shapeId="0" xr:uid="{00000000-0006-0000-2100-000004000000}">
      <text>
        <r>
          <rPr>
            <sz val="9"/>
            <color indexed="81"/>
            <rFont val="ＭＳ Ｐ明朝"/>
            <family val="1"/>
            <charset val="128"/>
          </rPr>
          <t>工事監理者が設計事務所に属するときは、その設計事務所における肩書き、役職等、氏名を記入して下さい。
複数名の場合は別紙「補足用」に全員分記入して下さい。</t>
        </r>
      </text>
    </comment>
    <comment ref="K41" authorId="0" shapeId="0" xr:uid="{00000000-0006-0000-2100-000003000000}">
      <text>
        <r>
          <rPr>
            <sz val="9"/>
            <color indexed="81"/>
            <rFont val="ＭＳ Ｐ明朝"/>
            <family val="1"/>
            <charset val="128"/>
          </rPr>
          <t>このセルをクリックして該当する項目を選択して下さい。</t>
        </r>
      </text>
    </comment>
    <comment ref="K42" authorId="0" shapeId="0" xr:uid="{00000000-0006-0000-2100-000002000000}">
      <text>
        <r>
          <rPr>
            <sz val="9"/>
            <color indexed="81"/>
            <rFont val="ＭＳ Ｐ明朝"/>
            <family val="1"/>
            <charset val="128"/>
          </rPr>
          <t xml:space="preserve">工事管理者が事務所に属するときは、その設計事務所の名称を記入して下さい。
</t>
        </r>
      </text>
    </comment>
    <comment ref="Q43" authorId="0" shapeId="0" xr:uid="{00000000-0006-0000-2100-000001000000}">
      <text>
        <r>
          <rPr>
            <sz val="9"/>
            <color indexed="81"/>
            <rFont val="ＭＳ Ｐ明朝"/>
            <family val="1"/>
            <charset val="128"/>
          </rPr>
          <t>都道府県名から記入して下さい。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V12" authorId="0" shapeId="0" xr:uid="{00000000-0006-0000-2200-00000D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V16" authorId="0" shapeId="0" xr:uid="{00000000-0006-0000-2200-00000C000000}">
      <text>
        <r>
          <rPr>
            <sz val="9"/>
            <color indexed="81"/>
            <rFont val="ＭＳ Ｐ明朝"/>
            <family val="1"/>
            <charset val="128"/>
          </rPr>
          <t>代理者が設計事務所に属しているときは、その設計事務所の所在地を、属していないときは住所を、都道府県名から記入して下さい。</t>
        </r>
      </text>
    </comment>
    <comment ref="V17" authorId="0" shapeId="0" xr:uid="{00000000-0006-0000-2200-00000B000000}">
      <text>
        <r>
          <rPr>
            <sz val="9"/>
            <color indexed="81"/>
            <rFont val="ＭＳ Ｐ明朝"/>
            <family val="1"/>
            <charset val="128"/>
          </rPr>
          <t>代理者が設計事務所に属しているときは、その設計事務所の名称、属する部署名を記入して下さい。</t>
        </r>
      </text>
    </comment>
    <comment ref="L25" authorId="0" shapeId="0" xr:uid="{00000000-0006-0000-2200-00000A000000}">
      <text>
        <r>
          <rPr>
            <sz val="9"/>
            <color indexed="81"/>
            <rFont val="ＭＳ Ｐ明朝"/>
            <family val="1"/>
            <charset val="128"/>
          </rPr>
          <t>前願の交付日をご確認の上、交付者を入力してください
R7.6.19以降　　　代表取締役</t>
        </r>
        <r>
          <rPr>
            <sz val="9"/>
            <color indexed="10"/>
            <rFont val="ＭＳ Ｐ明朝"/>
            <family val="1"/>
            <charset val="128"/>
          </rPr>
          <t>社長</t>
        </r>
        <r>
          <rPr>
            <sz val="9"/>
            <color indexed="81"/>
            <rFont val="ＭＳ Ｐ明朝"/>
            <family val="1"/>
            <charset val="128"/>
          </rPr>
          <t>　野崎　豊
R5.6.22～7.6.19  代表取締役</t>
        </r>
        <r>
          <rPr>
            <sz val="9"/>
            <color indexed="12"/>
            <rFont val="ＭＳ Ｐ明朝"/>
            <family val="1"/>
            <charset val="128"/>
          </rPr>
          <t>副社長</t>
        </r>
        <r>
          <rPr>
            <sz val="9"/>
            <color indexed="81"/>
            <rFont val="ＭＳ Ｐ明朝"/>
            <family val="1"/>
            <charset val="128"/>
          </rPr>
          <t>　野崎　豊
H29.6.23～R5.6.21代表取締役社長　金谷　輝範</t>
        </r>
      </text>
    </comment>
    <comment ref="C28" authorId="0" shapeId="0" xr:uid="{00000000-0006-0000-2200-000009000000}">
      <text>
        <r>
          <rPr>
            <sz val="9"/>
            <color indexed="81"/>
            <rFont val="ＭＳ Ｐ明朝"/>
            <family val="1"/>
            <charset val="128"/>
          </rPr>
          <t>建築場所等の地名地番を、都道府県名から記入して下さい。</t>
        </r>
      </text>
    </comment>
    <comment ref="A30" authorId="0" shapeId="0" xr:uid="{00000000-0006-0000-2200-000008000000}">
      <text>
        <r>
          <rPr>
            <sz val="9"/>
            <color indexed="81"/>
            <rFont val="ＭＳ Ｐ明朝"/>
            <family val="1"/>
            <charset val="128"/>
          </rPr>
          <t>このセルをクリックして該当する項目を選択して下さい。</t>
        </r>
      </text>
    </comment>
    <comment ref="L31" authorId="0" shapeId="0" xr:uid="{00000000-0006-0000-2200-000007000000}">
      <text>
        <r>
          <rPr>
            <sz val="9"/>
            <color indexed="81"/>
            <rFont val="ＭＳ Ｐ明朝"/>
            <family val="1"/>
            <charset val="128"/>
          </rPr>
          <t>代表者の肩書き、役職等及び氏名を記入して下さい。（ただし直近の申請時の表記に合わせてください。）</t>
        </r>
      </text>
    </comment>
    <comment ref="L33" authorId="0" shapeId="0" xr:uid="{00000000-0006-0000-2200-000006000000}">
      <text>
        <r>
          <rPr>
            <sz val="9"/>
            <color indexed="81"/>
            <rFont val="ＭＳ Ｐ明朝"/>
            <family val="1"/>
            <charset val="128"/>
          </rPr>
          <t>企業の名称、事業部或いは支店の名称、営業所の名称等を記入して下さい。</t>
        </r>
      </text>
    </comment>
    <comment ref="S34" authorId="0" shapeId="0" xr:uid="{00000000-0006-0000-2200-000005000000}">
      <text>
        <r>
          <rPr>
            <sz val="9"/>
            <color indexed="81"/>
            <rFont val="ＭＳ Ｐ明朝"/>
            <family val="1"/>
            <charset val="128"/>
          </rPr>
          <t>事務所の所在地を、都道府県名から記入して下さい。</t>
        </r>
      </text>
    </comment>
    <comment ref="A37" authorId="0" shapeId="0" xr:uid="{00000000-0006-0000-2200-000004000000}">
      <text>
        <r>
          <rPr>
            <sz val="9"/>
            <color indexed="81"/>
            <rFont val="ＭＳ Ｐ明朝"/>
            <family val="1"/>
            <charset val="128"/>
          </rPr>
          <t>このセルをクリックして該当する項目を選択して下さい。</t>
        </r>
      </text>
    </comment>
    <comment ref="L38" authorId="0" shapeId="0" xr:uid="{00000000-0006-0000-2200-000003000000}">
      <text>
        <r>
          <rPr>
            <sz val="9"/>
            <color indexed="81"/>
            <rFont val="ＭＳ Ｐ明朝"/>
            <family val="1"/>
            <charset val="128"/>
          </rPr>
          <t>代表者の肩書き、役職等及び氏名を記入して下さい。</t>
        </r>
      </text>
    </comment>
    <comment ref="L40" authorId="0" shapeId="0" xr:uid="{00000000-0006-0000-2200-000002000000}">
      <text>
        <r>
          <rPr>
            <sz val="9"/>
            <color indexed="81"/>
            <rFont val="ＭＳ Ｐ明朝"/>
            <family val="1"/>
            <charset val="128"/>
          </rPr>
          <t>企業の名称、事業部或いは支店の名称、営業所の名称等を記入して下さい。</t>
        </r>
      </text>
    </comment>
    <comment ref="S41" authorId="0" shapeId="0" xr:uid="{00000000-0006-0000-2200-000001000000}">
      <text>
        <r>
          <rPr>
            <sz val="9"/>
            <color indexed="81"/>
            <rFont val="ＭＳ Ｐ明朝"/>
            <family val="1"/>
            <charset val="128"/>
          </rPr>
          <t>事務所の所在地を、都道府県名から記入して下さい。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J31" authorId="0" shapeId="0" xr:uid="{00000000-0006-0000-0C00-000001000000}">
      <text>
        <r>
          <rPr>
            <b/>
            <sz val="9"/>
            <color indexed="81"/>
            <rFont val="ＭＳ Ｐゴシック"/>
            <family val="3"/>
            <charset val="128"/>
          </rPr>
          <t>複合用途の場合はその用途を記入ください。</t>
        </r>
      </text>
    </comment>
    <comment ref="B90" authorId="0" shapeId="0" xr:uid="{00000000-0006-0000-0C00-000002000000}">
      <text>
        <r>
          <rPr>
            <b/>
            <sz val="9"/>
            <color indexed="81"/>
            <rFont val="ＭＳ Ｐゴシック"/>
            <family val="3"/>
            <charset val="128"/>
          </rPr>
          <t>住宅瑕疵担保履行法に基づく現場検査を受ける建築物等で、中間検査を行わない場合は、【18】欄か【19】欄にその旨記入してください。</t>
        </r>
      </text>
    </comment>
    <comment ref="B93" authorId="0" shapeId="0" xr:uid="{00000000-0006-0000-0C00-000003000000}">
      <text>
        <r>
          <rPr>
            <b/>
            <sz val="9"/>
            <color indexed="81"/>
            <rFont val="ＭＳ Ｐゴシック"/>
            <family val="3"/>
            <charset val="128"/>
          </rPr>
          <t xml:space="preserve">計画変更の際は、その面に係る変更の概要を記入してください。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7" authorId="0" shapeId="0" xr:uid="{00000000-0006-0000-2300-00001B000000}">
      <text>
        <r>
          <rPr>
            <sz val="9"/>
            <color indexed="81"/>
            <rFont val="ＭＳ Ｐ明朝"/>
            <family val="1"/>
            <charset val="128"/>
          </rPr>
          <t>建築主、設置者又は築造主が企業に属しているときは、その企業の事務所の所在地を、企業に属していないときは住所を、都道府県名から記入して下さい。
申請者が2以上のときは、このページには代表となる申請者について記入し、他の申請者については「申請者別紙」にそれぞれ必要な事項を記入して下さい。</t>
        </r>
      </text>
    </comment>
    <comment ref="U8" authorId="0" shapeId="0" xr:uid="{00000000-0006-0000-2300-00001A000000}">
      <text>
        <r>
          <rPr>
            <sz val="9"/>
            <color indexed="81"/>
            <rFont val="ＭＳ Ｐ明朝"/>
            <family val="1"/>
            <charset val="128"/>
          </rPr>
          <t>建築主、設置者又は築造主が企業に属しているときは、その企業の名称、属する部署名を記入して下さい。</t>
        </r>
      </text>
    </comment>
    <comment ref="U9" authorId="0" shapeId="0" xr:uid="{00000000-0006-0000-2300-000019000000}">
      <text>
        <r>
          <rPr>
            <sz val="9"/>
            <color indexed="81"/>
            <rFont val="ＭＳ Ｐ明朝"/>
            <family val="1"/>
            <charset val="128"/>
          </rPr>
          <t>建築主、設置者又は築造主が企業に属しているときは、その企業の名称、属する部署名を記入して下さい。</t>
        </r>
      </text>
    </comment>
    <comment ref="U10" authorId="0" shapeId="0" xr:uid="{00000000-0006-0000-2300-000018000000}">
      <text>
        <r>
          <rPr>
            <sz val="9"/>
            <color indexed="81"/>
            <rFont val="ＭＳ Ｐ明朝"/>
            <family val="1"/>
            <charset val="128"/>
          </rPr>
          <t>氏名を記入して下さい。</t>
        </r>
      </text>
    </comment>
    <comment ref="U13" authorId="0" shapeId="0" xr:uid="{00000000-0006-0000-2300-000017000000}">
      <text>
        <r>
          <rPr>
            <sz val="9"/>
            <color indexed="81"/>
            <rFont val="ＭＳ Ｐ明朝"/>
            <family val="1"/>
            <charset val="128"/>
          </rPr>
          <t>代理者が企業に属しているときは、その企業の名称を記入して下さい。</t>
        </r>
      </text>
    </comment>
    <comment ref="U14" authorId="0" shapeId="0" xr:uid="{00000000-0006-0000-2300-000016000000}">
      <text>
        <r>
          <rPr>
            <sz val="9"/>
            <color indexed="81"/>
            <rFont val="ＭＳ Ｐ明朝"/>
            <family val="1"/>
            <charset val="128"/>
          </rPr>
          <t>氏名を記入して下さい。</t>
        </r>
      </text>
    </comment>
    <comment ref="D23" authorId="0" shapeId="0" xr:uid="{00000000-0006-0000-2300-000015000000}">
      <text>
        <r>
          <rPr>
            <sz val="9"/>
            <color indexed="81"/>
            <rFont val="ＭＳ Ｐ明朝"/>
            <family val="1"/>
            <charset val="128"/>
          </rPr>
          <t>該当するときは、このセルをクリックし、■を選択して下さい</t>
        </r>
      </text>
    </comment>
    <comment ref="D24" authorId="0" shapeId="0" xr:uid="{00000000-0006-0000-2300-000014000000}">
      <text>
        <r>
          <rPr>
            <sz val="9"/>
            <color indexed="81"/>
            <rFont val="ＭＳ Ｐ明朝"/>
            <family val="1"/>
            <charset val="128"/>
          </rPr>
          <t>該当するときは、このセルをクリックし、■を選択して下さい</t>
        </r>
      </text>
    </comment>
    <comment ref="D25" authorId="0" shapeId="0" xr:uid="{00000000-0006-0000-2300-000013000000}">
      <text>
        <r>
          <rPr>
            <sz val="9"/>
            <color indexed="81"/>
            <rFont val="ＭＳ Ｐ明朝"/>
            <family val="1"/>
            <charset val="128"/>
          </rPr>
          <t>該当するときは、このセルをクリックし、■を選択して下さい</t>
        </r>
      </text>
    </comment>
    <comment ref="D26" authorId="0" shapeId="0" xr:uid="{00000000-0006-0000-2300-000012000000}">
      <text>
        <r>
          <rPr>
            <sz val="9"/>
            <color indexed="81"/>
            <rFont val="ＭＳ Ｐ明朝"/>
            <family val="1"/>
            <charset val="128"/>
          </rPr>
          <t>該当するときは、このセルをクリックし、■を選択して下さい</t>
        </r>
      </text>
    </comment>
    <comment ref="D27" authorId="0" shapeId="0" xr:uid="{00000000-0006-0000-2300-000011000000}">
      <text>
        <r>
          <rPr>
            <sz val="9"/>
            <color indexed="81"/>
            <rFont val="ＭＳ Ｐ明朝"/>
            <family val="1"/>
            <charset val="128"/>
          </rPr>
          <t>該当するときは、このセルをクリックし、■を選択して下さい</t>
        </r>
      </text>
    </comment>
    <comment ref="D28" authorId="0" shapeId="0" xr:uid="{00000000-0006-0000-2300-000010000000}">
      <text>
        <r>
          <rPr>
            <sz val="9"/>
            <color indexed="81"/>
            <rFont val="ＭＳ Ｐ明朝"/>
            <family val="1"/>
            <charset val="128"/>
          </rPr>
          <t>該当するときは、このセルをクリックし、■を選択して下さい</t>
        </r>
      </text>
    </comment>
    <comment ref="D29" authorId="0" shapeId="0" xr:uid="{00000000-0006-0000-2300-00000F000000}">
      <text>
        <r>
          <rPr>
            <sz val="9"/>
            <color indexed="81"/>
            <rFont val="ＭＳ Ｐ明朝"/>
            <family val="1"/>
            <charset val="128"/>
          </rPr>
          <t>該当するときは、このセルをクリックし、■を選択して下さい</t>
        </r>
      </text>
    </comment>
    <comment ref="E29" authorId="0" shapeId="0" xr:uid="{00000000-0006-0000-2300-00000E000000}">
      <text>
        <r>
          <rPr>
            <sz val="9"/>
            <color indexed="81"/>
            <rFont val="ＭＳ Ｐ明朝"/>
            <family val="1"/>
            <charset val="128"/>
          </rPr>
          <t>計画通知の計画変更</t>
        </r>
      </text>
    </comment>
    <comment ref="D30" authorId="0" shapeId="0" xr:uid="{00000000-0006-0000-2300-00000D000000}">
      <text>
        <r>
          <rPr>
            <sz val="9"/>
            <color indexed="81"/>
            <rFont val="ＭＳ Ｐ明朝"/>
            <family val="1"/>
            <charset val="128"/>
          </rPr>
          <t>該当するときは、このセルをクリックし、■を選択して下さい</t>
        </r>
      </text>
    </comment>
    <comment ref="E30" authorId="0" shapeId="0" xr:uid="{00000000-0006-0000-2300-00000C000000}">
      <text>
        <r>
          <rPr>
            <sz val="9"/>
            <color indexed="81"/>
            <rFont val="ＭＳ Ｐ明朝"/>
            <family val="1"/>
            <charset val="128"/>
          </rPr>
          <t>計画通知の中間検査</t>
        </r>
      </text>
    </comment>
    <comment ref="D31" authorId="0" shapeId="0" xr:uid="{00000000-0006-0000-2300-00000B000000}">
      <text>
        <r>
          <rPr>
            <sz val="9"/>
            <color indexed="81"/>
            <rFont val="ＭＳ Ｐ明朝"/>
            <family val="1"/>
            <charset val="128"/>
          </rPr>
          <t>該当するときは、このセルをクリックし、■を選択して下さい</t>
        </r>
      </text>
    </comment>
    <comment ref="E31" authorId="0" shapeId="0" xr:uid="{00000000-0006-0000-2300-00000A000000}">
      <text>
        <r>
          <rPr>
            <sz val="9"/>
            <color indexed="81"/>
            <rFont val="ＭＳ Ｐ明朝"/>
            <family val="1"/>
            <charset val="128"/>
          </rPr>
          <t>計画通知の完了検査</t>
        </r>
      </text>
    </comment>
    <comment ref="D32" authorId="0" shapeId="0" xr:uid="{00000000-0006-0000-2300-000009000000}">
      <text>
        <r>
          <rPr>
            <sz val="9"/>
            <color indexed="81"/>
            <rFont val="ＭＳ Ｐ明朝"/>
            <family val="1"/>
            <charset val="128"/>
          </rPr>
          <t>該当するときは、このセルをクリックし、■を選択して下さい</t>
        </r>
      </text>
    </comment>
    <comment ref="E32" authorId="0" shapeId="0" xr:uid="{00000000-0006-0000-2300-000008000000}">
      <text>
        <r>
          <rPr>
            <sz val="9"/>
            <color indexed="81"/>
            <rFont val="ＭＳ Ｐ明朝"/>
            <family val="1"/>
            <charset val="128"/>
          </rPr>
          <t>計画通知の仮使用認定</t>
        </r>
      </text>
    </comment>
    <comment ref="D36" authorId="0" shapeId="0" xr:uid="{00000000-0006-0000-2300-000007000000}">
      <text>
        <r>
          <rPr>
            <sz val="9"/>
            <color indexed="81"/>
            <rFont val="ＭＳ Ｐ明朝"/>
            <family val="1"/>
            <charset val="128"/>
          </rPr>
          <t>該当するときは、このセルをクリックし、■を選択して下さい</t>
        </r>
      </text>
    </comment>
    <comment ref="O36" authorId="0" shapeId="0" xr:uid="{00000000-0006-0000-2300-000006000000}">
      <text>
        <r>
          <rPr>
            <sz val="9"/>
            <color indexed="81"/>
            <rFont val="ＭＳ Ｐ明朝"/>
            <family val="1"/>
            <charset val="128"/>
          </rPr>
          <t>該当するときは、このセルをクリックし、■を選択して下さい</t>
        </r>
      </text>
    </comment>
    <comment ref="Y36" authorId="0" shapeId="0" xr:uid="{00000000-0006-0000-2300-000005000000}">
      <text>
        <r>
          <rPr>
            <sz val="9"/>
            <color indexed="81"/>
            <rFont val="ＭＳ Ｐ明朝"/>
            <family val="1"/>
            <charset val="128"/>
          </rPr>
          <t>該当するときは、このセルをクリックし、■を選択して下さい</t>
        </r>
      </text>
    </comment>
    <comment ref="D37" authorId="0" shapeId="0" xr:uid="{00000000-0006-0000-2300-000004000000}">
      <text>
        <r>
          <rPr>
            <sz val="9"/>
            <color indexed="81"/>
            <rFont val="ＭＳ Ｐ明朝"/>
            <family val="1"/>
            <charset val="128"/>
          </rPr>
          <t>該当するときは、このセルをクリックし、■を選択して下さい</t>
        </r>
      </text>
    </comment>
    <comment ref="S37" authorId="0" shapeId="0" xr:uid="{00000000-0006-0000-2300-000003000000}">
      <text>
        <r>
          <rPr>
            <sz val="9"/>
            <color indexed="81"/>
            <rFont val="ＭＳ Ｐ明朝"/>
            <family val="1"/>
            <charset val="128"/>
          </rPr>
          <t>該当するときは、このセルをクリックし、■を選択して下さい</t>
        </r>
      </text>
    </comment>
    <comment ref="D39" authorId="0" shapeId="0" xr:uid="{00000000-0006-0000-2300-000002000000}">
      <text>
        <r>
          <rPr>
            <sz val="9"/>
            <color indexed="81"/>
            <rFont val="ＭＳ Ｐ明朝"/>
            <family val="1"/>
            <charset val="128"/>
          </rPr>
          <t>都道府県名から記入して下さい。</t>
        </r>
      </text>
    </comment>
    <comment ref="D42" authorId="0" shapeId="0" xr:uid="{00000000-0006-0000-2300-000001000000}">
      <text>
        <r>
          <rPr>
            <sz val="9"/>
            <color indexed="81"/>
            <rFont val="ＭＳ Ｐ明朝"/>
            <family val="1"/>
            <charset val="128"/>
          </rPr>
          <t>取下げの理由を記載してください。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uhec75</author>
  </authors>
  <commentList>
    <comment ref="V13" authorId="0" shapeId="0" xr:uid="{00000000-0006-0000-2400-000006000000}">
      <text>
        <r>
          <rPr>
            <sz val="9"/>
            <color indexed="81"/>
            <rFont val="ＭＳ Ｐ明朝"/>
            <family val="1"/>
            <charset val="128"/>
          </rPr>
          <t>申請者が企業に属しているときは、その企業、事業所の名称を記入して下さい。
申請者が2以上のときは、このページには代表となる申請者について記入し、他の申請者については（第一面）別紙「申請者」にそれぞれ必要な事項を記入して下さい。</t>
        </r>
      </text>
    </comment>
    <comment ref="V17" authorId="0" shapeId="0" xr:uid="{00000000-0006-0000-2400-000005000000}">
      <text>
        <r>
          <rPr>
            <sz val="9"/>
            <color indexed="81"/>
            <rFont val="ＭＳ Ｐ明朝"/>
            <family val="1"/>
            <charset val="128"/>
          </rPr>
          <t>代理者が設計事務所に属しているときは、その設計事務所の所在地を、属していないときは住所を、都道府県名から記入して下さい。</t>
        </r>
      </text>
    </comment>
    <comment ref="V18" authorId="0" shapeId="0" xr:uid="{00000000-0006-0000-2400-000004000000}">
      <text>
        <r>
          <rPr>
            <sz val="9"/>
            <color indexed="81"/>
            <rFont val="ＭＳ Ｐ明朝"/>
            <family val="1"/>
            <charset val="128"/>
          </rPr>
          <t>代理者が設計事務所に属しているときは、その設計事務所の名称、属する部署名を記入して下さい。</t>
        </r>
      </text>
    </comment>
    <comment ref="L26" authorId="0" shapeId="0" xr:uid="{00000000-0006-0000-2400-000003000000}">
      <text>
        <r>
          <rPr>
            <sz val="9"/>
            <color indexed="81"/>
            <rFont val="ＭＳ Ｐ明朝"/>
            <family val="1"/>
            <charset val="128"/>
          </rPr>
          <t>前願の交付日をご確認の上、交付者を入力してください
R7.6.19以降　　　代表取締役</t>
        </r>
        <r>
          <rPr>
            <sz val="9"/>
            <color indexed="10"/>
            <rFont val="ＭＳ Ｐ明朝"/>
            <family val="1"/>
            <charset val="128"/>
          </rPr>
          <t>社長</t>
        </r>
        <r>
          <rPr>
            <sz val="9"/>
            <color indexed="81"/>
            <rFont val="ＭＳ Ｐ明朝"/>
            <family val="1"/>
            <charset val="128"/>
          </rPr>
          <t>　野崎　豊
R5.6.22～7.6.19  代表取締役</t>
        </r>
        <r>
          <rPr>
            <sz val="9"/>
            <color indexed="12"/>
            <rFont val="ＭＳ Ｐ明朝"/>
            <family val="1"/>
            <charset val="128"/>
          </rPr>
          <t>副社長</t>
        </r>
        <r>
          <rPr>
            <sz val="9"/>
            <color indexed="81"/>
            <rFont val="ＭＳ Ｐ明朝"/>
            <family val="1"/>
            <charset val="128"/>
          </rPr>
          <t>　野崎　豊
H29.6.23～R5.6.21代表取締役社長　金谷　輝範</t>
        </r>
      </text>
    </comment>
    <comment ref="C29" authorId="0" shapeId="0" xr:uid="{00000000-0006-0000-2400-000002000000}">
      <text>
        <r>
          <rPr>
            <sz val="9"/>
            <color indexed="81"/>
            <rFont val="ＭＳ Ｐ明朝"/>
            <family val="1"/>
            <charset val="128"/>
          </rPr>
          <t>建築場所等の地名地番を、都道府県名から記入して下さい。</t>
        </r>
      </text>
    </comment>
    <comment ref="AN42" authorId="1" shapeId="0" xr:uid="{00000000-0006-0000-2400-000001000000}">
      <text>
        <r>
          <rPr>
            <b/>
            <sz val="9"/>
            <color indexed="81"/>
            <rFont val="MS P ゴシック"/>
            <charset val="128"/>
          </rPr>
          <t>※変更の期日がわかる場合は、変更した日を記載してください</t>
        </r>
        <r>
          <rPr>
            <sz val="9"/>
            <color indexed="81"/>
            <rFont val="MS P ゴシック"/>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T13" authorId="0" shapeId="0" xr:uid="{00000000-0006-0000-2500-000015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14" authorId="0" shapeId="0" xr:uid="{00000000-0006-0000-2500-000014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15" authorId="0" shapeId="0" xr:uid="{00000000-0006-0000-2500-000013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18" authorId="0" shapeId="0" xr:uid="{00000000-0006-0000-2500-000012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19" authorId="0" shapeId="0" xr:uid="{00000000-0006-0000-2500-000011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20" authorId="0" shapeId="0" xr:uid="{00000000-0006-0000-2500-000010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23" authorId="0" shapeId="0" xr:uid="{00000000-0006-0000-2500-00000F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24" authorId="0" shapeId="0" xr:uid="{00000000-0006-0000-2500-00000E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25" authorId="0" shapeId="0" xr:uid="{00000000-0006-0000-2500-00000D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28" authorId="0" shapeId="0" xr:uid="{00000000-0006-0000-2500-00000C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29" authorId="0" shapeId="0" xr:uid="{00000000-0006-0000-2500-00000B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30" authorId="0" shapeId="0" xr:uid="{00000000-0006-0000-2500-00000A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33" authorId="0" shapeId="0" xr:uid="{00000000-0006-0000-2500-000009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34" authorId="0" shapeId="0" xr:uid="{00000000-0006-0000-2500-000008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35" authorId="0" shapeId="0" xr:uid="{00000000-0006-0000-2500-000007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38" authorId="0" shapeId="0" xr:uid="{00000000-0006-0000-2500-000006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39" authorId="0" shapeId="0" xr:uid="{00000000-0006-0000-2500-000005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40" authorId="0" shapeId="0" xr:uid="{00000000-0006-0000-2500-000004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 ref="T43" authorId="0" shapeId="0" xr:uid="{00000000-0006-0000-2500-000003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44" authorId="0" shapeId="0" xr:uid="{00000000-0006-0000-2500-000002000000}">
      <text>
        <r>
          <rPr>
            <sz val="9"/>
            <color indexed="81"/>
            <rFont val="ＭＳ Ｐゴシック"/>
            <family val="3"/>
            <charset val="128"/>
          </rPr>
          <t>申請者が企業に属しているときは、その企業、事業所の名称を記入して下さい。
今回の変更届で変更になった事項については</t>
        </r>
        <r>
          <rPr>
            <sz val="9"/>
            <color indexed="10"/>
            <rFont val="ＭＳ Ｐゴシック"/>
            <family val="3"/>
            <charset val="128"/>
          </rPr>
          <t>変更後の表記</t>
        </r>
        <r>
          <rPr>
            <sz val="9"/>
            <color indexed="81"/>
            <rFont val="ＭＳ Ｐゴシック"/>
            <family val="3"/>
            <charset val="128"/>
          </rPr>
          <t>にしてください。
申請者が2以上のときは、このページには代表となる申請者について記入し、他の申請者については「申請者別紙」にそれぞれ必要な事項を記入して下さい。</t>
        </r>
      </text>
    </comment>
    <comment ref="T45" authorId="0" shapeId="0" xr:uid="{00000000-0006-0000-2500-000001000000}">
      <text>
        <r>
          <rPr>
            <sz val="9"/>
            <color indexed="81"/>
            <rFont val="ＭＳ Ｐゴシック"/>
            <family val="3"/>
            <charset val="128"/>
          </rPr>
          <t>氏名等を記入してください。
今回の変更届で変更になっている場合は</t>
        </r>
        <r>
          <rPr>
            <sz val="9"/>
            <color indexed="10"/>
            <rFont val="ＭＳ Ｐゴシック"/>
            <family val="3"/>
            <charset val="128"/>
          </rPr>
          <t>変更後の表記</t>
        </r>
        <r>
          <rPr>
            <sz val="9"/>
            <color indexed="81"/>
            <rFont val="ＭＳ Ｐゴシック"/>
            <family val="3"/>
            <charset val="128"/>
          </rPr>
          <t>になります。</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uhec79</author>
  </authors>
  <commentList>
    <comment ref="Y7" authorId="0" shapeId="0" xr:uid="{00000000-0006-0000-2600-000006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8" authorId="1" shapeId="0" xr:uid="{00000000-0006-0000-2600-000007000000}">
      <text>
        <r>
          <rPr>
            <b/>
            <sz val="9"/>
            <color indexed="81"/>
            <rFont val="ＭＳ Ｐゴシック"/>
            <family val="3"/>
            <charset val="128"/>
          </rPr>
          <t>建築主等が、企業に属しているときは、その企業の名称、属する部署名、肩書にもフリガナを記入して下さい。</t>
        </r>
      </text>
    </comment>
    <comment ref="S9" authorId="0" shapeId="0" xr:uid="{00000000-0006-0000-2600-000008000000}">
      <text>
        <r>
          <rPr>
            <sz val="9"/>
            <color indexed="81"/>
            <rFont val="ＭＳ Ｐ明朝"/>
            <family val="1"/>
            <charset val="128"/>
          </rPr>
          <t>建築主等が、企業に属しているときは、その企業の名称、属する部署名を記入して下さい。</t>
        </r>
      </text>
    </comment>
    <comment ref="S10" authorId="0" shapeId="0" xr:uid="{00000000-0006-0000-2600-000009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10" authorId="0" shapeId="0" xr:uid="{00000000-0006-0000-2600-00000A000000}">
      <text>
        <r>
          <rPr>
            <sz val="9"/>
            <color indexed="81"/>
            <rFont val="ＭＳ Ｐ明朝"/>
            <family val="1"/>
            <charset val="128"/>
          </rPr>
          <t>氏名を記入して下さい。</t>
        </r>
      </text>
    </comment>
    <comment ref="Y14" authorId="0" shapeId="0" xr:uid="{00000000-0006-0000-2600-000005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15" authorId="1" shapeId="0" xr:uid="{00000000-0006-0000-2600-000004000000}">
      <text>
        <r>
          <rPr>
            <b/>
            <sz val="9"/>
            <color indexed="81"/>
            <rFont val="ＭＳ Ｐゴシック"/>
            <family val="3"/>
            <charset val="128"/>
          </rPr>
          <t>建築主等が、企業に属しているときは、その企業の名称、属する部署名、肩書にもフリガナを記入して下さい。</t>
        </r>
      </text>
    </comment>
    <comment ref="S16" authorId="0" shapeId="0" xr:uid="{00000000-0006-0000-2600-000003000000}">
      <text>
        <r>
          <rPr>
            <sz val="9"/>
            <color indexed="81"/>
            <rFont val="ＭＳ Ｐ明朝"/>
            <family val="1"/>
            <charset val="128"/>
          </rPr>
          <t>建築主等が、企業に属しているときは、その企業の名称、属する部署名を記入して下さい。</t>
        </r>
      </text>
    </comment>
    <comment ref="S17" authorId="0" shapeId="0" xr:uid="{00000000-0006-0000-2600-000002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17" authorId="0" shapeId="0" xr:uid="{00000000-0006-0000-2600-000001000000}">
      <text>
        <r>
          <rPr>
            <sz val="9"/>
            <color indexed="81"/>
            <rFont val="ＭＳ Ｐ明朝"/>
            <family val="1"/>
            <charset val="128"/>
          </rPr>
          <t>氏名を記入して下さい。</t>
        </r>
      </text>
    </comment>
    <comment ref="Y20" authorId="0" shapeId="0" xr:uid="{00000000-0006-0000-2600-00000B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21" authorId="1" shapeId="0" xr:uid="{00000000-0006-0000-2600-00000C000000}">
      <text>
        <r>
          <rPr>
            <b/>
            <sz val="9"/>
            <color indexed="81"/>
            <rFont val="ＭＳ Ｐゴシック"/>
            <family val="3"/>
            <charset val="128"/>
          </rPr>
          <t>建築主等が、企業に属しているときは、その企業の名称、属する部署名、肩書にもフリガナを記入して下さい。</t>
        </r>
      </text>
    </comment>
    <comment ref="S22" authorId="0" shapeId="0" xr:uid="{00000000-0006-0000-2600-00000D000000}">
      <text>
        <r>
          <rPr>
            <sz val="9"/>
            <color indexed="81"/>
            <rFont val="ＭＳ Ｐ明朝"/>
            <family val="1"/>
            <charset val="128"/>
          </rPr>
          <t>建築主等が、企業に属しているときは、その企業の名称、属する部署名を記入して下さい。</t>
        </r>
      </text>
    </comment>
    <comment ref="S23" authorId="0" shapeId="0" xr:uid="{00000000-0006-0000-2600-00000E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23" authorId="0" shapeId="0" xr:uid="{00000000-0006-0000-2600-00000F000000}">
      <text>
        <r>
          <rPr>
            <sz val="9"/>
            <color indexed="81"/>
            <rFont val="ＭＳ Ｐ明朝"/>
            <family val="1"/>
            <charset val="128"/>
          </rPr>
          <t>氏名を記入して下さい。</t>
        </r>
      </text>
    </comment>
    <comment ref="Y27" authorId="0" shapeId="0" xr:uid="{00000000-0006-0000-2600-000029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28" authorId="1" shapeId="0" xr:uid="{00000000-0006-0000-2600-00002A000000}">
      <text>
        <r>
          <rPr>
            <b/>
            <sz val="9"/>
            <color indexed="81"/>
            <rFont val="ＭＳ Ｐゴシック"/>
            <family val="3"/>
            <charset val="128"/>
          </rPr>
          <t>建築主等が、企業に属しているときは、その企業の名称、属する部署名、肩書にもフリガナを記入して下さい。</t>
        </r>
      </text>
    </comment>
    <comment ref="S29" authorId="0" shapeId="0" xr:uid="{00000000-0006-0000-2600-00002B000000}">
      <text>
        <r>
          <rPr>
            <sz val="9"/>
            <color indexed="81"/>
            <rFont val="ＭＳ Ｐ明朝"/>
            <family val="1"/>
            <charset val="128"/>
          </rPr>
          <t>建築主等が、企業に属しているときは、その企業の名称、属する部署名を記入して下さい。</t>
        </r>
      </text>
    </comment>
    <comment ref="S30" authorId="0" shapeId="0" xr:uid="{00000000-0006-0000-2600-00002C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30" authorId="0" shapeId="0" xr:uid="{00000000-0006-0000-2600-00002D000000}">
      <text>
        <r>
          <rPr>
            <sz val="9"/>
            <color indexed="81"/>
            <rFont val="ＭＳ Ｐ明朝"/>
            <family val="1"/>
            <charset val="128"/>
          </rPr>
          <t>氏名を記入して下さい。</t>
        </r>
      </text>
    </comment>
    <comment ref="Y33" authorId="0" shapeId="0" xr:uid="{00000000-0006-0000-2600-000010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34" authorId="1" shapeId="0" xr:uid="{00000000-0006-0000-2600-000011000000}">
      <text>
        <r>
          <rPr>
            <b/>
            <sz val="9"/>
            <color indexed="81"/>
            <rFont val="ＭＳ Ｐゴシック"/>
            <family val="3"/>
            <charset val="128"/>
          </rPr>
          <t>建築主等が、企業に属しているときは、その企業の名称、属する部署名、肩書にもフリガナを記入して下さい。</t>
        </r>
      </text>
    </comment>
    <comment ref="S35" authorId="0" shapeId="0" xr:uid="{00000000-0006-0000-2600-000012000000}">
      <text>
        <r>
          <rPr>
            <sz val="9"/>
            <color indexed="81"/>
            <rFont val="ＭＳ Ｐ明朝"/>
            <family val="1"/>
            <charset val="128"/>
          </rPr>
          <t>建築主等が、企業に属しているときは、その企業の名称、属する部署名を記入して下さい。</t>
        </r>
      </text>
    </comment>
    <comment ref="S36" authorId="0" shapeId="0" xr:uid="{00000000-0006-0000-2600-000013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36" authorId="0" shapeId="0" xr:uid="{00000000-0006-0000-2600-000014000000}">
      <text>
        <r>
          <rPr>
            <sz val="9"/>
            <color indexed="81"/>
            <rFont val="ＭＳ Ｐ明朝"/>
            <family val="1"/>
            <charset val="128"/>
          </rPr>
          <t>氏名を記入して下さい。</t>
        </r>
      </text>
    </comment>
    <comment ref="Y40" authorId="0" shapeId="0" xr:uid="{00000000-0006-0000-2600-00002E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41" authorId="1" shapeId="0" xr:uid="{00000000-0006-0000-2600-00002F000000}">
      <text>
        <r>
          <rPr>
            <b/>
            <sz val="9"/>
            <color indexed="81"/>
            <rFont val="ＭＳ Ｐゴシック"/>
            <family val="3"/>
            <charset val="128"/>
          </rPr>
          <t>建築主等が、企業に属しているときは、その企業の名称、属する部署名、肩書にもフリガナを記入して下さい。</t>
        </r>
      </text>
    </comment>
    <comment ref="S42" authorId="0" shapeId="0" xr:uid="{00000000-0006-0000-2600-000030000000}">
      <text>
        <r>
          <rPr>
            <sz val="9"/>
            <color indexed="81"/>
            <rFont val="ＭＳ Ｐ明朝"/>
            <family val="1"/>
            <charset val="128"/>
          </rPr>
          <t>建築主等が、企業に属しているときは、その企業の名称、属する部署名を記入して下さい。</t>
        </r>
      </text>
    </comment>
    <comment ref="S43" authorId="0" shapeId="0" xr:uid="{00000000-0006-0000-2600-000031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43" authorId="0" shapeId="0" xr:uid="{00000000-0006-0000-2600-000032000000}">
      <text>
        <r>
          <rPr>
            <sz val="9"/>
            <color indexed="81"/>
            <rFont val="ＭＳ Ｐ明朝"/>
            <family val="1"/>
            <charset val="128"/>
          </rPr>
          <t>氏名を記入して下さい。</t>
        </r>
      </text>
    </comment>
    <comment ref="Y46" authorId="0" shapeId="0" xr:uid="{00000000-0006-0000-2600-000015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47" authorId="1" shapeId="0" xr:uid="{00000000-0006-0000-2600-000016000000}">
      <text>
        <r>
          <rPr>
            <b/>
            <sz val="9"/>
            <color indexed="81"/>
            <rFont val="ＭＳ Ｐゴシック"/>
            <family val="3"/>
            <charset val="128"/>
          </rPr>
          <t>建築主等が、企業に属しているときは、その企業の名称、属する部署名、肩書にもフリガナを記入して下さい。</t>
        </r>
      </text>
    </comment>
    <comment ref="S48" authorId="0" shapeId="0" xr:uid="{00000000-0006-0000-2600-000017000000}">
      <text>
        <r>
          <rPr>
            <sz val="9"/>
            <color indexed="81"/>
            <rFont val="ＭＳ Ｐ明朝"/>
            <family val="1"/>
            <charset val="128"/>
          </rPr>
          <t>建築主等が、企業に属しているときは、その企業の名称、属する部署名を記入して下さい。</t>
        </r>
      </text>
    </comment>
    <comment ref="S49" authorId="0" shapeId="0" xr:uid="{00000000-0006-0000-2600-000018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49" authorId="0" shapeId="0" xr:uid="{00000000-0006-0000-2600-000019000000}">
      <text>
        <r>
          <rPr>
            <sz val="9"/>
            <color indexed="81"/>
            <rFont val="ＭＳ Ｐ明朝"/>
            <family val="1"/>
            <charset val="128"/>
          </rPr>
          <t>氏名を記入して下さい。</t>
        </r>
      </text>
    </comment>
    <comment ref="Y53" authorId="0" shapeId="0" xr:uid="{00000000-0006-0000-2600-000033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54" authorId="1" shapeId="0" xr:uid="{00000000-0006-0000-2600-000034000000}">
      <text>
        <r>
          <rPr>
            <b/>
            <sz val="9"/>
            <color indexed="81"/>
            <rFont val="ＭＳ Ｐゴシック"/>
            <family val="3"/>
            <charset val="128"/>
          </rPr>
          <t>建築主等が、企業に属しているときは、その企業の名称、属する部署名、肩書にもフリガナを記入して下さい。</t>
        </r>
      </text>
    </comment>
    <comment ref="S55" authorId="0" shapeId="0" xr:uid="{00000000-0006-0000-2600-000035000000}">
      <text>
        <r>
          <rPr>
            <sz val="9"/>
            <color indexed="81"/>
            <rFont val="ＭＳ Ｐ明朝"/>
            <family val="1"/>
            <charset val="128"/>
          </rPr>
          <t>建築主等が、企業に属しているときは、その企業の名称、属する部署名を記入して下さい。</t>
        </r>
      </text>
    </comment>
    <comment ref="S56" authorId="0" shapeId="0" xr:uid="{00000000-0006-0000-2600-000036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56" authorId="0" shapeId="0" xr:uid="{00000000-0006-0000-2600-000037000000}">
      <text>
        <r>
          <rPr>
            <sz val="9"/>
            <color indexed="81"/>
            <rFont val="ＭＳ Ｐ明朝"/>
            <family val="1"/>
            <charset val="128"/>
          </rPr>
          <t>氏名を記入して下さい。</t>
        </r>
      </text>
    </comment>
    <comment ref="Y59" authorId="0" shapeId="0" xr:uid="{00000000-0006-0000-2600-00001A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60" authorId="1" shapeId="0" xr:uid="{00000000-0006-0000-2600-00001B000000}">
      <text>
        <r>
          <rPr>
            <b/>
            <sz val="9"/>
            <color indexed="81"/>
            <rFont val="ＭＳ Ｐゴシック"/>
            <family val="3"/>
            <charset val="128"/>
          </rPr>
          <t>建築主等が、企業に属しているときは、その企業の名称、属する部署名、肩書にもフリガナを記入して下さい。</t>
        </r>
      </text>
    </comment>
    <comment ref="S61" authorId="0" shapeId="0" xr:uid="{00000000-0006-0000-2600-00001C000000}">
      <text>
        <r>
          <rPr>
            <sz val="9"/>
            <color indexed="81"/>
            <rFont val="ＭＳ Ｐ明朝"/>
            <family val="1"/>
            <charset val="128"/>
          </rPr>
          <t>建築主等が、企業に属しているときは、その企業の名称、属する部署名を記入して下さい。</t>
        </r>
      </text>
    </comment>
    <comment ref="S62" authorId="0" shapeId="0" xr:uid="{00000000-0006-0000-2600-00001D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62" authorId="0" shapeId="0" xr:uid="{00000000-0006-0000-2600-00001E000000}">
      <text>
        <r>
          <rPr>
            <sz val="9"/>
            <color indexed="81"/>
            <rFont val="ＭＳ Ｐ明朝"/>
            <family val="1"/>
            <charset val="128"/>
          </rPr>
          <t>氏名を記入して下さい。</t>
        </r>
      </text>
    </comment>
    <comment ref="Y66" authorId="0" shapeId="0" xr:uid="{00000000-0006-0000-2600-000038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67" authorId="1" shapeId="0" xr:uid="{00000000-0006-0000-2600-000039000000}">
      <text>
        <r>
          <rPr>
            <b/>
            <sz val="9"/>
            <color indexed="81"/>
            <rFont val="ＭＳ Ｐゴシック"/>
            <family val="3"/>
            <charset val="128"/>
          </rPr>
          <t>建築主等が、企業に属しているときは、その企業の名称、属する部署名、肩書にもフリガナを記入して下さい。</t>
        </r>
      </text>
    </comment>
    <comment ref="S68" authorId="0" shapeId="0" xr:uid="{00000000-0006-0000-2600-00003A000000}">
      <text>
        <r>
          <rPr>
            <sz val="9"/>
            <color indexed="81"/>
            <rFont val="ＭＳ Ｐ明朝"/>
            <family val="1"/>
            <charset val="128"/>
          </rPr>
          <t>建築主等が、企業に属しているときは、その企業の名称、属する部署名を記入して下さい。</t>
        </r>
      </text>
    </comment>
    <comment ref="S69" authorId="0" shapeId="0" xr:uid="{00000000-0006-0000-2600-00003B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69" authorId="0" shapeId="0" xr:uid="{00000000-0006-0000-2600-00003C000000}">
      <text>
        <r>
          <rPr>
            <sz val="9"/>
            <color indexed="81"/>
            <rFont val="ＭＳ Ｐ明朝"/>
            <family val="1"/>
            <charset val="128"/>
          </rPr>
          <t>氏名を記入して下さい。</t>
        </r>
      </text>
    </comment>
    <comment ref="Y72" authorId="0" shapeId="0" xr:uid="{00000000-0006-0000-2600-00001F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73" authorId="1" shapeId="0" xr:uid="{00000000-0006-0000-2600-000020000000}">
      <text>
        <r>
          <rPr>
            <b/>
            <sz val="9"/>
            <color indexed="81"/>
            <rFont val="ＭＳ Ｐゴシック"/>
            <family val="3"/>
            <charset val="128"/>
          </rPr>
          <t>建築主等が、企業に属しているときは、その企業の名称、属する部署名、肩書にもフリガナを記入して下さい。</t>
        </r>
      </text>
    </comment>
    <comment ref="S74" authorId="0" shapeId="0" xr:uid="{00000000-0006-0000-2600-000021000000}">
      <text>
        <r>
          <rPr>
            <sz val="9"/>
            <color indexed="81"/>
            <rFont val="ＭＳ Ｐ明朝"/>
            <family val="1"/>
            <charset val="128"/>
          </rPr>
          <t>建築主等が、企業に属しているときは、その企業の名称、属する部署名を記入して下さい。</t>
        </r>
      </text>
    </comment>
    <comment ref="S75" authorId="0" shapeId="0" xr:uid="{00000000-0006-0000-2600-000022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75" authorId="0" shapeId="0" xr:uid="{00000000-0006-0000-2600-000023000000}">
      <text>
        <r>
          <rPr>
            <sz val="9"/>
            <color indexed="81"/>
            <rFont val="ＭＳ Ｐ明朝"/>
            <family val="1"/>
            <charset val="128"/>
          </rPr>
          <t>氏名を記入して下さい。</t>
        </r>
      </text>
    </comment>
    <comment ref="Y79" authorId="0" shapeId="0" xr:uid="{00000000-0006-0000-2600-00003D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80" authorId="1" shapeId="0" xr:uid="{00000000-0006-0000-2600-00003E000000}">
      <text>
        <r>
          <rPr>
            <b/>
            <sz val="9"/>
            <color indexed="81"/>
            <rFont val="ＭＳ Ｐゴシック"/>
            <family val="3"/>
            <charset val="128"/>
          </rPr>
          <t>建築主等が、企業に属しているときは、その企業の名称、属する部署名、肩書にもフリガナを記入して下さい。</t>
        </r>
      </text>
    </comment>
    <comment ref="S81" authorId="0" shapeId="0" xr:uid="{00000000-0006-0000-2600-00003F000000}">
      <text>
        <r>
          <rPr>
            <sz val="9"/>
            <color indexed="81"/>
            <rFont val="ＭＳ Ｐ明朝"/>
            <family val="1"/>
            <charset val="128"/>
          </rPr>
          <t>建築主等が、企業に属しているときは、その企業の名称、属する部署名を記入して下さい。</t>
        </r>
      </text>
    </comment>
    <comment ref="S82" authorId="0" shapeId="0" xr:uid="{00000000-0006-0000-2600-000040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82" authorId="0" shapeId="0" xr:uid="{00000000-0006-0000-2600-000041000000}">
      <text>
        <r>
          <rPr>
            <sz val="9"/>
            <color indexed="81"/>
            <rFont val="ＭＳ Ｐ明朝"/>
            <family val="1"/>
            <charset val="128"/>
          </rPr>
          <t>氏名を記入して下さい。</t>
        </r>
      </text>
    </comment>
    <comment ref="Y85" authorId="0" shapeId="0" xr:uid="{00000000-0006-0000-2600-000024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86" authorId="1" shapeId="0" xr:uid="{00000000-0006-0000-2600-000025000000}">
      <text>
        <r>
          <rPr>
            <b/>
            <sz val="9"/>
            <color indexed="81"/>
            <rFont val="ＭＳ Ｐゴシック"/>
            <family val="3"/>
            <charset val="128"/>
          </rPr>
          <t>建築主等が、企業に属しているときは、その企業の名称、属する部署名、肩書にもフリガナを記入して下さい。</t>
        </r>
      </text>
    </comment>
    <comment ref="S87" authorId="0" shapeId="0" xr:uid="{00000000-0006-0000-2600-000026000000}">
      <text>
        <r>
          <rPr>
            <sz val="9"/>
            <color indexed="81"/>
            <rFont val="ＭＳ Ｐ明朝"/>
            <family val="1"/>
            <charset val="128"/>
          </rPr>
          <t>建築主等が、企業に属しているときは、その企業の名称、属する部署名を記入して下さい。</t>
        </r>
      </text>
    </comment>
    <comment ref="S88" authorId="0" shapeId="0" xr:uid="{00000000-0006-0000-2600-000027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88" authorId="0" shapeId="0" xr:uid="{00000000-0006-0000-2600-000028000000}">
      <text>
        <r>
          <rPr>
            <sz val="9"/>
            <color indexed="81"/>
            <rFont val="ＭＳ Ｐ明朝"/>
            <family val="1"/>
            <charset val="128"/>
          </rPr>
          <t>氏名を記入して下さい。</t>
        </r>
      </text>
    </comment>
    <comment ref="Y92" authorId="0" shapeId="0" xr:uid="{00000000-0006-0000-2600-000042000000}">
      <text>
        <r>
          <rPr>
            <sz val="9"/>
            <color indexed="81"/>
            <rFont val="ＭＳ Ｐ明朝"/>
            <family val="1"/>
            <charset val="128"/>
          </rPr>
          <t>建築主等が、企業に属しているときは、その企業の事務所の所在地を、企業に属していないときは、住所を都道府県名から記入して下さい</t>
        </r>
      </text>
    </comment>
    <comment ref="S93" authorId="1" shapeId="0" xr:uid="{00000000-0006-0000-2600-000043000000}">
      <text>
        <r>
          <rPr>
            <b/>
            <sz val="9"/>
            <color indexed="81"/>
            <rFont val="ＭＳ Ｐゴシック"/>
            <family val="3"/>
            <charset val="128"/>
          </rPr>
          <t>建築主等が、企業に属しているときは、その企業の名称、属する部署名、肩書にもフリガナを記入して下さい。</t>
        </r>
      </text>
    </comment>
    <comment ref="S94" authorId="0" shapeId="0" xr:uid="{00000000-0006-0000-2600-000044000000}">
      <text>
        <r>
          <rPr>
            <sz val="9"/>
            <color indexed="81"/>
            <rFont val="ＭＳ Ｐ明朝"/>
            <family val="1"/>
            <charset val="128"/>
          </rPr>
          <t>建築主等が、企業に属しているときは、その企業の名称、属する部署名を記入して下さい。</t>
        </r>
      </text>
    </comment>
    <comment ref="S95" authorId="0" shapeId="0" xr:uid="{00000000-0006-0000-2600-000045000000}">
      <text>
        <r>
          <rPr>
            <sz val="9"/>
            <color indexed="81"/>
            <rFont val="ＭＳ Ｐ明朝"/>
            <family val="1"/>
            <charset val="128"/>
          </rPr>
          <t>建築主等が企業に属しているときは、肩書き、役職等を記入して下さい。
申請者が2以上のときは、このページには代表となる申請者について記入し、他の申請者については「第１号様式別紙」にそれぞれ必要な事項を記入して下さい。</t>
        </r>
      </text>
    </comment>
    <comment ref="AH95" authorId="0" shapeId="0" xr:uid="{00000000-0006-0000-2600-000046000000}">
      <text>
        <r>
          <rPr>
            <sz val="9"/>
            <color indexed="81"/>
            <rFont val="ＭＳ Ｐ明朝"/>
            <family val="1"/>
            <charset val="128"/>
          </rPr>
          <t>氏名を記入して下さい。</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K6" authorId="0" shapeId="0" xr:uid="{00000000-0006-0000-2700-00000A000000}">
      <text>
        <r>
          <rPr>
            <sz val="9"/>
            <color indexed="81"/>
            <rFont val="ＭＳ Ｐ明朝"/>
            <family val="1"/>
            <charset val="128"/>
          </rPr>
          <t>このセルをクリックして該当する項目を選択して下さい。</t>
        </r>
      </text>
    </comment>
    <comment ref="K7" authorId="0" shapeId="0" xr:uid="{00000000-0006-0000-2700-000009000000}">
      <text>
        <r>
          <rPr>
            <sz val="9"/>
            <color indexed="81"/>
            <rFont val="ＭＳ Ｐ明朝"/>
            <family val="1"/>
            <charset val="128"/>
          </rPr>
          <t>代理者が建築事務所に属するときは、その事務所における肩書き、役職等及び氏名を記入して下さい。</t>
        </r>
      </text>
    </comment>
    <comment ref="K8" authorId="0" shapeId="0" xr:uid="{00000000-0006-0000-2700-000008000000}">
      <text>
        <r>
          <rPr>
            <sz val="9"/>
            <color indexed="81"/>
            <rFont val="ＭＳ Ｐ明朝"/>
            <family val="1"/>
            <charset val="128"/>
          </rPr>
          <t>このセルをクリックして該当する項目を選択して下さい。</t>
        </r>
      </text>
    </comment>
    <comment ref="K9" authorId="0" shapeId="0" xr:uid="{00000000-0006-0000-2700-000007000000}">
      <text>
        <r>
          <rPr>
            <sz val="9"/>
            <color indexed="81"/>
            <rFont val="ＭＳ Ｐ明朝"/>
            <family val="1"/>
            <charset val="128"/>
          </rPr>
          <t>代理者が建築事務所に属するときは、その事務所の名称を記入して下さい。</t>
        </r>
      </text>
    </comment>
    <comment ref="K11" authorId="0" shapeId="0" xr:uid="{00000000-0006-0000-2700-000006000000}">
      <text>
        <r>
          <rPr>
            <sz val="9"/>
            <color indexed="81"/>
            <rFont val="ＭＳ Ｐ明朝"/>
            <family val="1"/>
            <charset val="128"/>
          </rPr>
          <t>代理者が建築事務所に属するときは、その事務所の所在地を、属していないときは住所を、都道府県名から記入して下さい。</t>
        </r>
      </text>
    </comment>
    <comment ref="K16" authorId="0" shapeId="0" xr:uid="{00000000-0006-0000-2700-000005000000}">
      <text>
        <r>
          <rPr>
            <sz val="9"/>
            <color indexed="81"/>
            <rFont val="ＭＳ Ｐ明朝"/>
            <family val="1"/>
            <charset val="128"/>
          </rPr>
          <t>このセルをクリックして該当する項目を選択して下さい。</t>
        </r>
      </text>
    </comment>
    <comment ref="K17" authorId="0" shapeId="0" xr:uid="{00000000-0006-0000-2700-000004000000}">
      <text>
        <r>
          <rPr>
            <sz val="9"/>
            <color indexed="81"/>
            <rFont val="ＭＳ Ｐ明朝"/>
            <family val="1"/>
            <charset val="128"/>
          </rPr>
          <t>代理者が建築事務所に属するときは、その事務所における肩書き、役職等及び氏名を記入して下さい。</t>
        </r>
      </text>
    </comment>
    <comment ref="K18" authorId="0" shapeId="0" xr:uid="{00000000-0006-0000-2700-000003000000}">
      <text>
        <r>
          <rPr>
            <sz val="9"/>
            <color indexed="81"/>
            <rFont val="ＭＳ Ｐ明朝"/>
            <family val="1"/>
            <charset val="128"/>
          </rPr>
          <t>このセルをクリックして該当する項目を選択して下さい。</t>
        </r>
      </text>
    </comment>
    <comment ref="K19" authorId="0" shapeId="0" xr:uid="{00000000-0006-0000-2700-000002000000}">
      <text>
        <r>
          <rPr>
            <sz val="9"/>
            <color indexed="81"/>
            <rFont val="ＭＳ Ｐ明朝"/>
            <family val="1"/>
            <charset val="128"/>
          </rPr>
          <t>代理者が建築事務所に属するときは、その事務所の名称を記入して下さい。</t>
        </r>
      </text>
    </comment>
    <comment ref="K21" authorId="0" shapeId="0" xr:uid="{00000000-0006-0000-2700-000001000000}">
      <text>
        <r>
          <rPr>
            <sz val="9"/>
            <color indexed="81"/>
            <rFont val="ＭＳ Ｐ明朝"/>
            <family val="1"/>
            <charset val="128"/>
          </rPr>
          <t>代理者が建築事務所に属するときは、その事務所の所在地を、属していないときは住所を、都道府県名から記入して下さい。</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A3" authorId="0" shapeId="0" xr:uid="{00000000-0006-0000-2800-00000B000000}">
      <text>
        <r>
          <rPr>
            <sz val="9"/>
            <color indexed="81"/>
            <rFont val="ＭＳ Ｐゴシック"/>
            <family val="3"/>
            <charset val="128"/>
          </rPr>
          <t>ここをクリｯクしてどちらかを選択ください。</t>
        </r>
      </text>
    </comment>
    <comment ref="K4" authorId="0" shapeId="0" xr:uid="{00000000-0006-0000-2800-00000C000000}">
      <text>
        <r>
          <rPr>
            <sz val="9"/>
            <color indexed="81"/>
            <rFont val="ＭＳ Ｐ明朝"/>
            <family val="1"/>
            <charset val="128"/>
          </rPr>
          <t>このセルをクリックして該当する項目を選択して下さい。</t>
        </r>
      </text>
    </comment>
    <comment ref="K5" authorId="0" shapeId="0" xr:uid="{00000000-0006-0000-2800-00000D000000}">
      <text>
        <r>
          <rPr>
            <sz val="9"/>
            <color indexed="81"/>
            <rFont val="ＭＳ Ｐ明朝"/>
            <family val="1"/>
            <charset val="128"/>
          </rPr>
          <t>工事監理者が設計事務所に属するときは、その設計事務所における肩書き、役職等、氏名を記入して下さい。（ただし直近の申請内容と表記を合わせてください。）
複数名の場合は別紙「補足用」に全員分記入して下さい。</t>
        </r>
      </text>
    </comment>
    <comment ref="K6" authorId="0" shapeId="0" xr:uid="{00000000-0006-0000-2800-00000E000000}">
      <text>
        <r>
          <rPr>
            <sz val="9"/>
            <color indexed="81"/>
            <rFont val="ＭＳ Ｐ明朝"/>
            <family val="1"/>
            <charset val="128"/>
          </rPr>
          <t>このセルをクリックして該当する項目を選択して下さい。</t>
        </r>
      </text>
    </comment>
    <comment ref="K7" authorId="0" shapeId="0" xr:uid="{00000000-0006-0000-2800-00000F000000}">
      <text>
        <r>
          <rPr>
            <sz val="9"/>
            <color indexed="81"/>
            <rFont val="ＭＳ Ｐ明朝"/>
            <family val="1"/>
            <charset val="128"/>
          </rPr>
          <t>工事管理者が事務所に属するときは、その設計事務所の名称を記入して下さい。</t>
        </r>
      </text>
    </comment>
    <comment ref="Q8" authorId="0" shapeId="0" xr:uid="{00000000-0006-0000-2800-000010000000}">
      <text>
        <r>
          <rPr>
            <sz val="9"/>
            <color indexed="81"/>
            <rFont val="ＭＳ Ｐ明朝"/>
            <family val="1"/>
            <charset val="128"/>
          </rPr>
          <t>都道府県名から記入して下さい。</t>
        </r>
      </text>
    </comment>
    <comment ref="A11" authorId="0" shapeId="0" xr:uid="{00000000-0006-0000-2800-00000A000000}">
      <text>
        <r>
          <rPr>
            <sz val="9"/>
            <color indexed="81"/>
            <rFont val="ＭＳ Ｐ明朝"/>
            <family val="1"/>
            <charset val="128"/>
          </rPr>
          <t>ここをクリックしてどちらかを選択ください。</t>
        </r>
      </text>
    </comment>
    <comment ref="K12" authorId="0" shapeId="0" xr:uid="{00000000-0006-0000-2800-000009000000}">
      <text>
        <r>
          <rPr>
            <sz val="9"/>
            <color indexed="81"/>
            <rFont val="ＭＳ Ｐ明朝"/>
            <family val="1"/>
            <charset val="128"/>
          </rPr>
          <t>このセルをクリックして該当する項目を選択して下さい。</t>
        </r>
      </text>
    </comment>
    <comment ref="K13" authorId="0" shapeId="0" xr:uid="{00000000-0006-0000-2800-000008000000}">
      <text>
        <r>
          <rPr>
            <sz val="9"/>
            <color indexed="81"/>
            <rFont val="ＭＳ Ｐ明朝"/>
            <family val="1"/>
            <charset val="128"/>
          </rPr>
          <t>工事監理者が設計事務所に属するときは、その設計事務所における肩書き、役職等、氏名を記入して下さい。</t>
        </r>
      </text>
    </comment>
    <comment ref="K14" authorId="0" shapeId="0" xr:uid="{00000000-0006-0000-2800-000007000000}">
      <text>
        <r>
          <rPr>
            <sz val="9"/>
            <color indexed="81"/>
            <rFont val="ＭＳ Ｐ明朝"/>
            <family val="1"/>
            <charset val="128"/>
          </rPr>
          <t>このセルをクリックして該当する項目を選択して下さい。</t>
        </r>
      </text>
    </comment>
    <comment ref="K15" authorId="0" shapeId="0" xr:uid="{00000000-0006-0000-2800-000006000000}">
      <text>
        <r>
          <rPr>
            <sz val="9"/>
            <color indexed="81"/>
            <rFont val="ＭＳ Ｐ明朝"/>
            <family val="1"/>
            <charset val="128"/>
          </rPr>
          <t>工事管理者が事務所に属するときは、その設計事務所の名称を記入して下さい。</t>
        </r>
      </text>
    </comment>
    <comment ref="Q16" authorId="0" shapeId="0" xr:uid="{00000000-0006-0000-2800-000005000000}">
      <text>
        <r>
          <rPr>
            <sz val="9"/>
            <color indexed="81"/>
            <rFont val="ＭＳ Ｐ明朝"/>
            <family val="1"/>
            <charset val="128"/>
          </rPr>
          <t>都道府県名から記入して下さい。</t>
        </r>
      </text>
    </comment>
    <comment ref="A19" authorId="0" shapeId="0" xr:uid="{00000000-0006-0000-2800-000004000000}">
      <text>
        <r>
          <rPr>
            <sz val="9"/>
            <color indexed="81"/>
            <rFont val="ＭＳ Ｐ明朝"/>
            <family val="1"/>
            <charset val="128"/>
          </rPr>
          <t>ここをクリックしてどちらかを選択ください。</t>
        </r>
      </text>
    </comment>
    <comment ref="K20" authorId="0" shapeId="0" xr:uid="{00000000-0006-0000-2800-000011000000}">
      <text>
        <r>
          <rPr>
            <sz val="9"/>
            <color indexed="81"/>
            <rFont val="ＭＳ Ｐ明朝"/>
            <family val="1"/>
            <charset val="128"/>
          </rPr>
          <t>このセルをクリックして該当する項目を選択して下さい。</t>
        </r>
      </text>
    </comment>
    <comment ref="K21" authorId="0" shapeId="0" xr:uid="{00000000-0006-0000-2800-000012000000}">
      <text>
        <r>
          <rPr>
            <sz val="9"/>
            <color indexed="81"/>
            <rFont val="ＭＳ Ｐ明朝"/>
            <family val="1"/>
            <charset val="128"/>
          </rPr>
          <t>工事監理者が設計事務所に属するときは、その設計事務所における肩書き、役職等、氏名を記入して下さい。（ただし直近の申請内容と表記を合わせてください。）
複数名の場合は別紙「補足用」に全員分記入して下さい。</t>
        </r>
      </text>
    </comment>
    <comment ref="K22" authorId="0" shapeId="0" xr:uid="{00000000-0006-0000-2800-000013000000}">
      <text>
        <r>
          <rPr>
            <sz val="9"/>
            <color indexed="81"/>
            <rFont val="ＭＳ Ｐ明朝"/>
            <family val="1"/>
            <charset val="128"/>
          </rPr>
          <t>このセルをクリックして該当する項目を選択して下さい。</t>
        </r>
      </text>
    </comment>
    <comment ref="K23" authorId="0" shapeId="0" xr:uid="{00000000-0006-0000-2800-000014000000}">
      <text>
        <r>
          <rPr>
            <sz val="9"/>
            <color indexed="81"/>
            <rFont val="ＭＳ Ｐ明朝"/>
            <family val="1"/>
            <charset val="128"/>
          </rPr>
          <t>工事管理者が事務所に属するときは、その設計事務所の名称を記入して下さい。</t>
        </r>
      </text>
    </comment>
    <comment ref="Q24" authorId="0" shapeId="0" xr:uid="{00000000-0006-0000-2800-000015000000}">
      <text>
        <r>
          <rPr>
            <sz val="9"/>
            <color indexed="81"/>
            <rFont val="ＭＳ Ｐ明朝"/>
            <family val="1"/>
            <charset val="128"/>
          </rPr>
          <t>都道府県名から記入して下さい。</t>
        </r>
      </text>
    </comment>
    <comment ref="A27" authorId="0" shapeId="0" xr:uid="{00000000-0006-0000-2800-000003000000}">
      <text>
        <r>
          <rPr>
            <sz val="9"/>
            <color indexed="81"/>
            <rFont val="ＭＳ Ｐ明朝"/>
            <family val="1"/>
            <charset val="128"/>
          </rPr>
          <t>ここをクリックしてどちらかを選択ください。</t>
        </r>
      </text>
    </comment>
    <comment ref="K28" authorId="0" shapeId="0" xr:uid="{00000000-0006-0000-2800-00001B000000}">
      <text>
        <r>
          <rPr>
            <sz val="9"/>
            <color indexed="81"/>
            <rFont val="ＭＳ Ｐ明朝"/>
            <family val="1"/>
            <charset val="128"/>
          </rPr>
          <t>このセルをクリックして該当する項目を選択して下さい。</t>
        </r>
      </text>
    </comment>
    <comment ref="K29" authorId="0" shapeId="0" xr:uid="{00000000-0006-0000-2800-00001C000000}">
      <text>
        <r>
          <rPr>
            <sz val="9"/>
            <color indexed="81"/>
            <rFont val="ＭＳ Ｐ明朝"/>
            <family val="1"/>
            <charset val="128"/>
          </rPr>
          <t>工事監理者が設計事務所に属するときは、その設計事務所における肩書き、役職等、氏名を記入して下さい。</t>
        </r>
      </text>
    </comment>
    <comment ref="K30" authorId="0" shapeId="0" xr:uid="{00000000-0006-0000-2800-00001D000000}">
      <text>
        <r>
          <rPr>
            <sz val="9"/>
            <color indexed="81"/>
            <rFont val="ＭＳ Ｐ明朝"/>
            <family val="1"/>
            <charset val="128"/>
          </rPr>
          <t>このセルをクリックして該当する項目を選択して下さい。</t>
        </r>
      </text>
    </comment>
    <comment ref="K31" authorId="0" shapeId="0" xr:uid="{00000000-0006-0000-2800-00001E000000}">
      <text>
        <r>
          <rPr>
            <sz val="9"/>
            <color indexed="81"/>
            <rFont val="ＭＳ Ｐ明朝"/>
            <family val="1"/>
            <charset val="128"/>
          </rPr>
          <t>工事管理者が事務所に属するときは、その設計事務所の名称を記入して下さい。</t>
        </r>
      </text>
    </comment>
    <comment ref="Q32" authorId="0" shapeId="0" xr:uid="{00000000-0006-0000-2800-00001F000000}">
      <text>
        <r>
          <rPr>
            <sz val="9"/>
            <color indexed="81"/>
            <rFont val="ＭＳ Ｐ明朝"/>
            <family val="1"/>
            <charset val="128"/>
          </rPr>
          <t>都道府県名から記入して下さい。</t>
        </r>
      </text>
    </comment>
    <comment ref="A35" authorId="0" shapeId="0" xr:uid="{00000000-0006-0000-2800-000002000000}">
      <text>
        <r>
          <rPr>
            <sz val="9"/>
            <color indexed="81"/>
            <rFont val="ＭＳ Ｐ明朝"/>
            <family val="1"/>
            <charset val="128"/>
          </rPr>
          <t>ここをクリックしてどちらかを選択ください。</t>
        </r>
      </text>
    </comment>
    <comment ref="K36" authorId="0" shapeId="0" xr:uid="{00000000-0006-0000-2800-000016000000}">
      <text>
        <r>
          <rPr>
            <sz val="9"/>
            <color indexed="81"/>
            <rFont val="ＭＳ Ｐ明朝"/>
            <family val="1"/>
            <charset val="128"/>
          </rPr>
          <t>このセルをクリックして該当する項目を選択して下さい。</t>
        </r>
      </text>
    </comment>
    <comment ref="K37" authorId="0" shapeId="0" xr:uid="{00000000-0006-0000-2800-000017000000}">
      <text>
        <r>
          <rPr>
            <sz val="9"/>
            <color indexed="81"/>
            <rFont val="ＭＳ Ｐ明朝"/>
            <family val="1"/>
            <charset val="128"/>
          </rPr>
          <t>工事監理者が設計事務所に属するときは、その設計事務所における肩書き、役職等、氏名を記入して下さい。（ただし直近の申請内容と表記を合わせてください。）
複数名の場合は別紙「補足用」に全員分記入して下さい。</t>
        </r>
      </text>
    </comment>
    <comment ref="K38" authorId="0" shapeId="0" xr:uid="{00000000-0006-0000-2800-000018000000}">
      <text>
        <r>
          <rPr>
            <sz val="9"/>
            <color indexed="81"/>
            <rFont val="ＭＳ Ｐ明朝"/>
            <family val="1"/>
            <charset val="128"/>
          </rPr>
          <t>このセルをクリックして該当する項目を選択して下さい。</t>
        </r>
      </text>
    </comment>
    <comment ref="K39" authorId="0" shapeId="0" xr:uid="{00000000-0006-0000-2800-000019000000}">
      <text>
        <r>
          <rPr>
            <sz val="9"/>
            <color indexed="81"/>
            <rFont val="ＭＳ Ｐ明朝"/>
            <family val="1"/>
            <charset val="128"/>
          </rPr>
          <t>工事管理者が事務所に属するときは、その設計事務所の名称を記入して下さい。</t>
        </r>
      </text>
    </comment>
    <comment ref="Q40" authorId="0" shapeId="0" xr:uid="{00000000-0006-0000-2800-00001A000000}">
      <text>
        <r>
          <rPr>
            <sz val="9"/>
            <color indexed="81"/>
            <rFont val="ＭＳ Ｐ明朝"/>
            <family val="1"/>
            <charset val="128"/>
          </rPr>
          <t>都道府県名から記入して下さい。</t>
        </r>
      </text>
    </comment>
    <comment ref="A43" authorId="0" shapeId="0" xr:uid="{00000000-0006-0000-2800-000001000000}">
      <text>
        <r>
          <rPr>
            <sz val="9"/>
            <color indexed="81"/>
            <rFont val="ＭＳ Ｐ明朝"/>
            <family val="1"/>
            <charset val="128"/>
          </rPr>
          <t>ここをクリックしてどちらかを選択ください。</t>
        </r>
      </text>
    </comment>
    <comment ref="K44" authorId="0" shapeId="0" xr:uid="{00000000-0006-0000-2800-000020000000}">
      <text>
        <r>
          <rPr>
            <sz val="9"/>
            <color indexed="81"/>
            <rFont val="ＭＳ Ｐ明朝"/>
            <family val="1"/>
            <charset val="128"/>
          </rPr>
          <t>このセルをクリックして該当する項目を選択して下さい。</t>
        </r>
      </text>
    </comment>
    <comment ref="K45" authorId="0" shapeId="0" xr:uid="{00000000-0006-0000-2800-000021000000}">
      <text>
        <r>
          <rPr>
            <sz val="9"/>
            <color indexed="81"/>
            <rFont val="ＭＳ Ｐ明朝"/>
            <family val="1"/>
            <charset val="128"/>
          </rPr>
          <t>工事監理者が設計事務所に属するときは、その設計事務所における肩書き、役職等、氏名を記入して下さい。</t>
        </r>
      </text>
    </comment>
    <comment ref="K46" authorId="0" shapeId="0" xr:uid="{00000000-0006-0000-2800-000022000000}">
      <text>
        <r>
          <rPr>
            <sz val="9"/>
            <color indexed="81"/>
            <rFont val="ＭＳ Ｐ明朝"/>
            <family val="1"/>
            <charset val="128"/>
          </rPr>
          <t>このセルをクリックして該当する項目を選択して下さい。</t>
        </r>
      </text>
    </comment>
    <comment ref="K47" authorId="0" shapeId="0" xr:uid="{00000000-0006-0000-2800-000023000000}">
      <text>
        <r>
          <rPr>
            <sz val="9"/>
            <color indexed="81"/>
            <rFont val="ＭＳ Ｐ明朝"/>
            <family val="1"/>
            <charset val="128"/>
          </rPr>
          <t>工事管理者が事務所に属するときは、その設計事務所の名称を記入して下さい。</t>
        </r>
      </text>
    </comment>
    <comment ref="Q48" authorId="0" shapeId="0" xr:uid="{00000000-0006-0000-2800-000024000000}">
      <text>
        <r>
          <rPr>
            <sz val="9"/>
            <color indexed="81"/>
            <rFont val="ＭＳ Ｐ明朝"/>
            <family val="1"/>
            <charset val="128"/>
          </rPr>
          <t>都道府県名から記入して下さい。</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K5" authorId="0" shapeId="0" xr:uid="{00000000-0006-0000-2900-000008000000}">
      <text>
        <r>
          <rPr>
            <sz val="9"/>
            <color indexed="81"/>
            <rFont val="ＭＳ Ｐ明朝"/>
            <family val="1"/>
            <charset val="128"/>
          </rPr>
          <t>このセルをクリックして該当する項目を選択して下さい。</t>
        </r>
      </text>
    </comment>
    <comment ref="K6" authorId="0" shapeId="0" xr:uid="{00000000-0006-0000-2900-000007000000}">
      <text>
        <r>
          <rPr>
            <sz val="9"/>
            <color indexed="81"/>
            <rFont val="ＭＳ Ｐ明朝"/>
            <family val="1"/>
            <charset val="128"/>
          </rPr>
          <t>設計者が設計事務所に属するときは、その設計事務所における肩書き、役職等、氏名を記入して下さい。</t>
        </r>
      </text>
    </comment>
    <comment ref="K7" authorId="0" shapeId="0" xr:uid="{00000000-0006-0000-2900-000006000000}">
      <text>
        <r>
          <rPr>
            <sz val="9"/>
            <color indexed="81"/>
            <rFont val="ＭＳ Ｐ明朝"/>
            <family val="1"/>
            <charset val="128"/>
          </rPr>
          <t>このセルをクリックして該当する項目を選択して下さい。</t>
        </r>
      </text>
    </comment>
    <comment ref="Q9" authorId="0" shapeId="0" xr:uid="{00000000-0006-0000-2900-000005000000}">
      <text>
        <r>
          <rPr>
            <sz val="9"/>
            <color indexed="81"/>
            <rFont val="ＭＳ Ｐ明朝"/>
            <family val="1"/>
            <charset val="128"/>
          </rPr>
          <t>都道府県名から記入して下さい。</t>
        </r>
      </text>
    </comment>
    <comment ref="K13" authorId="0" shapeId="0" xr:uid="{00000000-0006-0000-2900-000009000000}">
      <text>
        <r>
          <rPr>
            <sz val="9"/>
            <color indexed="81"/>
            <rFont val="ＭＳ Ｐ明朝"/>
            <family val="1"/>
            <charset val="128"/>
          </rPr>
          <t>このセルをクリックして該当する項目を選択して下さい。</t>
        </r>
      </text>
    </comment>
    <comment ref="K14" authorId="0" shapeId="0" xr:uid="{00000000-0006-0000-2900-00000A000000}">
      <text>
        <r>
          <rPr>
            <sz val="9"/>
            <color indexed="81"/>
            <rFont val="ＭＳ Ｐ明朝"/>
            <family val="1"/>
            <charset val="128"/>
          </rPr>
          <t>設計者が設計事務所に属するときは、その設計事務所における肩書き、役職等、氏名を記入して下さい。</t>
        </r>
      </text>
    </comment>
    <comment ref="K15" authorId="0" shapeId="0" xr:uid="{00000000-0006-0000-2900-00000B000000}">
      <text>
        <r>
          <rPr>
            <sz val="9"/>
            <color indexed="81"/>
            <rFont val="ＭＳ Ｐ明朝"/>
            <family val="1"/>
            <charset val="128"/>
          </rPr>
          <t>このセルをクリックして該当する項目を選択して下さい。</t>
        </r>
      </text>
    </comment>
    <comment ref="Q17" authorId="0" shapeId="0" xr:uid="{00000000-0006-0000-2900-00000C000000}">
      <text>
        <r>
          <rPr>
            <sz val="9"/>
            <color indexed="81"/>
            <rFont val="ＭＳ Ｐ明朝"/>
            <family val="1"/>
            <charset val="128"/>
          </rPr>
          <t>都道府県名から記入して下さい。</t>
        </r>
      </text>
    </comment>
    <comment ref="K20" authorId="0" shapeId="0" xr:uid="{00000000-0006-0000-2900-00000D000000}">
      <text>
        <r>
          <rPr>
            <sz val="9"/>
            <color indexed="81"/>
            <rFont val="ＭＳ Ｐ明朝"/>
            <family val="1"/>
            <charset val="128"/>
          </rPr>
          <t>このセルをクリックして該当する項目を選択して下さい。</t>
        </r>
      </text>
    </comment>
    <comment ref="K21" authorId="0" shapeId="0" xr:uid="{00000000-0006-0000-2900-00000E000000}">
      <text>
        <r>
          <rPr>
            <sz val="9"/>
            <color indexed="81"/>
            <rFont val="ＭＳ Ｐ明朝"/>
            <family val="1"/>
            <charset val="128"/>
          </rPr>
          <t>設計者が設計事務所に属するときは、その設計事務所における肩書き、役職等、氏名を記入して下さい。</t>
        </r>
      </text>
    </comment>
    <comment ref="K22" authorId="0" shapeId="0" xr:uid="{00000000-0006-0000-2900-00000F000000}">
      <text>
        <r>
          <rPr>
            <sz val="9"/>
            <color indexed="81"/>
            <rFont val="ＭＳ Ｐ明朝"/>
            <family val="1"/>
            <charset val="128"/>
          </rPr>
          <t>このセルをクリックして該当する項目を選択して下さい。</t>
        </r>
      </text>
    </comment>
    <comment ref="Q24" authorId="0" shapeId="0" xr:uid="{00000000-0006-0000-2900-000010000000}">
      <text>
        <r>
          <rPr>
            <sz val="9"/>
            <color indexed="81"/>
            <rFont val="ＭＳ Ｐ明朝"/>
            <family val="1"/>
            <charset val="128"/>
          </rPr>
          <t>都道府県名から記入して下さい。</t>
        </r>
      </text>
    </comment>
    <comment ref="K30" authorId="0" shapeId="0" xr:uid="{00000000-0006-0000-2900-000004000000}">
      <text>
        <r>
          <rPr>
            <sz val="9"/>
            <color indexed="81"/>
            <rFont val="ＭＳ Ｐ明朝"/>
            <family val="1"/>
            <charset val="128"/>
          </rPr>
          <t>このセルをクリックして該当する項目を選択して下さい。</t>
        </r>
      </text>
    </comment>
    <comment ref="K31" authorId="0" shapeId="0" xr:uid="{00000000-0006-0000-2900-000003000000}">
      <text>
        <r>
          <rPr>
            <sz val="9"/>
            <color indexed="81"/>
            <rFont val="ＭＳ Ｐ明朝"/>
            <family val="1"/>
            <charset val="128"/>
          </rPr>
          <t>設計者が設計事務所に属するときは、その設計事務所における肩書き、役職等、氏名を記入して下さい。</t>
        </r>
      </text>
    </comment>
    <comment ref="K32" authorId="0" shapeId="0" xr:uid="{00000000-0006-0000-2900-000002000000}">
      <text>
        <r>
          <rPr>
            <sz val="9"/>
            <color indexed="81"/>
            <rFont val="ＭＳ Ｐ明朝"/>
            <family val="1"/>
            <charset val="128"/>
          </rPr>
          <t>このセルをクリックして該当する項目を選択して下さい。</t>
        </r>
      </text>
    </comment>
    <comment ref="Q34" authorId="0" shapeId="0" xr:uid="{00000000-0006-0000-2900-000001000000}">
      <text>
        <r>
          <rPr>
            <sz val="9"/>
            <color indexed="81"/>
            <rFont val="ＭＳ Ｐ明朝"/>
            <family val="1"/>
            <charset val="128"/>
          </rPr>
          <t>都道府県名から記入して下さい。</t>
        </r>
      </text>
    </comment>
    <comment ref="K38" authorId="0" shapeId="0" xr:uid="{00000000-0006-0000-2900-000011000000}">
      <text>
        <r>
          <rPr>
            <sz val="9"/>
            <color indexed="81"/>
            <rFont val="ＭＳ Ｐ明朝"/>
            <family val="1"/>
            <charset val="128"/>
          </rPr>
          <t>このセルをクリックして該当する項目を選択して下さい。</t>
        </r>
      </text>
    </comment>
    <comment ref="K39" authorId="0" shapeId="0" xr:uid="{00000000-0006-0000-2900-000012000000}">
      <text>
        <r>
          <rPr>
            <sz val="9"/>
            <color indexed="81"/>
            <rFont val="ＭＳ Ｐ明朝"/>
            <family val="1"/>
            <charset val="128"/>
          </rPr>
          <t>設計者が設計事務所に属するときは、その設計事務所における肩書き、役職等、氏名を記入して下さい。</t>
        </r>
      </text>
    </comment>
    <comment ref="K40" authorId="0" shapeId="0" xr:uid="{00000000-0006-0000-2900-000013000000}">
      <text>
        <r>
          <rPr>
            <sz val="9"/>
            <color indexed="81"/>
            <rFont val="ＭＳ Ｐ明朝"/>
            <family val="1"/>
            <charset val="128"/>
          </rPr>
          <t>このセルをクリックして該当する項目を選択して下さい。</t>
        </r>
      </text>
    </comment>
    <comment ref="Q42" authorId="0" shapeId="0" xr:uid="{00000000-0006-0000-2900-000014000000}">
      <text>
        <r>
          <rPr>
            <sz val="9"/>
            <color indexed="81"/>
            <rFont val="ＭＳ Ｐ明朝"/>
            <family val="1"/>
            <charset val="128"/>
          </rPr>
          <t>都道府県名から記入して下さい。</t>
        </r>
      </text>
    </comment>
    <comment ref="K45" authorId="0" shapeId="0" xr:uid="{00000000-0006-0000-2900-000015000000}">
      <text>
        <r>
          <rPr>
            <sz val="9"/>
            <color indexed="81"/>
            <rFont val="ＭＳ Ｐ明朝"/>
            <family val="1"/>
            <charset val="128"/>
          </rPr>
          <t>このセルをクリックして該当する項目を選択して下さい。</t>
        </r>
      </text>
    </comment>
    <comment ref="K46" authorId="0" shapeId="0" xr:uid="{00000000-0006-0000-2900-000016000000}">
      <text>
        <r>
          <rPr>
            <sz val="9"/>
            <color indexed="81"/>
            <rFont val="ＭＳ Ｐ明朝"/>
            <family val="1"/>
            <charset val="128"/>
          </rPr>
          <t>設計者が設計事務所に属するときは、その設計事務所における肩書き、役職等、氏名を記入して下さい。</t>
        </r>
      </text>
    </comment>
    <comment ref="K47" authorId="0" shapeId="0" xr:uid="{00000000-0006-0000-2900-000017000000}">
      <text>
        <r>
          <rPr>
            <sz val="9"/>
            <color indexed="81"/>
            <rFont val="ＭＳ Ｐ明朝"/>
            <family val="1"/>
            <charset val="128"/>
          </rPr>
          <t>このセルをクリックして該当する項目を選択して下さい。</t>
        </r>
      </text>
    </comment>
    <comment ref="Q49" authorId="0" shapeId="0" xr:uid="{00000000-0006-0000-2900-000018000000}">
      <text>
        <r>
          <rPr>
            <sz val="9"/>
            <color indexed="81"/>
            <rFont val="ＭＳ Ｐ明朝"/>
            <family val="1"/>
            <charset val="128"/>
          </rPr>
          <t>都道府県名から記入して下さい。</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8" authorId="0" shapeId="0" xr:uid="{00000000-0006-0000-2A00-000002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10" authorId="0" shapeId="0" xr:uid="{00000000-0006-0000-2A00-000001000000}">
      <text>
        <r>
          <rPr>
            <sz val="9"/>
            <color indexed="81"/>
            <rFont val="ＭＳ Ｐ明朝"/>
            <family val="1"/>
            <charset val="128"/>
          </rPr>
          <t>氏名をご記入ください</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5" authorId="0" shapeId="0" xr:uid="{00000000-0006-0000-2B00-000002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7" authorId="0" shapeId="0" xr:uid="{00000000-0006-0000-2B00-000001000000}">
      <text>
        <r>
          <rPr>
            <sz val="9"/>
            <color indexed="81"/>
            <rFont val="ＭＳ Ｐ明朝"/>
            <family val="1"/>
            <charset val="128"/>
          </rPr>
          <t>氏名をご記入ください</t>
        </r>
      </text>
    </comment>
    <comment ref="U9" authorId="0" shapeId="0" xr:uid="{00000000-0006-0000-2B00-000003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11" authorId="0" shapeId="0" xr:uid="{00000000-0006-0000-2B00-000004000000}">
      <text>
        <r>
          <rPr>
            <sz val="9"/>
            <color indexed="81"/>
            <rFont val="ＭＳ Ｐ明朝"/>
            <family val="1"/>
            <charset val="128"/>
          </rPr>
          <t>氏名をご記入ください</t>
        </r>
      </text>
    </comment>
    <comment ref="U13" authorId="0" shapeId="0" xr:uid="{00000000-0006-0000-2B00-000005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15" authorId="0" shapeId="0" xr:uid="{00000000-0006-0000-2B00-000006000000}">
      <text>
        <r>
          <rPr>
            <sz val="9"/>
            <color indexed="81"/>
            <rFont val="ＭＳ Ｐ明朝"/>
            <family val="1"/>
            <charset val="128"/>
          </rPr>
          <t>氏名をご記入ください</t>
        </r>
      </text>
    </comment>
    <comment ref="U17" authorId="0" shapeId="0" xr:uid="{00000000-0006-0000-2B00-000007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19" authorId="0" shapeId="0" xr:uid="{00000000-0006-0000-2B00-000008000000}">
      <text>
        <r>
          <rPr>
            <sz val="9"/>
            <color indexed="81"/>
            <rFont val="ＭＳ Ｐ明朝"/>
            <family val="1"/>
            <charset val="128"/>
          </rPr>
          <t>氏名をご記入ください</t>
        </r>
      </text>
    </comment>
    <comment ref="U21" authorId="0" shapeId="0" xr:uid="{00000000-0006-0000-2B00-000009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23" authorId="0" shapeId="0" xr:uid="{00000000-0006-0000-2B00-00000A000000}">
      <text>
        <r>
          <rPr>
            <sz val="9"/>
            <color indexed="81"/>
            <rFont val="ＭＳ Ｐ明朝"/>
            <family val="1"/>
            <charset val="128"/>
          </rPr>
          <t>氏名をご記入ください</t>
        </r>
      </text>
    </comment>
    <comment ref="U25" authorId="0" shapeId="0" xr:uid="{00000000-0006-0000-2B00-00000B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27" authorId="0" shapeId="0" xr:uid="{00000000-0006-0000-2B00-00000C000000}">
      <text>
        <r>
          <rPr>
            <sz val="9"/>
            <color indexed="81"/>
            <rFont val="ＭＳ Ｐ明朝"/>
            <family val="1"/>
            <charset val="128"/>
          </rPr>
          <t>氏名をご記入ください</t>
        </r>
      </text>
    </comment>
    <comment ref="U29" authorId="0" shapeId="0" xr:uid="{00000000-0006-0000-2B00-00000D000000}">
      <text>
        <r>
          <rPr>
            <sz val="9"/>
            <color indexed="81"/>
            <rFont val="ＭＳ Ｐ明朝"/>
            <family val="1"/>
            <charset val="128"/>
          </rPr>
          <t>建築主等が企業に属しているときは、その企業、事業所の名称を記入して下さい。
建築主等が2以上のときは、このページには代表となる建築主等について記入し、他の建築主等については（第一面）別紙「建築主、設置者又は築造主」にそれぞれ必要な事項を記入して下さい。</t>
        </r>
      </text>
    </comment>
    <comment ref="U31" authorId="0" shapeId="0" xr:uid="{00000000-0006-0000-2B00-00000E000000}">
      <text>
        <r>
          <rPr>
            <sz val="9"/>
            <color indexed="81"/>
            <rFont val="ＭＳ Ｐ明朝"/>
            <family val="1"/>
            <charset val="128"/>
          </rPr>
          <t>氏名をご記入ください</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uhec75</author>
    <author>uhec66</author>
  </authors>
  <commentList>
    <comment ref="B71" authorId="0" shapeId="0" xr:uid="{00000000-0006-0000-2C00-000001000000}">
      <text>
        <r>
          <rPr>
            <b/>
            <sz val="9"/>
            <color indexed="81"/>
            <rFont val="MS P ゴシック"/>
            <charset val="128"/>
          </rPr>
          <t>建築物：建確
昇降機：設確
工作物：工確
いずれかを選択してください</t>
        </r>
      </text>
    </comment>
    <comment ref="D71" authorId="1" shapeId="0" xr:uid="{00000000-0006-0000-2C00-000002000000}">
      <text>
        <r>
          <rPr>
            <b/>
            <sz val="9"/>
            <color indexed="81"/>
            <rFont val="MS P ゴシック"/>
            <charset val="128"/>
          </rPr>
          <t>確認番号を記入してください</t>
        </r>
      </text>
    </comment>
    <comment ref="K71" authorId="1" shapeId="0" xr:uid="{00000000-0006-0000-2C00-000003000000}">
      <text>
        <r>
          <rPr>
            <b/>
            <sz val="9"/>
            <color indexed="81"/>
            <rFont val="MS P ゴシック"/>
            <charset val="128"/>
          </rPr>
          <t>会社名とご担当者名を記入してください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29" authorId="0" shapeId="0" xr:uid="{00000000-0006-0000-0D00-000001000000}">
      <text>
        <r>
          <rPr>
            <b/>
            <sz val="9"/>
            <color indexed="81"/>
            <rFont val="ＭＳ Ｐゴシック"/>
            <family val="3"/>
            <charset val="128"/>
          </rPr>
          <t xml:space="preserve">ペントハウスがある場合は『1』を入力
</t>
        </r>
      </text>
    </comment>
    <comment ref="D69" authorId="0" shapeId="0" xr:uid="{00000000-0006-0000-0D00-000002000000}">
      <text>
        <r>
          <rPr>
            <b/>
            <sz val="9"/>
            <color indexed="81"/>
            <rFont val="ＭＳ Ｐゴシック"/>
            <family val="3"/>
            <charset val="128"/>
          </rPr>
          <t>計画変更の際は、その面に係る変更の概要を記入してください。</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V8" authorId="0" shapeId="0" xr:uid="{00000000-0006-0000-3100-000003000000}">
      <text>
        <r>
          <rPr>
            <sz val="9"/>
            <color indexed="81"/>
            <rFont val="ＭＳ Ｐ明朝"/>
            <family val="1"/>
            <charset val="128"/>
          </rPr>
          <t>代理者が設計事務所に属しているときは、その設計事務所の所在地を、属していないときは住所を、都道府県名から記入して下さい。</t>
        </r>
      </text>
    </comment>
    <comment ref="V9" authorId="0" shapeId="0" xr:uid="{00000000-0006-0000-3100-000002000000}">
      <text>
        <r>
          <rPr>
            <sz val="9"/>
            <color indexed="81"/>
            <rFont val="ＭＳ Ｐ明朝"/>
            <family val="1"/>
            <charset val="128"/>
          </rPr>
          <t>代理者が設計事務所に属しているときは、その設計事務所の名称、属する部署名を記入して下さい。</t>
        </r>
      </text>
    </comment>
    <comment ref="V10" authorId="0" shapeId="0" xr:uid="{00000000-0006-0000-3100-000001000000}">
      <text>
        <r>
          <rPr>
            <sz val="9"/>
            <color indexed="81"/>
            <rFont val="ＭＳ Ｐ明朝"/>
            <family val="1"/>
            <charset val="128"/>
          </rPr>
          <t>氏名を記入して下さい。</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uhec89</author>
  </authors>
  <commentList>
    <comment ref="W4" authorId="0" shapeId="0" xr:uid="{00000000-0006-0000-3200-000001000000}">
      <text>
        <r>
          <rPr>
            <b/>
            <sz val="9"/>
            <color indexed="81"/>
            <rFont val="MS P ゴシック"/>
            <charset val="128"/>
          </rPr>
          <t>提出日
2025/10/1のように入力してくださ</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s>
  <commentList>
    <comment ref="U11" authorId="0" shapeId="0" xr:uid="{00000000-0006-0000-3300-000002000000}">
      <text>
        <r>
          <rPr>
            <sz val="9"/>
            <color indexed="81"/>
            <rFont val="ＭＳ Ｐ明朝"/>
            <family val="1"/>
            <charset val="128"/>
          </rPr>
          <t>代理者が設計事務所に属しているときは、その設計事務所の名称を記入して下さい。
代理者が2以上のときは、このページには代表となる代理者について記入し、他の代理者については（第一面）別紙「代理者」「設計者」にそれぞれ必要な事項を記入して下さい。</t>
        </r>
      </text>
    </comment>
    <comment ref="U12" authorId="0" shapeId="0" xr:uid="{00000000-0006-0000-3300-000001000000}">
      <text>
        <r>
          <rPr>
            <sz val="9"/>
            <color indexed="81"/>
            <rFont val="ＭＳ Ｐ明朝"/>
            <family val="1"/>
            <charset val="128"/>
          </rPr>
          <t>氏名を記入して下さい。</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uhec52</author>
    <author>uhec88</author>
  </authors>
  <commentList>
    <comment ref="AM2" authorId="0" shapeId="0" xr:uid="{00000000-0006-0000-3400-000006000000}">
      <text>
        <r>
          <rPr>
            <b/>
            <sz val="14"/>
            <color indexed="81"/>
            <rFont val="ＭＳ Ｐゴシック"/>
            <family val="3"/>
            <charset val="128"/>
          </rPr>
          <t>この用紙も出力して計画書に添付してください。</t>
        </r>
      </text>
    </comment>
    <comment ref="H5" authorId="1" shapeId="0" xr:uid="{00000000-0006-0000-3400-000005000000}">
      <text>
        <r>
          <rPr>
            <b/>
            <sz val="9"/>
            <color indexed="81"/>
            <rFont val="ＭＳ Ｐゴシック"/>
            <family val="3"/>
            <charset val="128"/>
          </rPr>
          <t xml:space="preserve">三面備考欄に入力している場合は表示されます。
</t>
        </r>
      </text>
    </comment>
    <comment ref="W6" authorId="0" shapeId="0" xr:uid="{00000000-0006-0000-3400-000004000000}">
      <text>
        <r>
          <rPr>
            <sz val="9"/>
            <color indexed="81"/>
            <rFont val="ＭＳ Ｐゴシック"/>
            <family val="3"/>
            <charset val="128"/>
          </rPr>
          <t>状況は変わると思いますので、お約束するものではありません。弊社担当と充分打ち合わせてください。</t>
        </r>
        <r>
          <rPr>
            <b/>
            <sz val="9"/>
            <color indexed="81"/>
            <rFont val="ＭＳ Ｐゴシック"/>
            <family val="3"/>
            <charset val="128"/>
          </rPr>
          <t xml:space="preserve">
</t>
        </r>
      </text>
    </comment>
    <comment ref="AL6" authorId="0" shapeId="0" xr:uid="{00000000-0006-0000-3400-000003000000}">
      <text>
        <r>
          <rPr>
            <b/>
            <sz val="9"/>
            <color indexed="81"/>
            <rFont val="ＭＳ Ｐゴシック"/>
            <family val="3"/>
            <charset val="128"/>
          </rPr>
          <t>確認申請が本受されてる場合にご記入ください。</t>
        </r>
      </text>
    </comment>
    <comment ref="AI10" authorId="0" shapeId="0" xr:uid="{00000000-0006-0000-3400-000002000000}">
      <text>
        <r>
          <rPr>
            <b/>
            <sz val="9"/>
            <color indexed="81"/>
            <rFont val="ＭＳ Ｐゴシック"/>
            <family val="3"/>
            <charset val="128"/>
          </rPr>
          <t xml:space="preserve">請求先が複数の場合に比率を記載ください。
それ以外は100としてください。
</t>
        </r>
        <r>
          <rPr>
            <sz val="9"/>
            <color indexed="81"/>
            <rFont val="ＭＳ Ｐゴシック"/>
            <family val="3"/>
            <charset val="128"/>
          </rPr>
          <t xml:space="preserve">
</t>
        </r>
      </text>
    </comment>
    <comment ref="AA43" authorId="0" shapeId="0" xr:uid="{00000000-0006-0000-3400-000001000000}">
      <text>
        <r>
          <rPr>
            <sz val="9"/>
            <color indexed="81"/>
            <rFont val="ＭＳ Ｐゴシック"/>
            <family val="3"/>
            <charset val="128"/>
          </rPr>
          <t>設計者として計画書等に名前がでていなくても、</t>
        </r>
        <r>
          <rPr>
            <b/>
            <sz val="9"/>
            <color indexed="81"/>
            <rFont val="ＭＳ Ｐゴシック"/>
            <family val="3"/>
            <charset val="128"/>
          </rPr>
          <t>実際に省エネ計算に携わっていらっしゃる方を記入してください。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1" authorId="0" shapeId="0" xr:uid="{00000000-0006-0000-0E00-000001000000}">
      <text>
        <r>
          <rPr>
            <b/>
            <sz val="9"/>
            <color indexed="81"/>
            <rFont val="ＭＳ Ｐゴシック"/>
            <family val="3"/>
            <charset val="128"/>
          </rPr>
          <t>計画変更の際は、その面に係る変更の概要を記入してください。</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7" authorId="0" shapeId="0" xr:uid="{00000000-0006-0000-0F00-000001000000}">
      <text>
        <r>
          <rPr>
            <b/>
            <sz val="9"/>
            <color indexed="81"/>
            <rFont val="ＭＳ Ｐゴシック"/>
            <family val="3"/>
            <charset val="128"/>
          </rPr>
          <t xml:space="preserve">計画変更の際は、その面に係る変更の概要を記入してください。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1200-000001000000}">
      <text>
        <r>
          <rPr>
            <sz val="9"/>
            <color indexed="81"/>
            <rFont val="ＭＳ Ｐゴシック"/>
            <family val="3"/>
            <charset val="128"/>
          </rPr>
          <t>右クリック貼り付けで
図面添付できます。</t>
        </r>
      </text>
    </comment>
    <comment ref="C20" authorId="0" shapeId="0" xr:uid="{00000000-0006-0000-1200-000002000000}">
      <text>
        <r>
          <rPr>
            <sz val="9"/>
            <color indexed="81"/>
            <rFont val="ＭＳ Ｐゴシック"/>
            <family val="3"/>
            <charset val="128"/>
          </rPr>
          <t xml:space="preserve">右クリック貼り付けで
図面添付できます。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67" authorId="0" shapeId="0" xr:uid="{00000000-0006-0000-1300-000001000000}">
      <text>
        <r>
          <rPr>
            <sz val="12"/>
            <color indexed="81"/>
            <rFont val="ＭＳ Ｐゴシック"/>
            <family val="3"/>
            <charset val="128"/>
            <scheme val="minor"/>
          </rPr>
          <t>【イ．建築主の種別】において「(４)会社」を選択した場合のみ選択記入ください</t>
        </r>
      </text>
    </comment>
    <comment ref="B84" authorId="0" shapeId="0" xr:uid="{00000000-0006-0000-1300-000002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00000000-0006-0000-1300-000003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128" authorId="0" shapeId="0" xr:uid="{00000000-0006-0000-1300-000004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140" authorId="0" shapeId="0" xr:uid="{00000000-0006-0000-1300-000005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00000000-0006-0000-1500-000001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00000000-0006-0000-1500-000002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00000000-0006-0000-1500-000003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00000000-0006-0000-1500-000004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00000000-0006-0000-1500-000005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00000000-0006-0000-1500-000006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00000000-0006-0000-1500-000007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00000000-0006-0000-1500-000008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00000000-0006-0000-1500-000009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00000000-0006-0000-1500-00000A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00000000-0006-0000-1500-00000B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00000000-0006-0000-1500-00000C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00000000-0006-0000-1500-00000D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00000000-0006-0000-1500-00000E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00000000-0006-0000-1500-00000F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00000000-0006-0000-1500-000010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株式会社都市居住評価センター</author>
    <author>uhec07</author>
  </authors>
  <commentList>
    <comment ref="U10" authorId="0" shapeId="0" xr:uid="{00000000-0006-0000-1700-000004000000}">
      <text>
        <r>
          <rPr>
            <sz val="9"/>
            <color indexed="81"/>
            <rFont val="ＭＳ Ｐ明朝"/>
            <family val="1"/>
            <charset val="128"/>
          </rPr>
          <t>代理者が設計事務所に属しているときは、その設計事務所の名称を記入して下さい。
代理者が2以上のときは、このページには代表となる代理者について記入し、他の代理者については（第一面）別紙「代理者」「設計者」にそれぞれ必要な事項を記入して下さい。</t>
        </r>
      </text>
    </comment>
    <comment ref="U11" authorId="0" shapeId="0" xr:uid="{00000000-0006-0000-1700-000003000000}">
      <text>
        <r>
          <rPr>
            <sz val="9"/>
            <color indexed="81"/>
            <rFont val="ＭＳ Ｐ明朝"/>
            <family val="1"/>
            <charset val="128"/>
          </rPr>
          <t xml:space="preserve">氏名をご記入ください
</t>
        </r>
      </text>
    </comment>
    <comment ref="L19" authorId="1" shapeId="0" xr:uid="{00000000-0006-0000-1700-000002000000}">
      <text>
        <r>
          <rPr>
            <sz val="9"/>
            <color indexed="81"/>
            <rFont val="ＭＳ Ｐ明朝"/>
            <family val="1"/>
            <charset val="128"/>
          </rPr>
          <t>確認申請書の受付年月日、受付番号を記入して下さい。</t>
        </r>
        <r>
          <rPr>
            <sz val="9"/>
            <color indexed="81"/>
            <rFont val="ＭＳ Ｐゴシック"/>
            <family val="3"/>
            <charset val="128"/>
          </rPr>
          <t xml:space="preserve">
</t>
        </r>
      </text>
    </comment>
    <comment ref="L20" authorId="1" shapeId="0" xr:uid="{00000000-0006-0000-1700-000001000000}">
      <text>
        <r>
          <rPr>
            <sz val="9"/>
            <color indexed="81"/>
            <rFont val="ＭＳ Ｐ明朝"/>
            <family val="1"/>
            <charset val="128"/>
          </rPr>
          <t>「適合するかどうかを決定することができない旨の通知」の交付年月日を記入して下さい。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<sst xmlns="http://schemas.openxmlformats.org/spreadsheetml/2006/main" count="9531" uniqueCount="4193">
  <si>
    <t>月</t>
  </si>
  <si>
    <t>その他</t>
  </si>
  <si>
    <t>（</t>
  </si>
  <si>
    <t>）</t>
  </si>
  <si>
    <t>第四十号様式（第八条関係）（Ａ４）</t>
  </si>
  <si>
    <t>（第一面）</t>
  </si>
  <si>
    <t>知事　様</t>
  </si>
  <si>
    <t>氏名</t>
  </si>
  <si>
    <t>郵便番号</t>
  </si>
  <si>
    <t>住所</t>
  </si>
  <si>
    <t>電話番号</t>
  </si>
  <si>
    <t>営業所名（建築士事務所名）</t>
  </si>
  <si>
    <t>所在地</t>
  </si>
  <si>
    <t>木造</t>
  </si>
  <si>
    <t>鉄骨造</t>
  </si>
  <si>
    <t>【７．新築工事の場合における敷地面積】</t>
  </si>
  <si>
    <t>（第三面）</t>
  </si>
  <si>
    <t>(1)一戸建住宅</t>
  </si>
  <si>
    <t>(2)長屋建住宅</t>
  </si>
  <si>
    <t>(1)持家</t>
  </si>
  <si>
    <t>(2)貸家</t>
  </si>
  <si>
    <t>(3)給与住宅</t>
  </si>
  <si>
    <t>(4)分譲住宅</t>
  </si>
  <si>
    <t>戸</t>
  </si>
  <si>
    <t>㎡</t>
  </si>
  <si>
    <t>出力シート名</t>
  </si>
  <si>
    <t>**_output_sheetname</t>
  </si>
  <si>
    <t>cst__output_sheetname</t>
  </si>
  <si>
    <t>タイトル</t>
  </si>
  <si>
    <t>**_output_title</t>
  </si>
  <si>
    <t>cst__output_title</t>
  </si>
  <si>
    <t>第三面</t>
  </si>
  <si>
    <t>建築主</t>
  </si>
  <si>
    <t>役職</t>
  </si>
  <si>
    <t/>
  </si>
  <si>
    <t>会社名</t>
  </si>
  <si>
    <t>事務所 資格</t>
  </si>
  <si>
    <t>事務所名</t>
  </si>
  <si>
    <t>主要用途</t>
  </si>
  <si>
    <t>フリガナ</t>
  </si>
  <si>
    <t>□</t>
  </si>
  <si>
    <t>引受番号</t>
  </si>
  <si>
    <t>引受日</t>
  </si>
  <si>
    <t>確認済証番号</t>
  </si>
  <si>
    <t>確認済証交付日</t>
  </si>
  <si>
    <t>代理者</t>
  </si>
  <si>
    <t>施工者</t>
  </si>
  <si>
    <t>備考（建築物名称）</t>
  </si>
  <si>
    <t>第四面</t>
  </si>
  <si>
    <t>営業所名</t>
  </si>
  <si>
    <t>内外の別</t>
  </si>
  <si>
    <t>工事種別</t>
  </si>
  <si>
    <t>階数－地上</t>
  </si>
  <si>
    <t>階数－地下</t>
  </si>
  <si>
    <t>構造</t>
  </si>
  <si>
    <t>構造の一部</t>
  </si>
  <si>
    <t>高さ－最高の高さ</t>
  </si>
  <si>
    <t>高さ－最高の軒の高さ</t>
  </si>
  <si>
    <t>一戸建ての住宅</t>
  </si>
  <si>
    <t>項目名</t>
  </si>
  <si>
    <t>セル名</t>
  </si>
  <si>
    <t>データ</t>
  </si>
  <si>
    <t>Customセル名</t>
  </si>
  <si>
    <t>Customデータ</t>
  </si>
  <si>
    <t>**wsjob_TARGET_KIND__label</t>
  </si>
  <si>
    <t>**shinsei_UKETUKE_NO</t>
  </si>
  <si>
    <t>**shinsei_HIKIUKE_DATE</t>
  </si>
  <si>
    <t>**shinsei_ISSUE_NO</t>
  </si>
  <si>
    <t>**wskakunin_owner1_NAME</t>
  </si>
  <si>
    <t>**wskakunin_owner1_NAME_KANA</t>
  </si>
  <si>
    <t>**wskakunin_owner1_ZIP</t>
  </si>
  <si>
    <t>**wskakunin_owner1__address</t>
  </si>
  <si>
    <t>**wskakunin_owner1_TEL</t>
  </si>
  <si>
    <t>**wskakunin_dairi1_NAME</t>
  </si>
  <si>
    <t>**wskakunin_dairi1_NAME_KANA</t>
  </si>
  <si>
    <t>**wskakunin_dairi1_JIMU_NAME</t>
  </si>
  <si>
    <t>**wskakunin_dairi1_ZIP</t>
  </si>
  <si>
    <t>**wskakunin_dairi1__address</t>
  </si>
  <si>
    <t>**wskakunin_dairi1_TEL</t>
  </si>
  <si>
    <t>**wskakunin_sekkei1__sikaku</t>
  </si>
  <si>
    <t>**wskakunin_sekkei1_NAME</t>
  </si>
  <si>
    <t>**wskakunin_sekkei1_JIMU_NAME</t>
  </si>
  <si>
    <t>**wskakunin_sekkei1_ZIP</t>
  </si>
  <si>
    <t>cst_shinsei_UKETUKE_NO</t>
  </si>
  <si>
    <t>cst_shinsei_HIKIUKE_DATE</t>
  </si>
  <si>
    <t>cst_shinsei_ISSUE_DATE</t>
  </si>
  <si>
    <t>cst_wskakunin_owner1_POST</t>
  </si>
  <si>
    <t>cst_wskakunin_owner1_NAME</t>
  </si>
  <si>
    <t>cst_wskakunin_owner1_NAME_KANA</t>
  </si>
  <si>
    <t>cst_wskakunin_owner1_ZIP</t>
  </si>
  <si>
    <t>cst_wskakunin_owner1__address</t>
  </si>
  <si>
    <t>cst_wskakunin_owner1_TEL</t>
  </si>
  <si>
    <t>cst_wskakunin_dairi1__sikaku</t>
  </si>
  <si>
    <t>cst_wskakunin_dairi1_NAME_KANA</t>
  </si>
  <si>
    <t>cst_wskakunin_dairi1_JIMU__sikaku</t>
  </si>
  <si>
    <t>会社名&lt;改行&gt;
役職&lt;スペース&gt;氏名</t>
  </si>
  <si>
    <t>役職&lt;スペース&gt;氏名</t>
  </si>
  <si>
    <t>会社名&lt;スペース&gt;役職&lt;スペース&gt;氏名</t>
  </si>
  <si>
    <t>会社名&lt;スペース&gt;氏名</t>
  </si>
  <si>
    <t>会社名フリガナ</t>
  </si>
  <si>
    <t>役職フリガナ</t>
  </si>
  <si>
    <t>氏名フリガナ</t>
  </si>
  <si>
    <t>会社名フリガナ&lt;スペース&gt;役職フリガナ&lt;スペース&gt;氏名フリガナ</t>
  </si>
  <si>
    <t>cst_wskakunin_dairi1_JIMU_NAME</t>
  </si>
  <si>
    <t>cst_wskakunin_dairi1_ZIP</t>
  </si>
  <si>
    <t>cst_wskakunin_dairi1__address</t>
  </si>
  <si>
    <t>cst_wskakunin_dairi1_TEL</t>
  </si>
  <si>
    <t>cst_wskakunin_sekkei1_NAME</t>
  </si>
  <si>
    <t>cst_wskakunin_sekkei1_JIMU__sikaku</t>
  </si>
  <si>
    <t>cst_wskakunin_sekkei1_JIMU_NAME</t>
  </si>
  <si>
    <t>cst_wskakunin_sekkei1_ZIP</t>
  </si>
  <si>
    <t>cst_wsjob_TARGET_KIND__label</t>
  </si>
  <si>
    <t>cst_shinsei_ISSUE_NO</t>
  </si>
  <si>
    <t>cst_wskakunin_owner1__space</t>
  </si>
  <si>
    <t>cst_wskakunin_owner1__space2</t>
  </si>
  <si>
    <t>cst_wskakunin_dairi1__space</t>
  </si>
  <si>
    <t>申請書</t>
  </si>
  <si>
    <t>容積率</t>
  </si>
  <si>
    <t>建ぺい率</t>
  </si>
  <si>
    <t>工事届</t>
  </si>
  <si>
    <t>一級</t>
  </si>
  <si>
    <t>二級</t>
  </si>
  <si>
    <t>第一種低層住居専用地域</t>
  </si>
  <si>
    <t>第二種低層住居専用地域</t>
  </si>
  <si>
    <t>第一種中高層住居専用地域</t>
  </si>
  <si>
    <t>第二種中高層住居専用地域</t>
  </si>
  <si>
    <t>第一種住居地域</t>
  </si>
  <si>
    <t>第二種住居地域</t>
  </si>
  <si>
    <t>準住居地域</t>
  </si>
  <si>
    <t>近隣商業地域</t>
  </si>
  <si>
    <t>商業地域</t>
  </si>
  <si>
    <t>準工業地域</t>
  </si>
  <si>
    <t>工業地域</t>
  </si>
  <si>
    <t>工業専用地域</t>
  </si>
  <si>
    <t>指定なし</t>
  </si>
  <si>
    <t>用途地域</t>
  </si>
  <si>
    <t>建物構造</t>
  </si>
  <si>
    <t>用途区分（建築物）</t>
  </si>
  <si>
    <t>名称（建築物）</t>
  </si>
  <si>
    <t>用途区分（工作物1）</t>
  </si>
  <si>
    <t>名称（工作物1）</t>
  </si>
  <si>
    <t>用途区分（工作物2）</t>
  </si>
  <si>
    <t>名称（工作物2）</t>
  </si>
  <si>
    <t>耐火建築物</t>
  </si>
  <si>
    <t>便所の種類</t>
  </si>
  <si>
    <t>大臣</t>
  </si>
  <si>
    <t>埼玉県知事</t>
  </si>
  <si>
    <t>なし</t>
  </si>
  <si>
    <t>08010</t>
  </si>
  <si>
    <t>06310</t>
  </si>
  <si>
    <t xml:space="preserve">煙突（支わく及び支線がある場合においては、これらを含み、ストーブの煙突を除く。） </t>
  </si>
  <si>
    <t>06410</t>
  </si>
  <si>
    <t>鉱物、岩石その他の粉砕で原動機を使用するもの、レディミクストコンクリートの製造等で出力の合計が2.5キロワットを超える原動機を使用するもの及びアスファルト、コールタール、木タール、石油蒸留産物又はその残りかすを原料とする製造を行うもの</t>
  </si>
  <si>
    <t>水洗</t>
  </si>
  <si>
    <t>01</t>
  </si>
  <si>
    <t>東京都知事</t>
  </si>
  <si>
    <t>木造軸組</t>
  </si>
  <si>
    <t>08020</t>
  </si>
  <si>
    <t>長屋</t>
  </si>
  <si>
    <t>06320</t>
  </si>
  <si>
    <t xml:space="preserve">鉄筋コンクリート造の柱、鉄柱、木柱その他これらに類するもの（旗ざお並びに架空電線路用及び電気事業者の保安通信設備用のものを除く。） H=15m超 </t>
  </si>
  <si>
    <t>06420</t>
  </si>
  <si>
    <t>自動車車庫の用途に供するもの</t>
  </si>
  <si>
    <t>準耐火建築物（イ-1）</t>
  </si>
  <si>
    <t>くみ取り</t>
  </si>
  <si>
    <t>02</t>
  </si>
  <si>
    <t>千葉県知事</t>
  </si>
  <si>
    <t>木造枠組</t>
  </si>
  <si>
    <t>08030</t>
  </si>
  <si>
    <t>共同住宅</t>
  </si>
  <si>
    <t>06330</t>
  </si>
  <si>
    <t>広告塔、広告板、装飾塔、記念塔その他これらに類するもの</t>
  </si>
  <si>
    <t>06430</t>
  </si>
  <si>
    <t>サイロその他これに類する工作物のうち飼料、肥料、セメントその他これらに類するものを貯蔵するもの</t>
  </si>
  <si>
    <t>準耐火建築物（イ-2）</t>
  </si>
  <si>
    <t>くみ取り(改良）</t>
  </si>
  <si>
    <t>03</t>
  </si>
  <si>
    <t>神奈川県知事</t>
  </si>
  <si>
    <t>08040</t>
  </si>
  <si>
    <t>寄宿舎</t>
  </si>
  <si>
    <t>06340</t>
  </si>
  <si>
    <t>高架水槽、サイロ、物見塔その他これらに類するもの</t>
  </si>
  <si>
    <t>06440</t>
  </si>
  <si>
    <t>昇降機、ウォーターショート、飛行塔その他これに類するもの</t>
  </si>
  <si>
    <t>準耐火建築物（ロ-1）</t>
  </si>
  <si>
    <t>04</t>
  </si>
  <si>
    <t>茨城県知事</t>
  </si>
  <si>
    <t>鉄筋コンクリート造</t>
  </si>
  <si>
    <t>08050</t>
  </si>
  <si>
    <t>下宿</t>
  </si>
  <si>
    <t>06350</t>
  </si>
  <si>
    <t>擁壁</t>
  </si>
  <si>
    <t>06450</t>
  </si>
  <si>
    <t>汚物処理場、ごみ焼却場その他の処理施設の用途に供するもの</t>
  </si>
  <si>
    <t>準耐火建築物（ロ-2）</t>
  </si>
  <si>
    <t>05</t>
  </si>
  <si>
    <t>栃木県知事</t>
  </si>
  <si>
    <t>鉄骨鉄筋コンクリート造</t>
  </si>
  <si>
    <t>08060</t>
  </si>
  <si>
    <t>住宅で事務所、店舗その他これらに類する用途を兼ねるもの</t>
  </si>
  <si>
    <t xml:space="preserve">06360  </t>
  </si>
  <si>
    <t>ウォーターシュート、コースターその他これに類する高架の遊戯施設</t>
  </si>
  <si>
    <t>06460</t>
  </si>
  <si>
    <t>群馬県知事</t>
  </si>
  <si>
    <t>08070</t>
  </si>
  <si>
    <t>幼稚園</t>
  </si>
  <si>
    <t xml:space="preserve">06370 </t>
  </si>
  <si>
    <t>メリーゴーランド、観覧車、オクトパス、飛行塔その他これらに類する回転運動をする遊戯施設で原動機を使用するもの</t>
  </si>
  <si>
    <t>北海道知事</t>
  </si>
  <si>
    <t>08080</t>
  </si>
  <si>
    <t>小学校</t>
  </si>
  <si>
    <t>青森県知事</t>
  </si>
  <si>
    <t>08090</t>
  </si>
  <si>
    <t>中学校又は高等学校</t>
  </si>
  <si>
    <t>岩手県知事</t>
  </si>
  <si>
    <t>08100</t>
  </si>
  <si>
    <t>養護学校、盲学校又は聾学校</t>
  </si>
  <si>
    <t>宮城県知事</t>
  </si>
  <si>
    <t>08110</t>
  </si>
  <si>
    <t>大学又は高等専門学校</t>
  </si>
  <si>
    <t>秋田県知事</t>
  </si>
  <si>
    <t>08120</t>
  </si>
  <si>
    <t>専修学校</t>
  </si>
  <si>
    <t>山形県知事</t>
  </si>
  <si>
    <t>08130</t>
  </si>
  <si>
    <t>各種学校</t>
  </si>
  <si>
    <t>福島県知事</t>
  </si>
  <si>
    <t>08140</t>
  </si>
  <si>
    <t>図書館その他これらに類するもの</t>
  </si>
  <si>
    <t>新潟県知事</t>
  </si>
  <si>
    <t>08150</t>
  </si>
  <si>
    <t>博物館その他これらに類するもの</t>
  </si>
  <si>
    <t>富山県知事</t>
  </si>
  <si>
    <t>08160</t>
  </si>
  <si>
    <t>神社、寺院、教会その他これらに類するもの</t>
  </si>
  <si>
    <t>石川県知事</t>
  </si>
  <si>
    <t>08170</t>
  </si>
  <si>
    <t>老人ホーム、身体障害者福祉ホームその他これに類するもの</t>
  </si>
  <si>
    <t>福井県知事</t>
  </si>
  <si>
    <t>08180</t>
  </si>
  <si>
    <t>保育所その他これに類するもの</t>
  </si>
  <si>
    <t>山梨県知事</t>
  </si>
  <si>
    <t>08190</t>
  </si>
  <si>
    <t>助産所</t>
  </si>
  <si>
    <t>長野県知事</t>
  </si>
  <si>
    <t>08210</t>
  </si>
  <si>
    <t>児童福祉施設等（前３項に掲げるものを除く。）</t>
  </si>
  <si>
    <t>岐阜県知事</t>
  </si>
  <si>
    <t>08220</t>
  </si>
  <si>
    <t>隣保館</t>
  </si>
  <si>
    <t>静岡県知事</t>
  </si>
  <si>
    <t>08230</t>
  </si>
  <si>
    <t>公衆浴場（個室付浴場業に係る公衆浴場を除く。）</t>
  </si>
  <si>
    <t>愛知県知事</t>
  </si>
  <si>
    <t>08240</t>
  </si>
  <si>
    <t>診療所（患者の収容施設のあるものに限る。）</t>
  </si>
  <si>
    <t>三重県知事</t>
  </si>
  <si>
    <t>08250</t>
  </si>
  <si>
    <t>診療所（患者の収容施設のないものに限る。）</t>
  </si>
  <si>
    <t>滋賀県知事</t>
  </si>
  <si>
    <t>08260</t>
  </si>
  <si>
    <t>病院</t>
  </si>
  <si>
    <t>京都府知事</t>
  </si>
  <si>
    <t>08270</t>
  </si>
  <si>
    <t>巡査派出所</t>
  </si>
  <si>
    <t>大阪府知事</t>
  </si>
  <si>
    <t>08280</t>
  </si>
  <si>
    <t>公衆電話所</t>
  </si>
  <si>
    <t>兵庫県知事</t>
  </si>
  <si>
    <t>08290</t>
  </si>
  <si>
    <t>郵便局</t>
  </si>
  <si>
    <t>奈良県知事</t>
  </si>
  <si>
    <t>08300</t>
  </si>
  <si>
    <t>地方公共団体の支庁又は支所</t>
  </si>
  <si>
    <t>和歌山県知事</t>
  </si>
  <si>
    <t>08310</t>
  </si>
  <si>
    <t>公衆便所、休憩所又は路線バスの停留所の上屋</t>
  </si>
  <si>
    <t>鳥取県知事</t>
  </si>
  <si>
    <t>08320</t>
  </si>
  <si>
    <t>建築基準法施行令第130条の4第5号に基づき国土交通大臣が指定する施設</t>
  </si>
  <si>
    <t>島根県知事</t>
  </si>
  <si>
    <t>08330</t>
  </si>
  <si>
    <t>税務署、警察署、保健所又は消防署その他これらに類するもの</t>
  </si>
  <si>
    <t>岡山県知事</t>
  </si>
  <si>
    <t>08340</t>
  </si>
  <si>
    <t>工場（自動車修理工場を除く。）</t>
  </si>
  <si>
    <t>広島県知事</t>
  </si>
  <si>
    <t>08350</t>
  </si>
  <si>
    <t>自動車修理工場</t>
  </si>
  <si>
    <t>山口県知事</t>
  </si>
  <si>
    <t>08360</t>
  </si>
  <si>
    <t>危険物の貯蔵又は処理に供するもの</t>
  </si>
  <si>
    <t>徳島県知事</t>
  </si>
  <si>
    <t>08370</t>
  </si>
  <si>
    <t>ボーリング場、スケート場、水泳場、スキー場、ゴルフ練習場又はバッティング練習場</t>
  </si>
  <si>
    <t>香川県知事</t>
  </si>
  <si>
    <t>08380</t>
  </si>
  <si>
    <t>体育館又はスポーツの練習場（前項に掲げるものを除く。）</t>
  </si>
  <si>
    <t>愛媛県知事</t>
  </si>
  <si>
    <t>08390</t>
  </si>
  <si>
    <t>マージャン屋、ぱちんこ屋、射的場、勝馬投票券発売所、場外車券売り場その他これらに類するもの又はカラオケボックスその他これらに類するもの</t>
  </si>
  <si>
    <t>高知県知事</t>
  </si>
  <si>
    <t>08400</t>
  </si>
  <si>
    <t>ホテル又は旅館</t>
  </si>
  <si>
    <t>福岡県知事</t>
  </si>
  <si>
    <t>08410</t>
  </si>
  <si>
    <t>自動車教習所</t>
  </si>
  <si>
    <t>佐賀県知事</t>
  </si>
  <si>
    <t>08420</t>
  </si>
  <si>
    <t>畜舎</t>
  </si>
  <si>
    <t>長崎県知事</t>
  </si>
  <si>
    <t>08430</t>
  </si>
  <si>
    <t>堆肥舎又は水産物の増殖場若しくは養殖場</t>
  </si>
  <si>
    <t>熊本県知事</t>
  </si>
  <si>
    <t>08438</t>
  </si>
  <si>
    <t>日用品の販売を主たる目的とする店舗</t>
  </si>
  <si>
    <t>大分県知事</t>
  </si>
  <si>
    <t>08440</t>
  </si>
  <si>
    <t>百貨店、マーケットその他の物品販売業を営む店舗（前項に掲げるもの及び専ら性的好奇心をおそる写真その他の物品の販売を行うものを除く。）</t>
  </si>
  <si>
    <t>宮崎県知事</t>
  </si>
  <si>
    <t>08450</t>
  </si>
  <si>
    <t>飲食店（次項に掲げるものを除く。）</t>
  </si>
  <si>
    <t>鹿児島県知事</t>
  </si>
  <si>
    <t>08452</t>
  </si>
  <si>
    <t>食堂又は喫茶店</t>
  </si>
  <si>
    <t>沖縄県知事</t>
  </si>
  <si>
    <t>08456</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</si>
  <si>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で作業場の床面積の合計が50平方メートル以内のもの（原動機を使用する場合にあっては、その出力の合計が0.75キロワット以下のものに限る。）又は学習塾、華道教室、囲碁教室その他これらに類する施設</t>
  </si>
  <si>
    <t>08458</t>
  </si>
  <si>
    <t>銀行の支店、損害保険代理店、宅地建物取引業を営む店舗その他これらに類するサービス業を営む店舗</t>
  </si>
  <si>
    <t>08460</t>
  </si>
  <si>
    <t xml:space="preserve">物品販売業を営む店舗以外の店舗（前2項に掲げるものを除く。） </t>
  </si>
  <si>
    <t>08470</t>
  </si>
  <si>
    <t>事務所</t>
  </si>
  <si>
    <t>08480</t>
  </si>
  <si>
    <t>映画スタジオ又はテレビスタジオ</t>
  </si>
  <si>
    <t>08490</t>
  </si>
  <si>
    <t>自動車車庫</t>
  </si>
  <si>
    <t>08500</t>
  </si>
  <si>
    <t>自転車駐輪場</t>
  </si>
  <si>
    <t>08510</t>
  </si>
  <si>
    <t>倉庫業を営む倉庫</t>
  </si>
  <si>
    <t>08520</t>
  </si>
  <si>
    <t>倉庫業を営まない倉庫</t>
  </si>
  <si>
    <t>08530</t>
  </si>
  <si>
    <t>劇場、映画館又は演芸場</t>
  </si>
  <si>
    <t>08540</t>
  </si>
  <si>
    <t>観覧場</t>
  </si>
  <si>
    <t>08550</t>
  </si>
  <si>
    <t>公会堂又は集会場</t>
  </si>
  <si>
    <t>08560</t>
  </si>
  <si>
    <t>展示場</t>
  </si>
  <si>
    <t>08570</t>
  </si>
  <si>
    <t>料理店</t>
  </si>
  <si>
    <t>08580</t>
  </si>
  <si>
    <t>キャバレー、カフェー、ナイトクラブ又はバー</t>
  </si>
  <si>
    <t>08590</t>
  </si>
  <si>
    <t>ダンスホール</t>
  </si>
  <si>
    <t>08600</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</si>
  <si>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</si>
  <si>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08610</t>
  </si>
  <si>
    <t>卸売市場</t>
  </si>
  <si>
    <t>08620</t>
  </si>
  <si>
    <t>火葬場又はと畜場、汚物処理場、ごみ焼却場その他の処理施設</t>
  </si>
  <si>
    <t>08990</t>
  </si>
  <si>
    <t xml:space="preserve">その他 </t>
  </si>
  <si>
    <t>都市計画区域内</t>
  </si>
  <si>
    <t>準都市計画区域内</t>
  </si>
  <si>
    <t>都市計画区域及び準都市計画区域内準都市計画区域外</t>
  </si>
  <si>
    <t>区域内の分類</t>
  </si>
  <si>
    <t>市街化区域</t>
  </si>
  <si>
    <t>市街化調整区域</t>
  </si>
  <si>
    <t>区域区分非設定</t>
  </si>
  <si>
    <t>防火地域</t>
  </si>
  <si>
    <t>準防火地域</t>
  </si>
  <si>
    <t>法第22条区域</t>
  </si>
  <si>
    <t>新築</t>
  </si>
  <si>
    <t>増築</t>
  </si>
  <si>
    <t>改築</t>
  </si>
  <si>
    <t>移転</t>
  </si>
  <si>
    <t>年</t>
  </si>
  <si>
    <t>号</t>
  </si>
  <si>
    <t>階</t>
  </si>
  <si>
    <t>**wskakunin_owner1_JIMU_NAME</t>
  </si>
  <si>
    <t>cst_wskakunin_owner1_JIMU_NAME</t>
  </si>
  <si>
    <t>**wskakunin_owner1_JIMU_NAME_KANA</t>
  </si>
  <si>
    <t>cst_wskakunin_owner1_JIMU_NAME_KANA</t>
  </si>
  <si>
    <t>**wskakunin_owner1_POST</t>
  </si>
  <si>
    <t>**wskakunin_owner1_POST_KANA</t>
  </si>
  <si>
    <t>cst_wskakunin_owner1_POST_KANA</t>
  </si>
  <si>
    <t>cst_wskakunin_owner1__space_KANA</t>
  </si>
  <si>
    <t>**wsjob_JOB_KIND</t>
  </si>
  <si>
    <t>cst_wsjob_JOB_KIND</t>
  </si>
  <si>
    <t>**wsjob_TARGET_KIND</t>
  </si>
  <si>
    <t>cst_wsjob_TARGET_KIND</t>
  </si>
  <si>
    <t>cst_wskakunin_SHINSEI_DATE</t>
  </si>
  <si>
    <t>**shinsei_ISSUE_DATE</t>
  </si>
  <si>
    <t>申請日</t>
  </si>
  <si>
    <t>シート名
※重複不可</t>
  </si>
  <si>
    <t>※最後にNoObjectを記述</t>
  </si>
  <si>
    <t>備考</t>
  </si>
  <si>
    <t>dSHEET</t>
  </si>
  <si>
    <t>DATA</t>
  </si>
  <si>
    <t>項目リスト</t>
  </si>
  <si>
    <t>NoObject</t>
  </si>
  <si>
    <t>※このシートをアクティブにして保存すること</t>
  </si>
  <si>
    <t>申請者名</t>
  </si>
  <si>
    <t>申請者</t>
  </si>
  <si>
    <t>cst_wskakunin_APPLICANT_NAME</t>
  </si>
  <si>
    <t>直前の確認申請情報</t>
  </si>
  <si>
    <t>確認済証交付者</t>
  </si>
  <si>
    <t>計画変更の概要</t>
  </si>
  <si>
    <t>**wskakunin_LAST_ISSUE_NO</t>
  </si>
  <si>
    <t>cst_wskakunin_LAST_ISSUE_NO</t>
  </si>
  <si>
    <t>**wskakunin_LAST_ISSUE_DATE</t>
  </si>
  <si>
    <t>cst_wskakunin_LAST_ISSUE_DATE</t>
  </si>
  <si>
    <t>**wskakunin_LAST_ISSUE_NAME</t>
  </si>
  <si>
    <t>cst_wskakunin_LAST_ISSUE_NAME</t>
  </si>
  <si>
    <t>**wskakunin_P1_HENKOU_GAIYOU</t>
  </si>
  <si>
    <t>cst_wskakunin_P1_HENKOU_GAIYOU</t>
  </si>
  <si>
    <t>ルート１</t>
  </si>
  <si>
    <t>　</t>
  </si>
  <si>
    <t>川崎市条例第6条第2項ただし書き許可：</t>
  </si>
  <si>
    <t>災害危険区域：</t>
  </si>
  <si>
    <t>都市計画法第53条許可：</t>
  </si>
  <si>
    <t>都市計画法第43条許可：</t>
  </si>
  <si>
    <t>風致地区：</t>
  </si>
  <si>
    <t>地区計画：</t>
  </si>
  <si>
    <t>法第53条の2第1項第3号の許可</t>
  </si>
  <si>
    <t>公告：</t>
  </si>
  <si>
    <t>（平成</t>
  </si>
  <si>
    <t>宅造検査済：　</t>
  </si>
  <si>
    <t>変更許可：</t>
  </si>
  <si>
    <t>開発完了公告：</t>
  </si>
  <si>
    <t>開発検査済：　</t>
  </si>
  <si>
    <t>開発変更許可：</t>
  </si>
  <si>
    <t>トップ</t>
  </si>
  <si>
    <t>確</t>
  </si>
  <si>
    <t>工</t>
  </si>
  <si>
    <t>昇</t>
  </si>
  <si>
    <t>建</t>
  </si>
  <si>
    <t>狭あい道路協議済：</t>
  </si>
  <si>
    <t>鉄骨部の部分において初めて工事を施工する階の建方工事</t>
  </si>
  <si>
    <t>法第43条ただし書き許可：</t>
  </si>
  <si>
    <t>工業専用</t>
  </si>
  <si>
    <t>基礎の配筋工事</t>
  </si>
  <si>
    <t>急傾斜地崩壊危険区域の許可：</t>
  </si>
  <si>
    <t>工業</t>
  </si>
  <si>
    <t>屋根版の配筋工事</t>
  </si>
  <si>
    <t>準工業</t>
  </si>
  <si>
    <t>屋根の小屋組工事及び構造耐力上主要な耐力壁の工事</t>
  </si>
  <si>
    <t>位置指定道路：</t>
  </si>
  <si>
    <t>商業</t>
  </si>
  <si>
    <t>屋根の小屋組工事及び構造耐力上主要な軸組の工事</t>
  </si>
  <si>
    <t>近隣商業</t>
  </si>
  <si>
    <t>２階の床及びこれを支持するはりに鉄筋を配置する工事の工程</t>
  </si>
  <si>
    <t>準住居</t>
  </si>
  <si>
    <t>１階を含む鉄骨建方工事</t>
  </si>
  <si>
    <t>宅地造成に関する工事許可：</t>
  </si>
  <si>
    <t>第2種住居</t>
  </si>
  <si>
    <t>構造計算書一式</t>
  </si>
  <si>
    <t>屋根工事</t>
  </si>
  <si>
    <t>第1種住居</t>
  </si>
  <si>
    <t>構造設計図書一式</t>
  </si>
  <si>
    <t>小屋組完了時</t>
  </si>
  <si>
    <t>第2種中高層住居専用</t>
  </si>
  <si>
    <t>道路側を除く敷地境界 1ｍ）</t>
  </si>
  <si>
    <t>設計図書一式（構造計算書を除く）</t>
  </si>
  <si>
    <t>２級</t>
  </si>
  <si>
    <t>（昭和</t>
  </si>
  <si>
    <t>全軸組緊結完了時</t>
  </si>
  <si>
    <t>第1種中高層住居専用</t>
  </si>
  <si>
    <t>敷地境界1ｍ）</t>
  </si>
  <si>
    <t>特-</t>
  </si>
  <si>
    <t>設計図書一式（構造設計図書を除く）</t>
  </si>
  <si>
    <t>東京都</t>
  </si>
  <si>
    <t>１級</t>
  </si>
  <si>
    <t>変</t>
  </si>
  <si>
    <t>●</t>
  </si>
  <si>
    <t>基礎配筋完了時</t>
  </si>
  <si>
    <t>開発許可：</t>
  </si>
  <si>
    <t>第2種低層住居専用</t>
  </si>
  <si>
    <t>道路境界1ｍ）</t>
  </si>
  <si>
    <t>■</t>
  </si>
  <si>
    <t>般-</t>
  </si>
  <si>
    <t>設計図書一式</t>
  </si>
  <si>
    <t>神奈川県</t>
  </si>
  <si>
    <t>第1種低層住居専用</t>
  </si>
  <si>
    <t xml:space="preserve">    )</t>
  </si>
  <si>
    <t>個室付浴場に係る公衆浴場、ヌードスタジオ、のぞき劇場、ストリップ劇場、専ら異性を同伴する客の休憩の用に供する施設、専ら性的好奇心をそそる写真その他の物品の販売を目的とする店舗その他これらに類するもの</t>
  </si>
  <si>
    <t>自転車駐車場</t>
  </si>
  <si>
    <t>物品販売業を営む店舗以外の店舗</t>
  </si>
  <si>
    <t>銀行の支店、損害保険代理店、宅地建物取引業を営む店舗そのたこれらに類するサービス業を営む店舗</t>
  </si>
  <si>
    <t>理髪店、美容院、クリーニング取次店、質屋、貸衣装屋、貸本屋その他これらに類するサービス業を営む店舗、洋服店、畳屋、建具屋、自転車店等</t>
  </si>
  <si>
    <t>飲食店</t>
  </si>
  <si>
    <t>百貨店、マーケットその他の物品販売業を営む店舗</t>
  </si>
  <si>
    <t>マージャン屋、ぱちんこ屋、射的場、勝馬投票券発売所、場外車券売場その他これらに類するもの又はカラオケボックスその他これらに類するもの</t>
  </si>
  <si>
    <t>体育館又はスポーツの練習場</t>
  </si>
  <si>
    <t>建築基準法施行令第130条の4第5号に基づき建設大臣が指定する施設</t>
  </si>
  <si>
    <t>公衆便所、休憩所又は路線バスの停留所の上家</t>
  </si>
  <si>
    <t>郵便法の規定により行う郵便の業務の用に供する施設</t>
  </si>
  <si>
    <t>児童福祉施設等</t>
  </si>
  <si>
    <t>老人ホーム、身体障害者福祉ホームその他これらに類するもの</t>
  </si>
  <si>
    <t>博物館その他これに類するもの</t>
  </si>
  <si>
    <t>図書館その他これに類するもの</t>
  </si>
  <si>
    <t>中学校、高等学校又は中等教育学校</t>
  </si>
  <si>
    <t>リスト</t>
  </si>
  <si>
    <t>用途の区分</t>
  </si>
  <si>
    <t>**wskakunin_dairi1__sikaku</t>
  </si>
  <si>
    <t>2.住居表示</t>
  </si>
  <si>
    <t>4.防火地域</t>
  </si>
  <si>
    <t>5.その他の区域</t>
  </si>
  <si>
    <t>6.道路</t>
  </si>
  <si>
    <t>幅員</t>
  </si>
  <si>
    <t>敷地と接している部分の長さ</t>
  </si>
  <si>
    <t>7.敷地面積</t>
  </si>
  <si>
    <t>建蔽率</t>
  </si>
  <si>
    <t>8.主要用途</t>
  </si>
  <si>
    <t>9.工事種別</t>
  </si>
  <si>
    <t>用途変更</t>
  </si>
  <si>
    <t>10.建築面積</t>
  </si>
  <si>
    <t>申請以外の部分</t>
  </si>
  <si>
    <t>合計</t>
  </si>
  <si>
    <t>11.延べ面積</t>
  </si>
  <si>
    <t>12.建築物の数</t>
  </si>
  <si>
    <t>13.建築物の高さ等</t>
  </si>
  <si>
    <t>他の建築物</t>
  </si>
  <si>
    <t>一部</t>
  </si>
  <si>
    <t>特例の適用の有無</t>
  </si>
  <si>
    <t>14.許可認定等</t>
  </si>
  <si>
    <t>19.備考</t>
  </si>
  <si>
    <t>□、■表示</t>
  </si>
  <si>
    <t>有無表示</t>
  </si>
  <si>
    <t>7.構造計算適合性判定</t>
  </si>
  <si>
    <t>適判名称</t>
  </si>
  <si>
    <t>適判所在地　都道府県</t>
  </si>
  <si>
    <t>適判所在地　市区町村</t>
  </si>
  <si>
    <t>提出状況チェック</t>
  </si>
  <si>
    <t>登録機関</t>
  </si>
  <si>
    <t>建築士登録番号</t>
  </si>
  <si>
    <t>**wskakunin_dairi1_SIKAKU__label</t>
  </si>
  <si>
    <t>**wskakunin_dairi1_KENTIKUSI_NO</t>
  </si>
  <si>
    <t>資格一括</t>
  </si>
  <si>
    <t>資格</t>
  </si>
  <si>
    <t>事務所 資格一括</t>
  </si>
  <si>
    <t>事務所　登録機関</t>
  </si>
  <si>
    <t>事務所　許可番号</t>
  </si>
  <si>
    <t>**wskakunin_dairi1_JIMU__sikaku</t>
  </si>
  <si>
    <t>**wskakunin_dairi1_JIMU_SIKAKU__label</t>
  </si>
  <si>
    <t>**wskakunin_dairi1_JIMU_NO</t>
  </si>
  <si>
    <t>cst_wskakunin_koutei02_KOUTEI_KAISUU</t>
  </si>
  <si>
    <t>cst_wskakunin_koutei02_KOUTEI_DATE</t>
  </si>
  <si>
    <t>cst_wskakunin_koutei02_KOUTEI_TEXT</t>
  </si>
  <si>
    <t>【ﾊ.郵便番号】</t>
  </si>
  <si>
    <t>【4.建築設備の設計に関し意見を聴いた者】</t>
  </si>
  <si>
    <t>【ﾎ.電話番号】</t>
  </si>
  <si>
    <t>【ﾍ.登録番号】</t>
  </si>
  <si>
    <t>【ﾄ.意見を聴いた設計図書】</t>
  </si>
  <si>
    <t>【ｲ.特定工程】</t>
  </si>
  <si>
    <t>事務所名＋氏名</t>
  </si>
  <si>
    <t>cst_wskakunin_sekkei1_jimuname_name</t>
  </si>
  <si>
    <t>cst_wskakunin_dairi1_KENTIKUSI_NO</t>
  </si>
  <si>
    <t>cst_wskakunin_dairi1_SIKAKU</t>
  </si>
  <si>
    <t>cst_wskakunin_dairi1_TOUROKU_KIKAN</t>
  </si>
  <si>
    <t>cst_wskakunin_dairi1_JIMU_TOUROKU_KIKAN</t>
  </si>
  <si>
    <t>cst_wskakunin_dairi1_JIMU_NO</t>
  </si>
  <si>
    <t>**wskakunin_sekkei1_JIMU__sikaku</t>
  </si>
  <si>
    <t>**wskakunin_sekkei1_JIMU_SIKAKU__label</t>
  </si>
  <si>
    <t>**wskakunin_sekkei1_JIMU_NO</t>
  </si>
  <si>
    <t>cst_wskakunin_sekkei1_JIMU_TOUROKU_KIKAN</t>
  </si>
  <si>
    <t>cst_wskakunin_sekkei1_JIMU_NO</t>
  </si>
  <si>
    <t>**wskakunin_sekkei1_SIKAKU__label</t>
  </si>
  <si>
    <t>**wskakunin_sekkei1_KENTIKUSI_NO</t>
  </si>
  <si>
    <t>cst_wskakunin_sekkei1__sikaku</t>
  </si>
  <si>
    <t>cst_wskakunin_sekkei1_SIKAKU</t>
  </si>
  <si>
    <t>cst_wskakunin_sekkei1_TOUROKU_KIKAN</t>
  </si>
  <si>
    <t>cst_wskakunin_sekkei1_KENTIKUSI_NO</t>
  </si>
  <si>
    <t>DOC</t>
  </si>
  <si>
    <t>設計図書</t>
  </si>
  <si>
    <t>設計者1</t>
  </si>
  <si>
    <t>設計者2</t>
  </si>
  <si>
    <t>設計者3</t>
  </si>
  <si>
    <t>設計者4</t>
  </si>
  <si>
    <t>【ﾛ.資格】構造設計一級建築士交付番号</t>
  </si>
  <si>
    <t>（代表となる建築設備の設計に関し意見を聴いた者）</t>
  </si>
  <si>
    <t>【ｲ.氏名】</t>
  </si>
  <si>
    <t>【ﾛ.勤務先】</t>
  </si>
  <si>
    <t>【ﾆ.所在地】</t>
  </si>
  <si>
    <t>（その他の建築設備の設計に関し意見を聴いた者１）</t>
  </si>
  <si>
    <t>（その他の建築設備の設計に関し意見を聴いた者２）</t>
  </si>
  <si>
    <t>（その他の建築設備の設計に関し意見を聴いた者３）</t>
  </si>
  <si>
    <t>建設業の許可</t>
  </si>
  <si>
    <t>登録番号</t>
  </si>
  <si>
    <t>－未申請チェック</t>
  </si>
  <si>
    <t>－申請不要チェック</t>
  </si>
  <si>
    <t>－提出済チェック</t>
  </si>
  <si>
    <t>－未提出チェック</t>
  </si>
  <si>
    <t>－提出不要チェック</t>
  </si>
  <si>
    <t>監理者1</t>
  </si>
  <si>
    <t>監理者2</t>
  </si>
  <si>
    <t>監理者3</t>
  </si>
  <si>
    <t>監理者4</t>
  </si>
  <si>
    <t>cst_wskakunin_tekihan01_TEKIHAN_STATE_mishinsei</t>
  </si>
  <si>
    <t>cst_wskakunin_tekihan01_TEKIHAN_STATE_shinseifuyou</t>
  </si>
  <si>
    <t>名称＋都道府県＋市区町村</t>
  </si>
  <si>
    <t>工事期間-年</t>
  </si>
  <si>
    <t>工事期間-月</t>
  </si>
  <si>
    <t>提出不要-理由</t>
  </si>
  <si>
    <t>**wskakunin_APPLICANT_NAME</t>
  </si>
  <si>
    <t>**wskakunin_PAGE1_ALTERATION_NOTE</t>
  </si>
  <si>
    <t>cst_wskakunin_PAGE1_ALTERATION_NOTE</t>
  </si>
  <si>
    <t>FAX番号</t>
  </si>
  <si>
    <t>**wskakunin_dairi1_FAX</t>
  </si>
  <si>
    <t>cst_wskakunin_dairi1_FAX</t>
  </si>
  <si>
    <t>※ 特定施工業者の検索</t>
  </si>
  <si>
    <t>cst_wskakunin_ecotekihan01_FUYOU_CAUSE</t>
  </si>
  <si>
    <t>8.建築物エネルギー消費性能確保計画の提出</t>
  </si>
  <si>
    <t>提出済-機関情報</t>
  </si>
  <si>
    <t>未提出-機関情報</t>
  </si>
  <si>
    <t>敷地面積</t>
  </si>
  <si>
    <t>敷地面積の合計</t>
  </si>
  <si>
    <t>地名地番</t>
  </si>
  <si>
    <t>最高の高さ</t>
  </si>
  <si>
    <t>階数-地上</t>
  </si>
  <si>
    <t>階数-地下</t>
  </si>
  <si>
    <t>特例の区分</t>
  </si>
  <si>
    <t>特例の有無</t>
  </si>
  <si>
    <t>ボックス-有</t>
  </si>
  <si>
    <t>ボックス-無</t>
  </si>
  <si>
    <t>cst_wskakunin_TOKUREI_TAKASA_box_on</t>
  </si>
  <si>
    <t>回数</t>
  </si>
  <si>
    <t>終了予定日</t>
  </si>
  <si>
    <t>特定工程</t>
  </si>
  <si>
    <t>区別</t>
  </si>
  <si>
    <t>第１号</t>
  </si>
  <si>
    <t>第２号</t>
  </si>
  <si>
    <t>第３号</t>
  </si>
  <si>
    <t>第４号</t>
  </si>
  <si>
    <t>【ｲ.建築基準法施工令第10条各号に掲げる建築物の区分</t>
  </si>
  <si>
    <t>【2.工事種別】</t>
  </si>
  <si>
    <t>【ﾊ.建築基準法第68条の20第２項の検査の特例に係る認証番号</t>
  </si>
  <si>
    <t>【6.工事着手年月日】</t>
  </si>
  <si>
    <t>【8.特定工程】</t>
  </si>
  <si>
    <t>【ﾛ.特定工程工事終了年月日】</t>
  </si>
  <si>
    <t>【ﾊ.検査対象床面積】</t>
  </si>
  <si>
    <t>【9.今回申請以前の中間検査】</t>
  </si>
  <si>
    <t>【ﾛ.中間検査合格証交付者】</t>
  </si>
  <si>
    <t>【ﾊ.中間検査合格証番号】</t>
  </si>
  <si>
    <t>【ﾆ.交付年月日】</t>
  </si>
  <si>
    <t>【10.今回申請以降の中間検査】</t>
  </si>
  <si>
    <t>【ﾛ.特定工程工事終了予定年月日】</t>
  </si>
  <si>
    <t>【11.確認以降の軽微な変更の概要】</t>
  </si>
  <si>
    <t>【ｲ.変更された設計図書の種類】</t>
  </si>
  <si>
    <t>【ﾛ.変更の概要】</t>
  </si>
  <si>
    <t>**wskakunin_sekkei1__address</t>
  </si>
  <si>
    <t>cst_wskakunin_sekkei1__address</t>
  </si>
  <si>
    <t>**wskakunin_sekkei1_TEL</t>
  </si>
  <si>
    <t>cst_wskakunin_sekkei1_TEL</t>
  </si>
  <si>
    <t>**wskakunin_sekkei1_DOC</t>
  </si>
  <si>
    <t>cst_wskakunin_sekkei1_DOC</t>
  </si>
  <si>
    <t>**wskakunin_sekkei2__sikaku</t>
  </si>
  <si>
    <t>cst_wskakunin_sekkei2__sikaku</t>
  </si>
  <si>
    <t>**wskakunin_sekkei2_SIKAKU__label</t>
  </si>
  <si>
    <t>cst_wskakunin_sekkei2_SIKAKU</t>
  </si>
  <si>
    <t>cst_wskakunin_sekkei2_TOUROKU_KIKAN</t>
  </si>
  <si>
    <t>**wskakunin_sekkei2_KENTIKUSI_NO</t>
  </si>
  <si>
    <t>cst_wskakunin_sekkei2_KENTIKUSI_NO</t>
  </si>
  <si>
    <t>**wskakunin_sekkei2_NAME</t>
  </si>
  <si>
    <t>cst_wskakunin_sekkei2_NAME</t>
  </si>
  <si>
    <t>**wskakunin_sekkei2_JIMU__sikaku</t>
  </si>
  <si>
    <t>cst_wskakunin_sekkei2_JIMU__sikaku</t>
  </si>
  <si>
    <t>**wskakunin_sekkei2_JIMU_SIKAKU__label</t>
  </si>
  <si>
    <t>cst_wskakunin_sekkei2_JIMU_TOUROKU_KIKAN</t>
  </si>
  <si>
    <t>**wskakunin_sekkei2_JIMU_NO</t>
  </si>
  <si>
    <t>cst_wskakunin_sekkei2_JIMU_NO</t>
  </si>
  <si>
    <t>**wskakunin_sekkei2_JIMU_NAME</t>
  </si>
  <si>
    <t>cst_wskakunin_sekkei2_JIMU_NAME</t>
  </si>
  <si>
    <t>cst_wskakunin_sekkei2_jimuname_name</t>
  </si>
  <si>
    <t>**wskakunin_sekkei2_ZIP</t>
  </si>
  <si>
    <t>cst_wskakunin_sekkei2_ZIP</t>
  </si>
  <si>
    <t>**wskakunin_sekkei2__address</t>
  </si>
  <si>
    <t>cst_wskakunin_sekkei2__address</t>
  </si>
  <si>
    <t>**wskakunin_sekkei2_TEL</t>
  </si>
  <si>
    <t>cst_wskakunin_sekkei2_TEL</t>
  </si>
  <si>
    <t>**wskakunin_sekkei2_DOC</t>
  </si>
  <si>
    <t>cst_wskakunin_sekkei2_DOC</t>
  </si>
  <si>
    <t>**wskakunin_sekkei3__sikaku</t>
  </si>
  <si>
    <t>cst_wskakunin_sekkei3__sikaku</t>
  </si>
  <si>
    <t>**wskakunin_sekkei3_SIKAKU__label</t>
  </si>
  <si>
    <t>cst_wskakunin_sekkei3_SIKAKU</t>
  </si>
  <si>
    <t>cst_wskakunin_sekkei3_TOUROKU_KIKAN</t>
  </si>
  <si>
    <t>**wskakunin_sekkei3_KENTIKUSI_NO</t>
  </si>
  <si>
    <t>cst_wskakunin_sekkei3_KENTIKUSI_NO</t>
  </si>
  <si>
    <t>**wskakunin_sekkei3_NAME</t>
  </si>
  <si>
    <t>cst_wskakunin_sekkei3_NAME</t>
  </si>
  <si>
    <t>**wskakunin_sekkei3_JIMU__sikaku</t>
  </si>
  <si>
    <t>cst_wskakunin_sekkei3_JIMU__sikaku</t>
  </si>
  <si>
    <t>**wskakunin_sekkei3_JIMU_SIKAKU__label</t>
  </si>
  <si>
    <t>cst_wskakunin_sekkei3_JIMU_TOUROKU_KIKAN</t>
  </si>
  <si>
    <t>**wskakunin_sekkei3_JIMU_NO</t>
  </si>
  <si>
    <t>cst_wskakunin_sekkei3_JIMU_NO</t>
  </si>
  <si>
    <t>**wskakunin_sekkei3_JIMU_NAME</t>
  </si>
  <si>
    <t>cst_wskakunin_sekkei3_JIMU_NAME</t>
  </si>
  <si>
    <t>cst_wskakunin_sekkei3_jimuname_name</t>
  </si>
  <si>
    <t>**wskakunin_sekkei3_ZIP</t>
  </si>
  <si>
    <t>cst_wskakunin_sekkei3_ZIP</t>
  </si>
  <si>
    <t>**wskakunin_sekkei3__address</t>
  </si>
  <si>
    <t>cst_wskakunin_sekkei3__address</t>
  </si>
  <si>
    <t>**wskakunin_sekkei3_TEL</t>
  </si>
  <si>
    <t>cst_wskakunin_sekkei3_TEL</t>
  </si>
  <si>
    <t>**wskakunin_sekkei3_DOC</t>
  </si>
  <si>
    <t>cst_wskakunin_sekkei3_DOC</t>
  </si>
  <si>
    <t>**wskakunin_sekkei4__sikaku</t>
  </si>
  <si>
    <t>cst_wskakunin_sekkei4__sikaku</t>
  </si>
  <si>
    <t>**wskakunin_sekkei4_SIKAKU__label</t>
  </si>
  <si>
    <t>cst_wskakunin_sekkei4_SIKAKU</t>
  </si>
  <si>
    <t>cst_wskakunin_sekkei4_TOUROKU_KIKAN</t>
  </si>
  <si>
    <t>**wskakunin_sekkei4_KENTIKUSI_NO</t>
  </si>
  <si>
    <t>cst_wskakunin_sekkei4_KENTIKUSI_NO</t>
  </si>
  <si>
    <t>**wskakunin_sekkei4_NAME</t>
  </si>
  <si>
    <t>cst_wskakunin_sekkei4_NAME</t>
  </si>
  <si>
    <t>**wskakunin_sekkei4_JIMU__sikaku</t>
  </si>
  <si>
    <t>cst_wskakunin_sekkei4_JIMU__sikaku</t>
  </si>
  <si>
    <t>**wskakunin_sekkei4_JIMU_SIKAKU__label</t>
  </si>
  <si>
    <t>cst_wskakunin_sekkei4_JIMU_TOUROKU_KIKAN</t>
  </si>
  <si>
    <t>**wskakunin_sekkei4_JIMU_NO</t>
  </si>
  <si>
    <t>cst_wskakunin_sekkei4_JIMU_NO</t>
  </si>
  <si>
    <t>**wskakunin_sekkei4_JIMU_NAME</t>
  </si>
  <si>
    <t>cst_wskakunin_sekkei4_JIMU_NAME</t>
  </si>
  <si>
    <t>cst_wskakunin_sekkei4_jimuname_name</t>
  </si>
  <si>
    <t>**wskakunin_sekkei4_ZIP</t>
  </si>
  <si>
    <t>cst_wskakunin_sekkei4_ZIP</t>
  </si>
  <si>
    <t>**wskakunin_sekkei4__address</t>
  </si>
  <si>
    <t>cst_wskakunin_sekkei4__address</t>
  </si>
  <si>
    <t>**wskakunin_sekkei4_TEL</t>
  </si>
  <si>
    <t>cst_wskakunin_sekkei4_TEL</t>
  </si>
  <si>
    <t>**wskakunin_sekkei4_DOC</t>
  </si>
  <si>
    <t>cst_wskakunin_sekkei4_DOC</t>
  </si>
  <si>
    <t>（構造設計一級建築士又は設備設計一級建築士である旨の表示をした者）</t>
  </si>
  <si>
    <t>建築士法第20条の２第１項の表示をした者</t>
  </si>
  <si>
    <t>**wskakunin_20kouzou101_NAME</t>
  </si>
  <si>
    <t>cst_wskakunin_20kouzou101_NAME</t>
  </si>
  <si>
    <t>建築士法第20条の２第３項の表示をした者</t>
  </si>
  <si>
    <t>**wskakunin_20kouzou301_NAME</t>
  </si>
  <si>
    <t>cst_wskakunin_20kouzou301_NAME</t>
  </si>
  <si>
    <t>建築士法第20条の３第１項の表示をした者</t>
  </si>
  <si>
    <t>**wskakunin_20setubi101_NAME</t>
  </si>
  <si>
    <t>cst_wskakunin_20setubi101_NAME</t>
  </si>
  <si>
    <t>【ﾛ.資格】設備設計一級建築士交付番号</t>
  </si>
  <si>
    <t>**wskakunin_20setubi102_NAME</t>
  </si>
  <si>
    <t>cst_wskakunin_20setubi102_NAME</t>
  </si>
  <si>
    <t>**wskakunin_20setubi103_NAME</t>
  </si>
  <si>
    <t>cst_wskakunin_20setubi103_NAME</t>
  </si>
  <si>
    <t>建築士法第20条の３第３項の表示をした者</t>
  </si>
  <si>
    <t>**wskakunin_20setubi301_NAME</t>
  </si>
  <si>
    <t>cst_wskakunin_20setubi301_NAME</t>
  </si>
  <si>
    <t>**wskakunin_20setubi302_NAME</t>
  </si>
  <si>
    <t>cst_wskakunin_20setubi302_NAME</t>
  </si>
  <si>
    <t>**wskakunin_20setubi303_NAME</t>
  </si>
  <si>
    <t>cst_wskakunin_20setubi303_NAME</t>
  </si>
  <si>
    <t>（代表となる工事監理者）</t>
  </si>
  <si>
    <t>**wskakunin_kanri1__sikaku</t>
  </si>
  <si>
    <t>cst_wskakunin_kanri1__sikaku</t>
  </si>
  <si>
    <t>**wskakunin_kanri1_SIKAKU__label</t>
  </si>
  <si>
    <t>cst_wskakunin_kanri1_TOUROKU_KIKAN</t>
  </si>
  <si>
    <t>**wskakunin_kanri1_KENTIKUSI_NO</t>
  </si>
  <si>
    <t>cst_wskakunin_kanri1_KENTIKUSI_NO</t>
  </si>
  <si>
    <t>**wskakunin_kanri1_NAME</t>
  </si>
  <si>
    <t>cst_wskakunin_kanri1_NAME</t>
  </si>
  <si>
    <t>**wskakunin_kanri1_JIMU__sikaku</t>
  </si>
  <si>
    <t>cst_wskakunin_kanri1_JIMU__sikaku</t>
  </si>
  <si>
    <t>**wskakunin_kanri1_JIMU_SIKAKU__label</t>
  </si>
  <si>
    <t>cst_wskakunin_kanri1_JIMU_TOUROKU_KIKAN</t>
  </si>
  <si>
    <t>**wskakunin_kanri1_JIMU_NO</t>
  </si>
  <si>
    <t>cst_wskakunin_kanri1_JIMU_NO</t>
  </si>
  <si>
    <t>**wskakunin_kanri1_JIMU_NAME</t>
  </si>
  <si>
    <t>cst_wskakunin_kanri1_JIMU_NAME</t>
  </si>
  <si>
    <t>**wskakunin_kanri1_ZIP</t>
  </si>
  <si>
    <t>cst_wskakunin_kanri1_ZIP</t>
  </si>
  <si>
    <t>**wskakunin_kanri1__address</t>
  </si>
  <si>
    <t>cst_wskakunin_kanri1__address</t>
  </si>
  <si>
    <t>**wskakunin_kanri1_TEL</t>
  </si>
  <si>
    <t>cst_wskakunin_kanri1_TEL</t>
  </si>
  <si>
    <t>**wskakunin_kanri1_DOC</t>
  </si>
  <si>
    <t>cst_wskakunin_kanri1_DOC</t>
  </si>
  <si>
    <t>**wskakunin_kanri2__sikaku</t>
  </si>
  <si>
    <t>cst_wskakunin_kanri2__sikaku</t>
  </si>
  <si>
    <t>**wskakunin_kanri2_SIKAKU__label</t>
  </si>
  <si>
    <t>cst_wskakunin_kanri2_TOUROKU_KIKAN</t>
  </si>
  <si>
    <t>**wskakunin_kanri2_KENTIKUSI_NO</t>
  </si>
  <si>
    <t>cst_wskakunin_kanri2_KENTIKUSI_NO</t>
  </si>
  <si>
    <t>**wskakunin_kanri2_NAME</t>
  </si>
  <si>
    <t>cst_wskakunin_kanri2_NAME</t>
  </si>
  <si>
    <t>**wskakunin_kanri2_JIMU__sikaku</t>
  </si>
  <si>
    <t>cst_wskakunin_kanri2_JIMU__sikaku</t>
  </si>
  <si>
    <t>**wskakunin_kanri2_JIMU_SIKAKU__label</t>
  </si>
  <si>
    <t>cst_wskakunin_kanri2_JIMU_TOUROKU_KIKAN</t>
  </si>
  <si>
    <t>**wskakunin_kanri2_JIMU_NO</t>
  </si>
  <si>
    <t>cst_wskakunin_kanri2_JIMU_NO</t>
  </si>
  <si>
    <t>**wskakunin_kanri2_JIMU_NAME</t>
  </si>
  <si>
    <t>cst_wskakunin_kanri2_JIMU_NAME</t>
  </si>
  <si>
    <t>**wskakunin_kanri2_ZIP</t>
  </si>
  <si>
    <t>cst_wskakunin_kanri2_ZIP</t>
  </si>
  <si>
    <t>**wskakunin_kanri2__address</t>
  </si>
  <si>
    <t>cst_wskakunin_kanri2__address</t>
  </si>
  <si>
    <t>**wskakunin_kanri2_TEL</t>
  </si>
  <si>
    <t>cst_wskakunin_kanri2_TEL</t>
  </si>
  <si>
    <t>**wskakunin_kanri2_DOC</t>
  </si>
  <si>
    <t>cst_wskakunin_kanri2_DOC</t>
  </si>
  <si>
    <t>**wskakunin_kanri3__sikaku</t>
  </si>
  <si>
    <t>cst_wskakunin_kanri3__sikaku</t>
  </si>
  <si>
    <t>**wskakunin_kanri3_SIKAKU__label</t>
  </si>
  <si>
    <t>cst_wskakunin_kanri3_TOUROKU_KIKAN</t>
  </si>
  <si>
    <t>**wskakunin_kanri3_KENTIKUSI_NO</t>
  </si>
  <si>
    <t>cst_wskakunin_kanri3_KENTIKUSI_NO</t>
  </si>
  <si>
    <t>**wskakunin_kanri3_NAME</t>
  </si>
  <si>
    <t>cst_wskakunin_kanri3_NAME</t>
  </si>
  <si>
    <t>**wskakunin_kanri3_JIMU__sikaku</t>
  </si>
  <si>
    <t>cst_wskakunin_kanri3_JIMU__sikaku</t>
  </si>
  <si>
    <t>**wskakunin_kanri3_JIMU_SIKAKU__label</t>
  </si>
  <si>
    <t>cst_wskakunin_kanri3_JIMU_TOUROKU_KIKAN</t>
  </si>
  <si>
    <t>**wskakunin_kanri3_JIMU_NO</t>
  </si>
  <si>
    <t>cst_wskakunin_kanri3_JIMU_NO</t>
  </si>
  <si>
    <t>**wskakunin_kanri3_JIMU_NAME</t>
  </si>
  <si>
    <t>cst_wskakunin_kanri3_JIMU_NAME</t>
  </si>
  <si>
    <t>**wskakunin_kanri3_ZIP</t>
  </si>
  <si>
    <t>cst_wskakunin_kanri3_ZIP</t>
  </si>
  <si>
    <t>**wskakunin_kanri3__address</t>
  </si>
  <si>
    <t>cst_wskakunin_kanri3__address</t>
  </si>
  <si>
    <t>**wskakunin_kanri3_TEL</t>
  </si>
  <si>
    <t>cst_wskakunin_kanri3_TEL</t>
  </si>
  <si>
    <t>**wskakunin_kanri3_DOC</t>
  </si>
  <si>
    <t>cst_wskakunin_kanri3_DOC</t>
  </si>
  <si>
    <t>**wskakunin_kanri4__sikaku</t>
  </si>
  <si>
    <t>cst_wskakunin_kanri4__sikaku</t>
  </si>
  <si>
    <t>**wskakunin_kanri4_SIKAKU__label</t>
  </si>
  <si>
    <t>cst_wskakunin_kanri4_TOUROKU_KIKAN</t>
  </si>
  <si>
    <t>**wskakunin_kanri4_KENTIKUSI_NO</t>
  </si>
  <si>
    <t>cst_wskakunin_kanri4_KENTIKUSI_NO</t>
  </si>
  <si>
    <t>**wskakunin_kanri4_NAME</t>
  </si>
  <si>
    <t>cst_wskakunin_kanri4_NAME</t>
  </si>
  <si>
    <t>**wskakunin_kanri4_JIMU__sikaku</t>
  </si>
  <si>
    <t>cst_wskakunin_kanri4_JIMU__sikaku</t>
  </si>
  <si>
    <t>**wskakunin_kanri4_JIMU_SIKAKU__label</t>
  </si>
  <si>
    <t>cst_wskakunin_kanri4_JIMU_TOUROKU_KIKAN</t>
  </si>
  <si>
    <t>**wskakunin_kanri4_JIMU_NO</t>
  </si>
  <si>
    <t>cst_wskakunin_kanri4_JIMU_NO</t>
  </si>
  <si>
    <t>**wskakunin_kanri4_JIMU_NAME</t>
  </si>
  <si>
    <t>cst_wskakunin_kanri4_JIMU_NAME</t>
  </si>
  <si>
    <t>**wskakunin_kanri4_ZIP</t>
  </si>
  <si>
    <t>cst_wskakunin_kanri4_ZIP</t>
  </si>
  <si>
    <t>**wskakunin_kanri4__address</t>
  </si>
  <si>
    <t>cst_wskakunin_kanri4__address</t>
  </si>
  <si>
    <t>**wskakunin_kanri4_TEL</t>
  </si>
  <si>
    <t>cst_wskakunin_kanri4_TEL</t>
  </si>
  <si>
    <t>**wskakunin_kanri4_DOC</t>
  </si>
  <si>
    <t>cst_wskakunin_kanri4_DOC</t>
  </si>
  <si>
    <t>**wskakunin_sekou1_NAME</t>
  </si>
  <si>
    <t>cst_wskakunin_sekou1_NAME</t>
  </si>
  <si>
    <t>**wskakunin_sekou1_SEKOU__sikaku</t>
  </si>
  <si>
    <t>cst_wskakunin_sekou1_SEKOU__sikaku</t>
  </si>
  <si>
    <t>**wskakunin_sekou1_JIMU_NAME</t>
  </si>
  <si>
    <t>cst_wskakunin_sekou1_JIMU_NAME</t>
  </si>
  <si>
    <t>**wskakunin_sekou1_ZIP</t>
  </si>
  <si>
    <t>cst_wskakunin_sekou1_ZIP</t>
  </si>
  <si>
    <t>**wskakunin_sekou1__address</t>
  </si>
  <si>
    <t>cst_wskakunin_sekou1__address</t>
  </si>
  <si>
    <t>**wskakunin_sekou1_TEL</t>
  </si>
  <si>
    <t>cst_wskakunin_sekou1_TEL</t>
  </si>
  <si>
    <t>一建設（前方一致で判定）</t>
  </si>
  <si>
    <t>cst_wskakunin_sekou1__hajime</t>
  </si>
  <si>
    <t>※showsheetflagではSEARCH関数は使用不可</t>
  </si>
  <si>
    <t>ケイアイスター</t>
  </si>
  <si>
    <t>cst_wskakunin_sekou1__kistar</t>
  </si>
  <si>
    <t>**wskakunin_BUILD_NAME</t>
  </si>
  <si>
    <t>cst_wskakunin_BUILD_NAME</t>
  </si>
  <si>
    <t>チェック</t>
  </si>
  <si>
    <t>**wskakunin_tekihan01_TEKIHAN_STATE</t>
  </si>
  <si>
    <t>－申請済チェック</t>
  </si>
  <si>
    <t>cst_wskakunin_tekihan01_TEKIHAN_STATE_shinsei</t>
  </si>
  <si>
    <t>**wskakunin_tekihan01_TEKIHAN_KIKAN_NAME</t>
  </si>
  <si>
    <t>cst_wskakunin_tekihan01_TEKIHAN_KIKAN_NAME</t>
  </si>
  <si>
    <t>**wskakunin_tekihan01_TEKIHAN_KIKAN_KEN__ken</t>
  </si>
  <si>
    <t>cst_wskakunin_tekihan01_TEKIHAN_KIKAN_KEN__ken</t>
  </si>
  <si>
    <t>**wskakunin_tekihan01_TEKIHAN_KIKAN_ADDRESS</t>
  </si>
  <si>
    <t>cst_wskakunin_tekihan01_TEKIHAN_KIKAN_ADDRESS</t>
  </si>
  <si>
    <t>cst_wskakunin_tekihan01_TEKIHAN_KIKAN_info</t>
  </si>
  <si>
    <t>**wskakunin_tekihan02_TEKIHAN_KIKAN_NAME</t>
  </si>
  <si>
    <t>cst_wskakunin_tekihan02_TEKIHAN_KIKAN_NAME</t>
  </si>
  <si>
    <t>**wskakunin_tekihan02_TEKIHAN_KIKAN_KEN__ken</t>
  </si>
  <si>
    <t>cst_wskakunin_tekihan02_TEKIHAN_KIKAN_KEN__ken</t>
  </si>
  <si>
    <t>**wskakunin_tekihan02_TEKIHAN_KIKAN_ADDRESS</t>
  </si>
  <si>
    <t>cst_wskakunin_tekihan02_TEKIHAN_KIKAN_ADDRESS</t>
  </si>
  <si>
    <t>cst_wskakunin_tekihan02_TEKIHAN_KIKAN_info</t>
  </si>
  <si>
    <t>**wskakunin_ecotekihan01_TEKIHAN_STATE</t>
  </si>
  <si>
    <t>cst_wskakunin_ecotekihan01_TEKIHAN_STATE_teisyutu</t>
  </si>
  <si>
    <t>cst_wskakunin_ecotekihan01_TEKIHAN_STATE_miteisyutu</t>
  </si>
  <si>
    <t>cst_wskakunin_ecotekihan01_TEKIHAN_STATE_teisyutufuyou</t>
  </si>
  <si>
    <t>**wskakunin_ecotekihan01_TEKIHAN_KIKAN_NAME</t>
  </si>
  <si>
    <t>cst_wskakunin_ecotekihan01_TEKIHAN_KIKAN_NAME</t>
  </si>
  <si>
    <t>**wskakunin_ecotekihan01_TEKIHAN_KIKAN_KEN__ken</t>
  </si>
  <si>
    <t>cst_wskakunin_ecotekihan01_TEKIHAN_KIKAN_KEN__ken</t>
  </si>
  <si>
    <t>**wskakunin_ecotekihan01_TEKIHAN_KIKAN_ADDRESS</t>
  </si>
  <si>
    <t>cst_wskakunin_ecotekihan01_TEKIHAN_KIKAN_ADDRESS</t>
  </si>
  <si>
    <t>cst_wskakunin_ecotekihan01_teisyutu_kikan_info</t>
  </si>
  <si>
    <t>cst_wskakunin_ecotekihan01_miteisyutu_kikan_info</t>
  </si>
  <si>
    <t>**wskakunin_ecotekihan01_FUYOU_CAUSE</t>
  </si>
  <si>
    <t>**wskakunin_p4_1_youto1_YOUTO</t>
  </si>
  <si>
    <t>cst_wskakunin_p4_1_youto1_YOUTO</t>
  </si>
  <si>
    <t>区分</t>
  </si>
  <si>
    <t>**wskakunin_p4_1_youto1_YOUTO_CODE</t>
  </si>
  <si>
    <t>cst_wskakunin_p4_1_youto1_YOUTO_CODE</t>
  </si>
  <si>
    <t>事務所等</t>
  </si>
  <si>
    <t>cst_wskakunin_p4_1_youto1_YOUTO_1</t>
  </si>
  <si>
    <t>物品販売業を営む店舗等</t>
  </si>
  <si>
    <t>cst_wskakunin_p4_1_youto1_YOUTO_2</t>
  </si>
  <si>
    <t>工場、作業場</t>
  </si>
  <si>
    <t>cst_wskakunin_p4_1_youto1_YOUTO_3</t>
  </si>
  <si>
    <t>倉庫</t>
  </si>
  <si>
    <t>cst_wskakunin_p4_1_youto1_YOUTO_4</t>
  </si>
  <si>
    <t>学校</t>
  </si>
  <si>
    <t>cst_wskakunin_p4_1_youto1_YOUTO_5</t>
  </si>
  <si>
    <t>病院、診療所</t>
  </si>
  <si>
    <t>cst_wskakunin_p4_1_youto1_YOUTO_6</t>
  </si>
  <si>
    <t>cst_wskakunin_p4_1_youto1_YOUTO_9</t>
  </si>
  <si>
    <t>**wskakunin_p4_1__kouji</t>
  </si>
  <si>
    <t>cst_wskakunin_p4_1__kouji</t>
  </si>
  <si>
    <t>**wskakunin_p4_1_KAISU_TIKAI_NOZOKU</t>
  </si>
  <si>
    <t>cst_wskakunin_p4_1_KAISU_TIKAI_NOZOKU</t>
  </si>
  <si>
    <t>**wskakunin_p4_1_KAISU_TIKAI</t>
  </si>
  <si>
    <t>cst_wskakunin_p4_1_KAISU_TIKAI</t>
  </si>
  <si>
    <t>**wskakunin_p4_1_KOUZOU1</t>
  </si>
  <si>
    <t>cst_wskakunin_p4_1_KOUZOU1</t>
  </si>
  <si>
    <t>**wskakunin_p4_1_KOUZOU2</t>
  </si>
  <si>
    <t>cst_wskakunin_p4_1_KOUZOU2</t>
  </si>
  <si>
    <t>**wskakunin_p4_1_TAKASA_MAX</t>
  </si>
  <si>
    <t>cst_wskakunin_p4_1_TAKASA_MAX</t>
  </si>
  <si>
    <t>**wskakunin_p4_1_TAKASA_KEN_MAX</t>
  </si>
  <si>
    <t>cst_wskakunin_p4_1_TAKASA_KEN_MAX</t>
  </si>
  <si>
    <t>1.地名地番</t>
  </si>
  <si>
    <t>**wskakunin_BUILD__address</t>
  </si>
  <si>
    <t>cst_wskakunin_BUILD__address</t>
  </si>
  <si>
    <t>**wskakunin_BUILD_KEN__ken</t>
  </si>
  <si>
    <t>cst_wskakunin_BUILD_KEN__ken</t>
  </si>
  <si>
    <t>**wskakunin_BUILD_JYUKYO_ADDRESS</t>
  </si>
  <si>
    <t>cst_wskakunin_BUILD_JYUKYO_ADDRESS</t>
  </si>
  <si>
    <t>3.都市計画区域</t>
  </si>
  <si>
    <t>**wskakunin_KUIKI_TOSI</t>
  </si>
  <si>
    <t>cst_wskakunin_KUIKI_TOSI</t>
  </si>
  <si>
    <t>**wskakunin__kuiki</t>
  </si>
  <si>
    <t>cst_wskakunin__kuiki</t>
  </si>
  <si>
    <t>**wskakunin_KUIKI_SIGAIKA</t>
  </si>
  <si>
    <t>cst_wskakunin_KUIKI_SIGAIKA</t>
  </si>
  <si>
    <t>**wskakunin__tosi_kuiki</t>
  </si>
  <si>
    <t>cst_wskakunin__tosi_kuiki</t>
  </si>
  <si>
    <t>**wskakunin_KUIKI_TYOSEI</t>
  </si>
  <si>
    <t>cst_wskakunin_KUIKI_TYOSEI</t>
  </si>
  <si>
    <t>**wskakunin_KUIKI_HISETTEI</t>
  </si>
  <si>
    <t>cst_wskakunin_KUIKI_HISETTEI</t>
  </si>
  <si>
    <t>**wskakunin_KUIKI_JYUN_TOSHI</t>
  </si>
  <si>
    <t>cst_wskakunin_KUIKI_JYUN_TOSHI</t>
  </si>
  <si>
    <t>**wskakunin_KUIKI_KUIKIGAI</t>
  </si>
  <si>
    <t>cst_wskakunin_KUIKI_KUIKIGAI</t>
  </si>
  <si>
    <t>**wskakunin__bouka</t>
  </si>
  <si>
    <t>cst_wskakunin__bouka</t>
  </si>
  <si>
    <t>**wskakunin_BOUKA_BOUKA</t>
  </si>
  <si>
    <t>cst_wskakunin_BOUKA_BOUKA</t>
  </si>
  <si>
    <t>**wskakunin_BOUKA_JYUN_BOUKA</t>
  </si>
  <si>
    <t>cst_wskakunin_BOUKA_JYUN_BOUKA</t>
  </si>
  <si>
    <t>**wskakunin_BOUKA_NASI</t>
  </si>
  <si>
    <t>cst_wskakunin_BOUKA_NASI</t>
  </si>
  <si>
    <t>**wskakunin_BOUKA_22JYO</t>
  </si>
  <si>
    <t>cst_wskakunin_BOUKA_22JYO</t>
  </si>
  <si>
    <t>**wskakunin_SONOTA_KUIKI</t>
  </si>
  <si>
    <t>cst_wskakunin_wskakunin_SONOTA_KUIKI</t>
  </si>
  <si>
    <t>**wskakunin_DOURO_FUKUIN</t>
  </si>
  <si>
    <t>cst_wskakunin_DOURO_FUKUIN</t>
  </si>
  <si>
    <t>**wskakunin_DOURO_NAGASA</t>
  </si>
  <si>
    <t>cst_wskakunin_DOURO_NAGASA</t>
  </si>
  <si>
    <t>（1）A</t>
  </si>
  <si>
    <t>**wskakunin_SHIKITI_MENSEKI_1A</t>
  </si>
  <si>
    <t>cst_wskakunin_SHIKITI_MENSEKI_1A</t>
  </si>
  <si>
    <t>（1）B</t>
  </si>
  <si>
    <t>**wskakunin_SHIKITI_MENSEKI_1B</t>
  </si>
  <si>
    <t>cst_wskakunin_SHIKITI_MENSEKI_1B</t>
  </si>
  <si>
    <t>（1）C</t>
  </si>
  <si>
    <t>**wskakunin_SHIKITI_MENSEKI_1C</t>
  </si>
  <si>
    <t>cst_wskakunin_SHIKITI_MENSEKI_1C</t>
  </si>
  <si>
    <t>（1）D</t>
  </si>
  <si>
    <t>**wskakunin_SHIKITI_MENSEKI_1D</t>
  </si>
  <si>
    <t>cst_wskakunin_SHIKITI_MENSEKI_1D</t>
  </si>
  <si>
    <t>（2）A</t>
  </si>
  <si>
    <t>**wskakunin_SHIKITI_MENSEKI_2A</t>
  </si>
  <si>
    <t>cst_wskakunin_SHIKITI_MENSEKI_2A</t>
  </si>
  <si>
    <t>（2）B</t>
  </si>
  <si>
    <t>**wskakunin_SHIKITI_MENSEKI_2B</t>
  </si>
  <si>
    <t>cst_wskakunin_SHIKITI_MENSEKI_2B</t>
  </si>
  <si>
    <t>（2）C</t>
  </si>
  <si>
    <t>**wskakunin_SHIKITI_MENSEKI_2C</t>
  </si>
  <si>
    <t>cst_wskakunin_SHIKITI_MENSEKI_2C</t>
  </si>
  <si>
    <t>（2）D</t>
  </si>
  <si>
    <t>**wskakunin_SHIKITI_MENSEKI_2D</t>
  </si>
  <si>
    <t>cst_wskakunin_SHIKITI_MENSEKI_2D</t>
  </si>
  <si>
    <t>A</t>
  </si>
  <si>
    <t>**wskakunin_YOUTO_TIIKI_A</t>
  </si>
  <si>
    <t>cst_wskakunin_YOUTO_TIIKI_A</t>
  </si>
  <si>
    <t>B</t>
  </si>
  <si>
    <t>**wskakunin_YOUTO_TIIKI_B</t>
  </si>
  <si>
    <t>cst_wskakunin_YOUTO_TIIKI_B</t>
  </si>
  <si>
    <t>C</t>
  </si>
  <si>
    <t>**wskakunin_YOUTO_TIIKI_C</t>
  </si>
  <si>
    <t>cst_wskakunin_YOUTO_TIIKI_C</t>
  </si>
  <si>
    <t>D</t>
  </si>
  <si>
    <t>**wskakunin_YOUTO_TIIKI_D</t>
  </si>
  <si>
    <t>cst_wskakunin_YOUTO_TIIKI_D</t>
  </si>
  <si>
    <t>**wskakunin_YOUSEKI_RITU_A</t>
  </si>
  <si>
    <t>cst_wskakunin_YOUSEKI_RITU_A</t>
  </si>
  <si>
    <t>**wskakunin_YOUSEKI_RITU_B</t>
  </si>
  <si>
    <t>cst_wskakunin_YOUSEKI_RITU_B</t>
  </si>
  <si>
    <t>**wskakunin_YOUSEKI_RITU_C</t>
  </si>
  <si>
    <t>cst_wskakunin_YOUSEKI_RITU_C</t>
  </si>
  <si>
    <t>**wskakunin_YOUSEKI_RITU_D</t>
  </si>
  <si>
    <t>cst_wskakunin_YOUSEKI_RITU_D</t>
  </si>
  <si>
    <t>**wskakunin_KENPEI_RITU_A</t>
  </si>
  <si>
    <t>cst_wskakunin_KENPEI_RITU_A</t>
  </si>
  <si>
    <t>**wskakunin_KENPEI_RITU_B</t>
  </si>
  <si>
    <t>cst_wskakunin_KENPEI_RITU_B</t>
  </si>
  <si>
    <t>**wskakunin_KENPEI_RITU_C</t>
  </si>
  <si>
    <t>cst_wskakunin_KENPEI_RITU_C</t>
  </si>
  <si>
    <t>**wskakunin_KENPEI_RITU_D</t>
  </si>
  <si>
    <t>cst_wskakunin_KENPEI_RITU_D</t>
  </si>
  <si>
    <t>（1）</t>
  </si>
  <si>
    <t>**wskakunin_SHIKITI_MENSEKI_1_TOTAL</t>
  </si>
  <si>
    <t>cst_wskakunin_SHIKITI_MENSEKI_1_TOTAL</t>
  </si>
  <si>
    <t>（2）</t>
  </si>
  <si>
    <t>**wskakunin_SHIKITI_MENSEKI_2_TOTAL</t>
  </si>
  <si>
    <t>cst_wskakunin_SHIKITI_MENSEKI_2_TOTAL</t>
  </si>
  <si>
    <t>延べ面積を敷地面積で除した数値</t>
  </si>
  <si>
    <t>**wskakunin_LIMIT_YOUSEKI_RITU</t>
  </si>
  <si>
    <t>cst_wskakunin_LIMIT_YOUSEKI_RITU</t>
  </si>
  <si>
    <t>建築面積を敷地面積で除した数値</t>
  </si>
  <si>
    <t>**wskakunin_LIMIT_KENPEI_RITU</t>
  </si>
  <si>
    <t>cst_wskakunin_LIMIT_KENPEI_RITU</t>
  </si>
  <si>
    <t>**wskakunin_SHIKITI_MENSEKI_BIKOU</t>
  </si>
  <si>
    <t>cst_wskakunin_SHIKITI_MENSEKI_BIKOU</t>
  </si>
  <si>
    <t>CODE</t>
  </si>
  <si>
    <t>**wskakunin_YOUTO_CODE</t>
  </si>
  <si>
    <t>cst_wskakunin_YOUTO_CODE</t>
  </si>
  <si>
    <t>**wskakunin_YOUTO</t>
  </si>
  <si>
    <t>cst_wskakunin_YOUTO</t>
  </si>
  <si>
    <t>**wskakunin__kouji</t>
  </si>
  <si>
    <t>cst_wskakunin__kouji</t>
  </si>
  <si>
    <t>**wskakunin_KOUJI_SINTIKU</t>
  </si>
  <si>
    <t>**wskakunin_KOUJI_ZOUTIKU</t>
  </si>
  <si>
    <t>**wskakunin_KOUJI_KAITIKU</t>
  </si>
  <si>
    <t>**wskakunin_KOUJI_ITEN</t>
  </si>
  <si>
    <t>**wskakunin_KOUJI_YOUTOHENKOU</t>
  </si>
  <si>
    <t>大規模の修繕</t>
  </si>
  <si>
    <t>**wskakunin_KOUJI_DAI_SYUUZEN</t>
  </si>
  <si>
    <t>大規模の模様替</t>
  </si>
  <si>
    <t>**wskakunin_KOUJI_DAI_MOYOUGAE</t>
  </si>
  <si>
    <t>建築設備の設置</t>
  </si>
  <si>
    <t>**wskakuninKOUJI_SETUBI</t>
  </si>
  <si>
    <t>申請部分</t>
  </si>
  <si>
    <t>**wskakunin_KENTIKU_MENSEKI_SHINSEI</t>
  </si>
  <si>
    <t>cst_wskakunin_KENTIKU_MENSEKI_SHINSEI</t>
  </si>
  <si>
    <t>**wskakunin_KENTIKU_MENSEKI_IGAI</t>
  </si>
  <si>
    <t>cst_wskakunin_KENTIKU_MENSEKI_IGAI</t>
  </si>
  <si>
    <t>**wskakunin_KENTIKU_MENSEKI_TOTAL</t>
  </si>
  <si>
    <t>cst_wskakunin_KENTIKU_MENSEKI_TOTAL</t>
  </si>
  <si>
    <t>**wskakunin_KENPEI_RITU</t>
  </si>
  <si>
    <t>cst_wskakunin_KENPEI_RITU</t>
  </si>
  <si>
    <t>**wskakunin_NOBE_MENSEKI_BUILD_SHINSEI</t>
  </si>
  <si>
    <t>cst_wskakunin_NOBE_MENSEKI_BUILD_SHINSEI</t>
  </si>
  <si>
    <t>**wskakunin_NOBE_MENSEKI_BUILD_IGAI</t>
  </si>
  <si>
    <t>cst_wskakunin_NOBE_MENSEKI_BUILD_IGAI</t>
  </si>
  <si>
    <t>**wskakunin_NOBE_MENSEKI_BUILD_TOTAL</t>
  </si>
  <si>
    <t>cst_wskakunin_NOBE_MENSEKI_BUILD_TOTAL</t>
  </si>
  <si>
    <t>**wskakunin_NOBE_MENSEKI_TIKAI_SHINSEI</t>
  </si>
  <si>
    <t>cst_wskakunin_NOBE_MENSEKI_TIKAI_SHINSEI</t>
  </si>
  <si>
    <t>**wskakunin_NOBE_MENSEKI_TIKAI_IGAI</t>
  </si>
  <si>
    <t>cst_wskakunin_NOBE_MENSEKI_TIKAI_IGAI</t>
  </si>
  <si>
    <t>**wskakunin_NOBE_MENSEKI_TIKAI_TOTAL</t>
  </si>
  <si>
    <t>cst_wskakunin_NOBE_MENSEKI_TIKAI_TOTAL</t>
  </si>
  <si>
    <t>**wskakunin_NOBE_MENSEKI_SYOUKOURO_SHINSEI</t>
  </si>
  <si>
    <t>cst_wskakunin_NOBE_MENSEKI_SYOUKOURO_SHINSEI</t>
  </si>
  <si>
    <t>**wskakunin_NOBE_MENSEKI_SYOUKOURO_IGAI</t>
  </si>
  <si>
    <t>cst_wskakunin_NOBE_MENSEKI_SYOUKOURO_IGAI</t>
  </si>
  <si>
    <t>**wskakunin_NOBE_MENSEKI_SYOUKOURO_TOTAL</t>
  </si>
  <si>
    <t>cst_wskakunin_NOBE_MENSEKI_SYOUKOURO_TOTAL</t>
  </si>
  <si>
    <t>**wskakunin_NOBE_MENSEKI_KYOYOU_SHINSEI</t>
  </si>
  <si>
    <t>cst_wskakunin_NOBE_MENSEKI_KYOYOU_SHINSEI</t>
  </si>
  <si>
    <t>**wskakunin_NOBE_MENSEKI_KYOYOU_IGAI</t>
  </si>
  <si>
    <t>cst_wskakunin_NOBE_MENSEKI_KYOYOU_IGAI</t>
  </si>
  <si>
    <t>**wskakunin_NOBE_MENSEKI_KYOYOU_TOTAL</t>
  </si>
  <si>
    <t>cst_wskakunin_NOBE_MENSEKI_KYOYOU_TOTAL</t>
  </si>
  <si>
    <t>**wskakunin_NOBE_MENSEKI_SYAKO_SHINSEI</t>
  </si>
  <si>
    <t>cst_wskakunin_NOBE_MENSEKI_SYAKO_SHINSEI</t>
  </si>
  <si>
    <t>**wskakunin_NOBE_MENSEKI_SYAKO_IGAI</t>
  </si>
  <si>
    <t>cst_wskakunin_NOBE_MENSEKI_SYAKO_IGAI</t>
  </si>
  <si>
    <t>**wskakunin_NOBE_MENSEKI_SYAKO_TOTAL</t>
  </si>
  <si>
    <t>cst_wskakunin_NOBE_MENSEKI_SYAKO_TOTAL</t>
  </si>
  <si>
    <t>**wskakunin_NOBE_MENSEKI_BITIKUSOUKO_SHINSEI</t>
  </si>
  <si>
    <t>cst_wskakunin_NOBE_MENSEKI_BITIKUSOUKO_SHINSEI</t>
  </si>
  <si>
    <t>**wskakunin_NOBE_MENSEKI_BITIKUSOUKO_IGAI</t>
  </si>
  <si>
    <t>cst_wskakunin_NOBE_MENSEKI_BITIKUSOUKO_IGAI</t>
  </si>
  <si>
    <t>**wskakunin_NOBE_MENSEKI_BITIKUSOUKO_TOTAL</t>
  </si>
  <si>
    <t>cst_wskakunin_NOBE_MENSEKI_BITIKUSOUKO_TOTAL</t>
  </si>
  <si>
    <t>**wskakunin_NOBE_MENSEKI_TIKUDENTI_SHINSEI</t>
  </si>
  <si>
    <t>cst_wskakunin_NOBE_MENSEKI_TIKUDENTI_SHINSEI</t>
  </si>
  <si>
    <t>**wskakunin_NOBE_MENSEKI_TIKUDENTI_IGAI</t>
  </si>
  <si>
    <t>cst_wskakunin_NOBE_MENSEKI_TIKUDENTI_IGAI</t>
  </si>
  <si>
    <t>**wskakunin_NOBE_MENSEKI_TIKUDENTI_TOTAL</t>
  </si>
  <si>
    <t>cst_wskakunin_NOBE_MENSEKI_TIKUDENTI_TOTAL</t>
  </si>
  <si>
    <t>**wskakunin_NOBE_MENSEKI_JIKAHATUDEN_SHINSEI</t>
  </si>
  <si>
    <t>cst_wskakunin_NOBE_MENSEKI_JIKAHATUDEN_SHINSEI</t>
  </si>
  <si>
    <t>**wskakunin_NOBE_MENSEKI_JIKAHATUDEN_IGAI</t>
  </si>
  <si>
    <t>cst_wskakunin_NOBE_MENSEKI_JIKAHATUDEN_IGAI</t>
  </si>
  <si>
    <t>**wskakunin_NOBE_MENSEKI_JIKAHATUDEN_TOTAL</t>
  </si>
  <si>
    <t>cst_wskakunin_NOBE_MENSEKI_JIKAHATUDEN_TOTAL</t>
  </si>
  <si>
    <t>**wskakunin_NOBE_MENSEKI_CHOSUISOU_SHINSEI</t>
  </si>
  <si>
    <t>cst_wskakunin_NOBE_MENSEKI_CHOSUISOU_SHINSEI</t>
  </si>
  <si>
    <t>**wskakunin_NOBE_MENSEKI_CHOSUISOU_IGAI</t>
  </si>
  <si>
    <t>cst_wskakunin_NOBE_MENSEKI_CHOSUISOU_IGAI</t>
  </si>
  <si>
    <t>**wskakunin_NOBE_MENSEKI_CHOSUISOU_TOTAL</t>
  </si>
  <si>
    <t>cst_wskakunin_NOBE_MENSEKI_CHOSUISOU_TOTAL</t>
  </si>
  <si>
    <t>**wskakunin_NOBE_MENSEKI_JYUTAKU_SHINSEI</t>
  </si>
  <si>
    <t>cst_wskakunin_NOBE_MENSEKI_JYUTAKU_SHINSEI</t>
  </si>
  <si>
    <t>**wskakunin_NOBE_MENSEKI_JYUTAKU_IGAI</t>
  </si>
  <si>
    <t>cst_wskakunin_NOBE_MENSEKI_JYUTAKU_IGAI</t>
  </si>
  <si>
    <t>**wskakunin_NOBE_MENSEKI_JYUTAKU_TOTAL</t>
  </si>
  <si>
    <t>cst_wskakunin_NOBE_MENSEKI_JYUTAKU_TOTAL</t>
  </si>
  <si>
    <t>**wskakunin_NOBE_MENSEKI_ROUJIN_SHINSEI</t>
  </si>
  <si>
    <t>cst_wskakunin_NOBE_MENSEKI_ROUJIN_SHINSEI</t>
  </si>
  <si>
    <t>**wskakunin_NOBE_MENSEKI_ROUJIN_IGAI</t>
  </si>
  <si>
    <t>cst_wskakunin_NOBE_MENSEKI_ROUJIN_IGAI</t>
  </si>
  <si>
    <t>**wskakunin_NOBE_MENSEKI_ROUJIN_TOTAL</t>
  </si>
  <si>
    <t>cst_wskakunin_NOBE_MENSEKI_ROUJIN_TOTAL</t>
  </si>
  <si>
    <t>**wskakunin_NOBE_MENSEKI</t>
  </si>
  <si>
    <t>cst_wskakunin_NOBE_MENSEKI</t>
  </si>
  <si>
    <t>**wskakunin_YOUSEKI_RITU</t>
  </si>
  <si>
    <t>cst_wskakunin_YOUSEKI_RITU</t>
  </si>
  <si>
    <t>申請に係る建築物の数</t>
  </si>
  <si>
    <t>**wskakunin_BUILD_SHINSEI_COUNT</t>
  </si>
  <si>
    <t>cst_wskakunin_BUILD_SHINSEI_COUNT</t>
  </si>
  <si>
    <t>同一敷地内の他の建築物の数</t>
  </si>
  <si>
    <t>**wskakunin_BUILD_SONOTA_COUNT</t>
  </si>
  <si>
    <t>cst_wskakunin_BUILD_SONOTA_COUNT</t>
  </si>
  <si>
    <t>申請に係る建築物</t>
  </si>
  <si>
    <t>**wskakunin_TAKASA_MAX_SHINSEI</t>
  </si>
  <si>
    <t>cst_wskakunin_TAKASA_MAX_SHINSEI</t>
  </si>
  <si>
    <t>**wskakunin_TAKASA_MAX_SONOTA</t>
  </si>
  <si>
    <t>cst_wskakunin_TAKASA_MAX_SONOTA</t>
  </si>
  <si>
    <t>**wskakunin_KAISU_TIJYOU_SHINSEI</t>
  </si>
  <si>
    <t>cst_wskakunin_KAISU_TIJYOU_SHINSEI</t>
  </si>
  <si>
    <t>**wskakunin_KAISU_TIJYOU_SONOTA</t>
  </si>
  <si>
    <t>cst_wskakunin_KAISU_TIJYOU_SONOTA</t>
  </si>
  <si>
    <t>**wskakunin_KAISU_TIKA_SHINSEI__zero</t>
  </si>
  <si>
    <t>cst_wskakunin_KAISU_TIKA_SHINSEI__zero</t>
  </si>
  <si>
    <t>**wskakunin_KAISU_TIKA_SONOTA</t>
  </si>
  <si>
    <t>cst_wskakunin_KAISU_TIKA_SONOTA</t>
  </si>
  <si>
    <t>**wskakunin_KOUZOU1</t>
  </si>
  <si>
    <t>cst_wskakunin_KOUZOU1</t>
  </si>
  <si>
    <t>**wskakunin_KOUZOU2</t>
  </si>
  <si>
    <t>cst_wskakunin_KOUZOU2</t>
  </si>
  <si>
    <t>**wskakunin_TOKUREI_TAKASA</t>
  </si>
  <si>
    <t>cst_wskakunin_TOKUREI_TAKASA</t>
  </si>
  <si>
    <t>cst_wskakunin_TOKUREI_TAKASA_box_off</t>
  </si>
  <si>
    <t>道路高さ制限不適用</t>
  </si>
  <si>
    <t>**wskakunin_TOKUREI_TAKASA_DOURO</t>
  </si>
  <si>
    <t>cst_wskakunin_TOKUREI_TAKASA_DOURO</t>
  </si>
  <si>
    <t>隣地高さ制限不適用</t>
  </si>
  <si>
    <t>**wskakunin_TOKUREI_TAKASA_RINTI</t>
  </si>
  <si>
    <t>cst_wskakunin_TOKUREI_TAKASA_RINTI</t>
  </si>
  <si>
    <t>北側高さ制限不適用</t>
  </si>
  <si>
    <t>**wskakunin_TOKUREI_TAKASA_KITA</t>
  </si>
  <si>
    <t>cst_wskakunin_TOKUREI_TAKASA_KITA</t>
  </si>
  <si>
    <t>15.工事着手予定年月日</t>
  </si>
  <si>
    <t>**wskakunin_KOUJI_TYAKUSYU_YOTEI_DATE</t>
  </si>
  <si>
    <t>cst_wskakunin_KOUJI_TYAKUSYU_YOTEI_DATE</t>
  </si>
  <si>
    <t>16.工事完了予定年月日</t>
  </si>
  <si>
    <t>**wskakunin_KOUJI_KANRYOU_YOTEI_DATE</t>
  </si>
  <si>
    <t>cst_wskakunin_KOUJI_KANRYOU_YOTEI_DATE</t>
  </si>
  <si>
    <t>17.特定工程工事終了予定年月日</t>
  </si>
  <si>
    <t>1.</t>
  </si>
  <si>
    <t>**wskakunin_koutei01_KOUTEI_KAISUU</t>
  </si>
  <si>
    <t>cst_wskakunin_koutei01_KOUTEI_KAISUU</t>
  </si>
  <si>
    <t>**wskakunin_koutei01_KOUTEI_DATE</t>
  </si>
  <si>
    <t>cst_wskakunin_koutei01_KOUTEI_DATE</t>
  </si>
  <si>
    <t>**wskakunin_koutei01_KOUTEI_TEXT</t>
  </si>
  <si>
    <t>cst_wskakunin_koutei01_KOUTEI_TEXT</t>
  </si>
  <si>
    <t>2.</t>
  </si>
  <si>
    <t>**wskakunin_koutei02_KOUTEI_KAISUU</t>
  </si>
  <si>
    <t>**wskakunin_koutei02_KOUTEI_DATE</t>
  </si>
  <si>
    <t>**wskakunin_koutei02_KOUTEI_TEXT</t>
  </si>
  <si>
    <t>3.</t>
  </si>
  <si>
    <t>**wskakunin_koutei03_KOUTEI_KAISUU</t>
  </si>
  <si>
    <t>cst_wskakunin_koutei03_KOUTEI_KAISUU</t>
  </si>
  <si>
    <t>**wskakunin_koutei03_KOUTEI_DATE</t>
  </si>
  <si>
    <t>cst_wskakunin_koutei03_KOUTEI_DATE</t>
  </si>
  <si>
    <t>**wskakunin_koutei03_KOUTEI_TEXT</t>
  </si>
  <si>
    <t>cst_wskakunin_koutei03_KOUTEI_TEXT</t>
  </si>
  <si>
    <t>18.その他必要な事項</t>
  </si>
  <si>
    <t>**wskakunin_P3_SONOTA</t>
  </si>
  <si>
    <t>cst_wskakunin_P3_SONOTA</t>
  </si>
  <si>
    <t>**wskakunin_P3_BIKOU</t>
  </si>
  <si>
    <t>cst_wskakunin_P3_BIKOU</t>
  </si>
  <si>
    <t>中間検査申請</t>
  </si>
  <si>
    <t>完了検査申請</t>
  </si>
  <si>
    <t>申請書種別</t>
  </si>
  <si>
    <t>1=建築物、
2=昇降機、3=建築設備、
4=工作物(88-1)、5=工作物(88-2)</t>
  </si>
  <si>
    <t>申請対象</t>
  </si>
  <si>
    <t>申請書セット種別</t>
  </si>
  <si>
    <t>0=不明な申請、100=基準法、200=適合証明、
300=性能評価</t>
  </si>
  <si>
    <t>*</t>
  </si>
  <si>
    <t>建築物</t>
  </si>
  <si>
    <t>昇降機</t>
  </si>
  <si>
    <t>建築設備</t>
  </si>
  <si>
    <t>工作物(88-1)</t>
  </si>
  <si>
    <t>工作物(88-2)</t>
  </si>
  <si>
    <t>cls_TARGET_KIND_erea</t>
  </si>
  <si>
    <t>cls_TARGET_KIND_base_point</t>
  </si>
  <si>
    <t>cst_DATA</t>
  </si>
  <si>
    <t>計画変更</t>
  </si>
  <si>
    <t>中間検査</t>
  </si>
  <si>
    <t>完了検査</t>
  </si>
  <si>
    <t>その他申請</t>
  </si>
  <si>
    <t>確認申請</t>
  </si>
  <si>
    <t>cls_JOB_KIND_erea</t>
  </si>
  <si>
    <t>cls_JOB_KIND_base_point</t>
  </si>
  <si>
    <t>＜基準法＞
101=確認申請、102=計画変更、103=中間検査、104=完了検査
＜その他申請＞
999=その他申請</t>
  </si>
  <si>
    <t>cst_wsjob_JOB_SET_KIND</t>
  </si>
  <si>
    <t>**wsjob_JOB_SET_KIND</t>
  </si>
  <si>
    <t>cls_JOB_SET_KIND_erea</t>
  </si>
  <si>
    <t>cls_JOB_SET_KIND_base_point</t>
  </si>
  <si>
    <t>不明な申請</t>
  </si>
  <si>
    <t>基準法</t>
  </si>
  <si>
    <t>適合証明</t>
  </si>
  <si>
    <t>性能評価</t>
  </si>
  <si>
    <t>**wskakunin_kyoka##_****</t>
  </si>
  <si>
    <t>根拠となる法令</t>
  </si>
  <si>
    <t>根拠となる法令の条項</t>
  </si>
  <si>
    <t>許可・認定等の番号</t>
  </si>
  <si>
    <t>認可・認定等を受けた日付</t>
  </si>
  <si>
    <t>**wskakunin_kyoka01_JOUKOU</t>
  </si>
  <si>
    <t>**wskakunin_kyoka01_HOUREI</t>
  </si>
  <si>
    <t>**wskakunin_kyoka01_KYOKA_NO</t>
  </si>
  <si>
    <t>**wskakunin_kyoka01_KYOKA_DATE</t>
  </si>
  <si>
    <t>**wskakunin_kyoka01_BIKOU</t>
  </si>
  <si>
    <t>**wskakunin_kyoka02_HOUREI</t>
  </si>
  <si>
    <t>**wskakunin_kyoka02_JOUKOU</t>
  </si>
  <si>
    <t>**wskakunin_kyoka02_KYOKA_NO</t>
  </si>
  <si>
    <t>**wskakunin_kyoka02_KYOKA_DATE</t>
  </si>
  <si>
    <t>**wskakunin_kyoka02_BIKOU</t>
  </si>
  <si>
    <t>**wskakunin_kyoka03_HOUREI</t>
  </si>
  <si>
    <t>**wskakunin_kyoka03_JOUKOU</t>
  </si>
  <si>
    <t>**wskakunin_kyoka03_KYOKA_NO</t>
  </si>
  <si>
    <t>**wskakunin_kyoka03_KYOKA_DATE</t>
  </si>
  <si>
    <t>**wskakunin_kyoka03_BIKOU</t>
  </si>
  <si>
    <t>一括出力</t>
  </si>
  <si>
    <t>許可01一括出力</t>
  </si>
  <si>
    <t>許可03一括出力</t>
  </si>
  <si>
    <t>許可02一括出力</t>
  </si>
  <si>
    <t>cst_wskakunin_kyoka01_HOUREI</t>
  </si>
  <si>
    <t>cst_wskakunin_kyoka02_HOUREI</t>
  </si>
  <si>
    <t>cst_wskakunin_kyoka03_HOUREI</t>
  </si>
  <si>
    <t>cst_wskakunin_kyoka_HOUREI_all</t>
  </si>
  <si>
    <t>現在、３行対応。</t>
  </si>
  <si>
    <t>**wskakunin_TOKUREI_1</t>
  </si>
  <si>
    <t>**wskakunin_TOKUREI_2</t>
  </si>
  <si>
    <t>**wskakunin_TOKUREI_3</t>
  </si>
  <si>
    <t>**wskakunin_TOKUREI_4</t>
  </si>
  <si>
    <t>**wskakunin_KENTIKU_NINSYO_NO</t>
  </si>
  <si>
    <t>**wskakunin_BUILD_ADDRESS</t>
  </si>
  <si>
    <t>cst_wskakunin_BUILD_ADDRESS</t>
  </si>
  <si>
    <t>-都道府県</t>
  </si>
  <si>
    <t>-住所</t>
  </si>
  <si>
    <t>**wskakunin_BUILD_JYUKYO__address</t>
  </si>
  <si>
    <t>**wskakunin_BUILD_JYUKYO_KEN__ken</t>
  </si>
  <si>
    <t>cst_wskakunin_BUILD_JYUKYO__address</t>
  </si>
  <si>
    <t>cst_wskakunin_BUILD_JYUKYO_KEN__ken</t>
  </si>
  <si>
    <t>建築物全体</t>
  </si>
  <si>
    <t>地階の住宅</t>
  </si>
  <si>
    <t>エレベーター</t>
  </si>
  <si>
    <t>共同住宅の共用</t>
  </si>
  <si>
    <t>自動車車庫等の部分</t>
  </si>
  <si>
    <t>備蓄倉庫の部分</t>
  </si>
  <si>
    <t>蓄電池の設置部分</t>
  </si>
  <si>
    <t>自家発電設備</t>
  </si>
  <si>
    <t>貯水槽の設置部分</t>
  </si>
  <si>
    <t>住宅の部分</t>
  </si>
  <si>
    <t>老人ホーム</t>
  </si>
  <si>
    <t>延べ面積</t>
  </si>
  <si>
    <t>**wskakunin_TOKUTEI_KOUTEI</t>
  </si>
  <si>
    <t>**wskakunin_TOKUTEI_KOUJI_KANRYOU_DATE</t>
  </si>
  <si>
    <t>**wskakunin_KENSA_YUKA_MENSEKI</t>
  </si>
  <si>
    <t>**wskakunin_koutei_izen01_KOUTEI_KAISUU</t>
  </si>
  <si>
    <t>**wskakunin_koutei_izen01_KOUTEI_TEXT</t>
  </si>
  <si>
    <t>**wskakunin_koutei_izen01_INTER_ISSUE_NAME</t>
  </si>
  <si>
    <t>**wskakunin_koutei_izen01_INTER_ISSUE_NO</t>
  </si>
  <si>
    <t>**wskakunin_koutei_izen01_INTER_ISSUE_DATE</t>
  </si>
  <si>
    <t>**wskakunin_koutei_izen02_KOUTEI_KAISUU</t>
  </si>
  <si>
    <t>**wskakunin_koutei_izen02_KOUTEI_TEXT</t>
  </si>
  <si>
    <t>**wskakunin_koutei_izen02_INTER_ISSUE_NAME</t>
  </si>
  <si>
    <t>**wskakunin_koutei_izen02_INTER_ISSUE_NO</t>
  </si>
  <si>
    <t>**wskakunin_koutei_izen02_INTER_ISSUE_DATE</t>
  </si>
  <si>
    <t>**wskakunin_koutei_ikou01_KOUTEI_KAISUU</t>
  </si>
  <si>
    <t>**wskakunin_koutei_ikou01_KOUTEI_TEXT</t>
  </si>
  <si>
    <t>**wskakunin_koutei_ikou01_KOUTEI_DATE</t>
  </si>
  <si>
    <t>**wskakunin_koutei_ikou02_KOUTEI_KAISUU</t>
  </si>
  <si>
    <t>**wskakunin_koutei_ikou02_KOUTEI_TEXT</t>
  </si>
  <si>
    <t>**wskakunin_koutei_ikou02_KOUTEI_DATE</t>
  </si>
  <si>
    <t>**wskakunin_sekkei1_TOUROKU_KIKAN__label</t>
  </si>
  <si>
    <t>**wskakunin_sekkei1_JIMU_TOUROKU_KIKAN__label</t>
  </si>
  <si>
    <t>**wskakunin_sekkei2_TOUROKU_KIKAN__label</t>
  </si>
  <si>
    <t>**wskakunin_sekkei2_JIMU_TOUROKU_KIKAN__label</t>
  </si>
  <si>
    <t>**wskakunin_sekkei3_TOUROKU_KIKAN__label</t>
  </si>
  <si>
    <t>**wskakunin_sekkei3_JIMU_TOUROKU_KIKAN__label</t>
  </si>
  <si>
    <t>**wskakunin_sekkei4_TOUROKU_KIKAN__label</t>
  </si>
  <si>
    <t>**wskakunin_sekkei4_JIMU_TOUROKU_KIKAN__label</t>
  </si>
  <si>
    <t>**wskakunin_kanri1_TOUROKU_KIKAN__label</t>
  </si>
  <si>
    <t>**wskakunin_kanri1_JIMU_TOUROKU_KIKAN__label</t>
  </si>
  <si>
    <t>**wskakunin_kanri2_TOUROKU_KIKAN__label</t>
  </si>
  <si>
    <t>**wskakunin_kanri2_JIMU_TOUROKU_KIKAN__label</t>
  </si>
  <si>
    <t>**wskakunin_kanri3_TOUROKU_KIKAN__label</t>
  </si>
  <si>
    <t>**wskakunin_kanri3_JIMU_TOUROKU_KIKAN__label</t>
  </si>
  <si>
    <t>**wskakunin_kanri4_TOUROKU_KIKAN__label</t>
  </si>
  <si>
    <t>**wskakunin_kanri4_JIMU_TOUROKU_KIKAN__label</t>
  </si>
  <si>
    <t>cst_wskakunin_iken1_NAME</t>
  </si>
  <si>
    <t>cst_wskakunin_iken1__address</t>
  </si>
  <si>
    <t>cst_wskakunin_iken1_TEL</t>
  </si>
  <si>
    <t>cst_wskakunin_iken1_DOC</t>
  </si>
  <si>
    <t>**wskakunin_iken1_NAME</t>
  </si>
  <si>
    <t>**wskakunin_iken1_JIMU_NAME</t>
  </si>
  <si>
    <t>**wskakunin_iken1_ZIP</t>
  </si>
  <si>
    <t>**wskakunin_iken1__address</t>
  </si>
  <si>
    <t>**wskakunin_iken1_TEL</t>
  </si>
  <si>
    <t>**wskakunin_iken1_IKEN_NO</t>
  </si>
  <si>
    <t>**wskakunin_iken1_DOC</t>
  </si>
  <si>
    <t>cst_wskakunin_iken1_JIMU_NAME</t>
  </si>
  <si>
    <t>cst_wskakunin_iken1_ZIP</t>
  </si>
  <si>
    <t>cst_wskakunin_iken1_IKEN_NO</t>
  </si>
  <si>
    <t>cst_wskakunin_iken2_NAME</t>
  </si>
  <si>
    <t>cst_wskakunin_iken2__address</t>
  </si>
  <si>
    <t>cst_wskakunin_iken2_TEL</t>
  </si>
  <si>
    <t>cst_wskakunin_iken2_DOC</t>
  </si>
  <si>
    <t>cst_wskakunin_iken2_JIMU_NAME</t>
  </si>
  <si>
    <t>cst_wskakunin_iken2_ZIP</t>
  </si>
  <si>
    <t>cst_wskakunin_iken2_IKEN_NO</t>
  </si>
  <si>
    <t>**wskakunin_iken2_NAME</t>
  </si>
  <si>
    <t>**wskakunin_iken2_JIMU_NAME</t>
  </si>
  <si>
    <t>**wskakunin_iken2_ZIP</t>
  </si>
  <si>
    <t>**wskakunin_iken2__address</t>
  </si>
  <si>
    <t>**wskakunin_iken2_TEL</t>
  </si>
  <si>
    <t>**wskakunin_iken2_IKEN_NO</t>
  </si>
  <si>
    <t>**wskakunin_iken2_DOC</t>
  </si>
  <si>
    <t>**wskakunin_dairi1_JIMU_TOUROKU_KIKAN__label</t>
  </si>
  <si>
    <t>**wskakunin_dairi1_TOUROKU_KIKAN__label</t>
  </si>
  <si>
    <t>cst_wskakunin_iken3_NAME</t>
  </si>
  <si>
    <t>cst_wskakunin_iken3_JIMU_NAME</t>
  </si>
  <si>
    <t>cst_wskakunin_iken3_ZIP</t>
  </si>
  <si>
    <t>cst_wskakunin_iken3__address</t>
  </si>
  <si>
    <t>cst_wskakunin_iken3_TEL</t>
  </si>
  <si>
    <t>cst_wskakunin_iken3_IKEN_NO</t>
  </si>
  <si>
    <t>cst_wskakunin_iken3_DOC</t>
  </si>
  <si>
    <t>cst_wskakunin_iken4_NAME</t>
  </si>
  <si>
    <t>cst_wskakunin_iken4_JIMU_NAME</t>
  </si>
  <si>
    <t>cst_wskakunin_iken4_ZIP</t>
  </si>
  <si>
    <t>cst_wskakunin_iken4__address</t>
  </si>
  <si>
    <t>cst_wskakunin_iken4_TEL</t>
  </si>
  <si>
    <t>cst_wskakunin_iken4_IKEN_NO</t>
  </si>
  <si>
    <t>cst_wskakunin_iken4_DOC</t>
  </si>
  <si>
    <t>**wskakunin_iken3_NAME</t>
  </si>
  <si>
    <t>**wskakunin_iken3_JIMU_NAME</t>
  </si>
  <si>
    <t>**wskakunin_iken3_ZIP</t>
  </si>
  <si>
    <t>**wskakunin_iken3__address</t>
  </si>
  <si>
    <t>**wskakunin_iken3_TEL</t>
  </si>
  <si>
    <t>**wskakunin_iken3_IKEN_NO</t>
  </si>
  <si>
    <t>**wskakunin_iken3_DOC</t>
  </si>
  <si>
    <t>**wskakunin_iken4_NAME</t>
  </si>
  <si>
    <t>**wskakunin_iken4_JIMU_NAME</t>
  </si>
  <si>
    <t>**wskakunin_iken4_ZIP</t>
  </si>
  <si>
    <t>**wskakunin_iken4__address</t>
  </si>
  <si>
    <t>**wskakunin_iken4_TEL</t>
  </si>
  <si>
    <t>**wskakunin_iken4_IKEN_NO</t>
  </si>
  <si>
    <t>**wskakunin_iken4_DOC</t>
  </si>
  <si>
    <t>**wskakunin_sekou1_SEKOU_NO</t>
  </si>
  <si>
    <t>建設業の資格一括</t>
  </si>
  <si>
    <t>cst_wskakunin_sekou1_SEKOU_SIKAKU</t>
  </si>
  <si>
    <t>cst_wskakunin_sekou1_SEKOU_NO</t>
  </si>
  <si>
    <t>**wskakunin_sekou1_SEKOU_SIKAKU__label</t>
  </si>
  <si>
    <t>cst_wskakunin_kanri4_JIMU_SIKAKU</t>
  </si>
  <si>
    <t>cst_wskakunin_kanri1_SIKAKU</t>
  </si>
  <si>
    <t>cst_wskakunin_kanri1_JIMU_SIKAKU</t>
  </si>
  <si>
    <t>cst_wskakunin_kanri2_SIKAKU</t>
  </si>
  <si>
    <t>cst_wskakunin_kanri2_JIMU_SIKAKU</t>
  </si>
  <si>
    <t>cst_wskakunin_kanri3_SIKAKU</t>
  </si>
  <si>
    <t>cst_wskakunin_kanri3_JIMU_SIKAKU</t>
  </si>
  <si>
    <t>cst_wskakunin_kanri4_SIKAKU</t>
  </si>
  <si>
    <t>cst_wskakunin_dairi1_JIMU_SIKAKU</t>
  </si>
  <si>
    <t>cst_wskakunin_sekkei1_JIMU_SIKAKU</t>
  </si>
  <si>
    <t>cst_wskakunin_sekkei2_JIMU_SIKAKU</t>
  </si>
  <si>
    <t>cst_wskakunin_sekkei3_JIMU_SIKAKU</t>
  </si>
  <si>
    <t>cst_wskakunin_sekkei4_JIMU_SIKAKU</t>
  </si>
  <si>
    <t>建築主2</t>
  </si>
  <si>
    <t>建築主3</t>
  </si>
  <si>
    <t>建築主4</t>
  </si>
  <si>
    <t>建築主5</t>
  </si>
  <si>
    <t>建築主6</t>
  </si>
  <si>
    <t>建築主7</t>
  </si>
  <si>
    <t>建築主8</t>
  </si>
  <si>
    <t>建築主9</t>
  </si>
  <si>
    <t>**wskakunin_owner2_JIMU_NAME</t>
  </si>
  <si>
    <t>**wskakunin_owner2_JIMU_NAME_KANA</t>
  </si>
  <si>
    <t>**wskakunin_owner2_POST</t>
  </si>
  <si>
    <t>cst_wskakunin_owner2_POST</t>
  </si>
  <si>
    <t>**wskakunin_owner2_POST_KANA</t>
  </si>
  <si>
    <t>cst_wskakunin_owner2_POST_KANA</t>
  </si>
  <si>
    <t>**wskakunin_owner2_NAME</t>
  </si>
  <si>
    <t>cst_wskakunin_owner2_NAME</t>
  </si>
  <si>
    <t>**wskakunin_owner2_NAME_KANA</t>
  </si>
  <si>
    <t>cst_wskakunin_owner2_NAME_KANA</t>
  </si>
  <si>
    <t>**wskakunin_owner2_ZIP</t>
  </si>
  <si>
    <t>cst_wskakunin_owner2_ZIP</t>
  </si>
  <si>
    <t>**wskakunin_owner2__address</t>
  </si>
  <si>
    <t>**wskakunin_owner2_TEL</t>
  </si>
  <si>
    <t>cst_wskakunin_owner2_TEL</t>
  </si>
  <si>
    <t>**wskakunin_owner3_JIMU_NAME</t>
  </si>
  <si>
    <t>cst_wskakunin_owner3_JIMU_NAME</t>
  </si>
  <si>
    <t>**wskakunin_owner3_JIMU_NAME_KANA</t>
  </si>
  <si>
    <t>cst_wskakunin_owner3_JIMU_NAME_KANA</t>
  </si>
  <si>
    <t>**wskakunin_owner3_POST</t>
  </si>
  <si>
    <t>cst_wskakunin_owner3_POST</t>
  </si>
  <si>
    <t>**wskakunin_owner3_POST_KANA</t>
  </si>
  <si>
    <t>cst_wskakunin_owner3_POST_KANA</t>
  </si>
  <si>
    <t>**wskakunin_owner3_NAME</t>
  </si>
  <si>
    <t>cst_wskakunin_owner3_NAME</t>
  </si>
  <si>
    <t>**wskakunin_owner3_NAME_KANA</t>
  </si>
  <si>
    <t>cst_wskakunin_owner3_NAME_KANA</t>
  </si>
  <si>
    <t>**wskakunin_owner3_ZIP</t>
  </si>
  <si>
    <t>cst_wskakunin_owner3_ZIP</t>
  </si>
  <si>
    <t>**wskakunin_owner3__address</t>
  </si>
  <si>
    <t>cst_wskakunin_owner3__address</t>
  </si>
  <si>
    <t>**wskakunin_owner3_TEL</t>
  </si>
  <si>
    <t>cst_wskakunin_owner3_TEL</t>
  </si>
  <si>
    <t>**wskakunin_owner4_JIMU_NAME</t>
  </si>
  <si>
    <t>cst_wskakunin_owner4_JIMU_NAME</t>
  </si>
  <si>
    <t>**wskakunin_owner4_JIMU_NAME_KANA</t>
  </si>
  <si>
    <t>cst_wskakunin_owner4_JIMU_NAME_KANA</t>
  </si>
  <si>
    <t>**wskakunin_owner4_POST</t>
  </si>
  <si>
    <t>cst_wskakunin_owner4_POST</t>
  </si>
  <si>
    <t>**wskakunin_owner4_POST_KANA</t>
  </si>
  <si>
    <t>cst_wskakunin_owner4_POST_KANA</t>
  </si>
  <si>
    <t>**wskakunin_owner4_NAME</t>
  </si>
  <si>
    <t>cst_wskakunin_owner4_NAME</t>
  </si>
  <si>
    <t>**wskakunin_owner4_NAME_KANA</t>
  </si>
  <si>
    <t>cst_wskakunin_owner4_NAME_KANA</t>
  </si>
  <si>
    <t>**wskakunin_owner4_ZIP</t>
  </si>
  <si>
    <t>cst_wskakunin_owner4_ZIP</t>
  </si>
  <si>
    <t>**wskakunin_owner4__address</t>
  </si>
  <si>
    <t>cst_wskakunin_owner4__address</t>
  </si>
  <si>
    <t>**wskakunin_owner4_TEL</t>
  </si>
  <si>
    <t>cst_wskakunin_owner4_TEL</t>
  </si>
  <si>
    <t>**wskakunin_owner5_JIMU_NAME</t>
  </si>
  <si>
    <t>cst_wskakunin_owner5_JIMU_NAME</t>
  </si>
  <si>
    <t>**wskakunin_owner5_JIMU_NAME_KANA</t>
  </si>
  <si>
    <t>cst_wskakunin_owner5_JIMU_NAME_KANA</t>
  </si>
  <si>
    <t>**wskakunin_owner5_POST</t>
  </si>
  <si>
    <t>cst_wskakunin_owner5_POST</t>
  </si>
  <si>
    <t>**wskakunin_owner5_POST_KANA</t>
  </si>
  <si>
    <t>cst_wskakunin_owner5_POST_KANA</t>
  </si>
  <si>
    <t>**wskakunin_owner5_NAME</t>
  </si>
  <si>
    <t>cst_wskakunin_owner5_NAME</t>
  </si>
  <si>
    <t>**wskakunin_owner5_NAME_KANA</t>
  </si>
  <si>
    <t>cst_wskakunin_owner5_NAME_KANA</t>
  </si>
  <si>
    <t>**wskakunin_owner5_ZIP</t>
  </si>
  <si>
    <t>cst_wskakunin_owner5_ZIP</t>
  </si>
  <si>
    <t>**wskakunin_owner5__address</t>
  </si>
  <si>
    <t>cst_wskakunin_owner5__address</t>
  </si>
  <si>
    <t>**wskakunin_owner5_TEL</t>
  </si>
  <si>
    <t>cst_wskakunin_owner5_TEL</t>
  </si>
  <si>
    <t>**wskakunin_owner6_JIMU_NAME</t>
  </si>
  <si>
    <t>cst_wskakunin_owner6_JIMU_NAME</t>
  </si>
  <si>
    <t>**wskakunin_owner6_JIMU_NAME_KANA</t>
  </si>
  <si>
    <t>cst_wskakunin_owner6_JIMU_NAME_KANA</t>
  </si>
  <si>
    <t>**wskakunin_owner6_POST</t>
  </si>
  <si>
    <t>cst_wskakunin_owner6_POST</t>
  </si>
  <si>
    <t>**wskakunin_owner6_POST_KANA</t>
  </si>
  <si>
    <t>cst_wskakunin_owner6_POST_KANA</t>
  </si>
  <si>
    <t>**wskakunin_owner6_NAME</t>
  </si>
  <si>
    <t>cst_wskakunin_owner6_NAME</t>
  </si>
  <si>
    <t>**wskakunin_owner6_NAME_KANA</t>
  </si>
  <si>
    <t>cst_wskakunin_owner6_NAME_KANA</t>
  </si>
  <si>
    <t>**wskakunin_owner6_ZIP</t>
  </si>
  <si>
    <t>cst_wskakunin_owner6_ZIP</t>
  </si>
  <si>
    <t>**wskakunin_owner6__address</t>
  </si>
  <si>
    <t>cst_wskakunin_owner6__address</t>
  </si>
  <si>
    <t>**wskakunin_owner6_TEL</t>
  </si>
  <si>
    <t>cst_wskakunin_owner6_TEL</t>
  </si>
  <si>
    <t>**wskakunin_owner7_JIMU_NAME</t>
  </si>
  <si>
    <t>cst_wskakunin_owner7_JIMU_NAME</t>
  </si>
  <si>
    <t>**wskakunin_owner7_JIMU_NAME_KANA</t>
  </si>
  <si>
    <t>cst_wskakunin_owner7_JIMU_NAME_KANA</t>
  </si>
  <si>
    <t>**wskakunin_owner7_POST</t>
  </si>
  <si>
    <t>cst_wskakunin_owner7_POST</t>
  </si>
  <si>
    <t>**wskakunin_owner7_POST_KANA</t>
  </si>
  <si>
    <t>cst_wskakunin_owner7_POST_KANA</t>
  </si>
  <si>
    <t>**wskakunin_owner7_NAME</t>
  </si>
  <si>
    <t>cst_wskakunin_owner7_NAME</t>
  </si>
  <si>
    <t>**wskakunin_owner7_NAME_KANA</t>
  </si>
  <si>
    <t>cst_wskakunin_owner7_NAME_KANA</t>
  </si>
  <si>
    <t>**wskakunin_owner7_ZIP</t>
  </si>
  <si>
    <t>cst_wskakunin_owner7_ZIP</t>
  </si>
  <si>
    <t>**wskakunin_owner7__address</t>
  </si>
  <si>
    <t>cst_wskakunin_owner7__address</t>
  </si>
  <si>
    <t>**wskakunin_owner7_TEL</t>
  </si>
  <si>
    <t>cst_wskakunin_owner7_TEL</t>
  </si>
  <si>
    <t>**wskakunin_owner8_JIMU_NAME</t>
  </si>
  <si>
    <t>cst_wskakunin_owner8_JIMU_NAME</t>
  </si>
  <si>
    <t>**wskakunin_owner8_JIMU_NAME_KANA</t>
  </si>
  <si>
    <t>cst_wskakunin_owner8_JIMU_NAME_KANA</t>
  </si>
  <si>
    <t>**wskakunin_owner8_POST</t>
  </si>
  <si>
    <t>cst_wskakunin_owner8_POST</t>
  </si>
  <si>
    <t>**wskakunin_owner8_POST_KANA</t>
  </si>
  <si>
    <t>cst_wskakunin_owner8_POST_KANA</t>
  </si>
  <si>
    <t>**wskakunin_owner8_NAME</t>
  </si>
  <si>
    <t>cst_wskakunin_owner8_NAME</t>
  </si>
  <si>
    <t>**wskakunin_owner8_NAME_KANA</t>
  </si>
  <si>
    <t>cst_wskakunin_owner8_NAME_KANA</t>
  </si>
  <si>
    <t>**wskakunin_owner8_ZIP</t>
  </si>
  <si>
    <t>cst_wskakunin_owner8_ZIP</t>
  </si>
  <si>
    <t>**wskakunin_owner8__address</t>
  </si>
  <si>
    <t>cst_wskakunin_owner8__address</t>
  </si>
  <si>
    <t>**wskakunin_owner8_TEL</t>
  </si>
  <si>
    <t>cst_wskakunin_owner8_TEL</t>
  </si>
  <si>
    <t>**wskakunin_owner9_JIMU_NAME</t>
  </si>
  <si>
    <t>cst_wskakunin_owner9_JIMU_NAME</t>
  </si>
  <si>
    <t>**wskakunin_owner9_JIMU_NAME_KANA</t>
  </si>
  <si>
    <t>cst_wskakunin_owner9_JIMU_NAME_KANA</t>
  </si>
  <si>
    <t>**wskakunin_owner9_POST</t>
  </si>
  <si>
    <t>cst_wskakunin_owner9_POST</t>
  </si>
  <si>
    <t>**wskakunin_owner9_POST_KANA</t>
  </si>
  <si>
    <t>cst_wskakunin_owner9_POST_KANA</t>
  </si>
  <si>
    <t>**wskakunin_owner9_NAME</t>
  </si>
  <si>
    <t>cst_wskakunin_owner9_NAME</t>
  </si>
  <si>
    <t>**wskakunin_owner9_NAME_KANA</t>
  </si>
  <si>
    <t>cst_wskakunin_owner9_NAME_KANA</t>
  </si>
  <si>
    <t>**wskakunin_owner9_ZIP</t>
  </si>
  <si>
    <t>cst_wskakunin_owner9_ZIP</t>
  </si>
  <si>
    <t>**wskakunin_owner9__address</t>
  </si>
  <si>
    <t>cst_wskakunin_owner9__address</t>
  </si>
  <si>
    <t>**wskakunin_owner9_TEL</t>
  </si>
  <si>
    <t>cst_wskakunin_owner9_TEL</t>
  </si>
  <si>
    <t>代理者2</t>
  </si>
  <si>
    <t>代理者3</t>
  </si>
  <si>
    <t>代理者4</t>
  </si>
  <si>
    <t>代理者5</t>
  </si>
  <si>
    <t>**wskakunin_dairi2__sikaku</t>
  </si>
  <si>
    <t>cst_wskakunin_dairi2__sikaku</t>
  </si>
  <si>
    <t>**wskakunin_dairi2_SIKAKU__label</t>
  </si>
  <si>
    <t>cst_wskakunin_dairi2_SIKAKU</t>
  </si>
  <si>
    <t>**wskakunin_dairi2_TOUROKU_KIKAN__label</t>
  </si>
  <si>
    <t>cst_wskakunin_dairi2_TOUROKU_KIKAN</t>
  </si>
  <si>
    <t>**wskakunin_dairi2_KENTIKUSI_NO</t>
  </si>
  <si>
    <t>cst_wskakunin_dairi2_KENTIKUSI_NO</t>
  </si>
  <si>
    <t>**wskakunin_dairi2_NAME</t>
  </si>
  <si>
    <t>cst_wskakunin_dairi2_NAME</t>
  </si>
  <si>
    <t>**wskakunin_dairi2_NAME_KANA</t>
  </si>
  <si>
    <t>cst_wskakunin_dairi2_NAME_KANA</t>
  </si>
  <si>
    <t>**wskakunin_dairi2_JIMU__sikaku</t>
  </si>
  <si>
    <t>cst_wskakunin_dairi2_JIMU__sikaku</t>
  </si>
  <si>
    <t>**wskakunin_dairi2_JIMU_SIKAKU__label</t>
  </si>
  <si>
    <t>cst_wskakunin_dairi2_JIMU_SIKAKU</t>
  </si>
  <si>
    <t>**wskakunin_dairi2_JIMU_TOUROKU_KIKAN__label</t>
  </si>
  <si>
    <t>cst_wskakunin_dairi2_JIMU_TOUROKU_KIKAN</t>
  </si>
  <si>
    <t>**wskakunin_dairi2_JIMU_NO</t>
  </si>
  <si>
    <t>cst_wskakunin_dairi2_JIMU_NO</t>
  </si>
  <si>
    <t>**wskakunin_dairi2_JIMU_NAME</t>
  </si>
  <si>
    <t>cst_wskakunin_dairi2_JIMU_NAME</t>
  </si>
  <si>
    <t>**wskakunin_dairi2_ZIP</t>
  </si>
  <si>
    <t>cst_wskakunin_dairi2_ZIP</t>
  </si>
  <si>
    <t>**wskakunin_dairi2__address</t>
  </si>
  <si>
    <t>cst_wskakunin_dairi2__address</t>
  </si>
  <si>
    <t>**wskakunin_dairi2_TEL</t>
  </si>
  <si>
    <t>cst_wskakunin_dairi2_TEL</t>
  </si>
  <si>
    <t>**wskakunin_dairi2_FAX</t>
  </si>
  <si>
    <t>cst_wskakunin_dairi2_FAX</t>
  </si>
  <si>
    <t>cst_wskakunin_dairi2__space</t>
  </si>
  <si>
    <t>**wskakunin_dairi3__sikaku</t>
  </si>
  <si>
    <t>cst_wskakunin_dairi3__sikaku</t>
  </si>
  <si>
    <t>**wskakunin_dairi3_SIKAKU__label</t>
  </si>
  <si>
    <t>cst_wskakunin_dairi3_SIKAKU</t>
  </si>
  <si>
    <t>**wskakunin_dairi3_TOUROKU_KIKAN__label</t>
  </si>
  <si>
    <t>cst_wskakunin_dairi3_TOUROKU_KIKAN</t>
  </si>
  <si>
    <t>**wskakunin_dairi3_KENTIKUSI_NO</t>
  </si>
  <si>
    <t>cst_wskakunin_dairi3_KENTIKUSI_NO</t>
  </si>
  <si>
    <t>**wskakunin_dairi3_NAME</t>
  </si>
  <si>
    <t>cst_wskakunin_dairi3_NAME</t>
  </si>
  <si>
    <t>**wskakunin_dairi3_NAME_KANA</t>
  </si>
  <si>
    <t>cst_wskakunin_dairi3_NAME_KANA</t>
  </si>
  <si>
    <t>**wskakunin_dairi3_JIMU__sikaku</t>
  </si>
  <si>
    <t>cst_wskakunin_dairi3_JIMU__sikaku</t>
  </si>
  <si>
    <t>**wskakunin_dairi3_JIMU_SIKAKU__label</t>
  </si>
  <si>
    <t>cst_wskakunin_dairi3_JIMU_SIKAKU</t>
  </si>
  <si>
    <t>**wskakunin_dairi3_JIMU_TOUROKU_KIKAN__label</t>
  </si>
  <si>
    <t>cst_wskakunin_dairi3_JIMU_TOUROKU_KIKAN</t>
  </si>
  <si>
    <t>**wskakunin_dairi3_JIMU_NO</t>
  </si>
  <si>
    <t>cst_wskakunin_dairi3_JIMU_NO</t>
  </si>
  <si>
    <t>**wskakunin_dairi3_JIMU_NAME</t>
  </si>
  <si>
    <t>cst_wskakunin_dairi3_JIMU_NAME</t>
  </si>
  <si>
    <t>**wskakunin_dairi3_ZIP</t>
  </si>
  <si>
    <t>cst_wskakunin_dairi3_ZIP</t>
  </si>
  <si>
    <t>**wskakunin_dairi3__address</t>
  </si>
  <si>
    <t>cst_wskakunin_dairi3__address</t>
  </si>
  <si>
    <t>**wskakunin_dairi3_TEL</t>
  </si>
  <si>
    <t>cst_wskakunin_dairi3_TEL</t>
  </si>
  <si>
    <t>**wskakunin_dairi3_FAX</t>
  </si>
  <si>
    <t>cst_wskakunin_dairi3_FAX</t>
  </si>
  <si>
    <t>cst_wskakunin_dairi3__space</t>
  </si>
  <si>
    <t>**wskakunin_dairi4__sikaku</t>
  </si>
  <si>
    <t>cst_wskakunin_dairi4__sikaku</t>
  </si>
  <si>
    <t>**wskakunin_dairi4_SIKAKU__label</t>
  </si>
  <si>
    <t>cst_wskakunin_dairi4_SIKAKU</t>
  </si>
  <si>
    <t>**wskakunin_dairi4_TOUROKU_KIKAN__label</t>
  </si>
  <si>
    <t>cst_wskakunin_dairi4_TOUROKU_KIKAN</t>
  </si>
  <si>
    <t>**wskakunin_dairi4_KENTIKUSI_NO</t>
  </si>
  <si>
    <t>cst_wskakunin_dairi4_KENTIKUSI_NO</t>
  </si>
  <si>
    <t>**wskakunin_dairi4_NAME</t>
  </si>
  <si>
    <t>cst_wskakunin_dairi4_NAME</t>
  </si>
  <si>
    <t>**wskakunin_dairi4_NAME_KANA</t>
  </si>
  <si>
    <t>cst_wskakunin_dairi4_NAME_KANA</t>
  </si>
  <si>
    <t>**wskakunin_dairi4_JIMU__sikaku</t>
  </si>
  <si>
    <t>cst_wskakunin_dairi4_JIMU__sikaku</t>
  </si>
  <si>
    <t>**wskakunin_dairi4_JIMU_SIKAKU__label</t>
  </si>
  <si>
    <t>cst_wskakunin_dairi4_JIMU_SIKAKU</t>
  </si>
  <si>
    <t>**wskakunin_dairi4_JIMU_TOUROKU_KIKAN__label</t>
  </si>
  <si>
    <t>cst_wskakunin_dairi4_JIMU_TOUROKU_KIKAN</t>
  </si>
  <si>
    <t>**wskakunin_dairi4_JIMU_NO</t>
  </si>
  <si>
    <t>cst_wskakunin_dairi4_JIMU_NO</t>
  </si>
  <si>
    <t>**wskakunin_dairi4_JIMU_NAME</t>
  </si>
  <si>
    <t>cst_wskakunin_dairi4_JIMU_NAME</t>
  </si>
  <si>
    <t>**wskakunin_dairi4_ZIP</t>
  </si>
  <si>
    <t>cst_wskakunin_dairi4_ZIP</t>
  </si>
  <si>
    <t>**wskakunin_dairi4__address</t>
  </si>
  <si>
    <t>cst_wskakunin_dairi4__address</t>
  </si>
  <si>
    <t>**wskakunin_dairi4_TEL</t>
  </si>
  <si>
    <t>cst_wskakunin_dairi4_TEL</t>
  </si>
  <si>
    <t>**wskakunin_dairi4_FAX</t>
  </si>
  <si>
    <t>cst_wskakunin_dairi4_FAX</t>
  </si>
  <si>
    <t>cst_wskakunin_dairi4__space</t>
  </si>
  <si>
    <t>**wskakunin_dairi5__sikaku</t>
  </si>
  <si>
    <t>cst_wskakunin_dairi5__sikaku</t>
  </si>
  <si>
    <t>**wskakunin_dairi5_SIKAKU__label</t>
  </si>
  <si>
    <t>cst_wskakunin_dairi5_SIKAKU</t>
  </si>
  <si>
    <t>**wskakunin_dairi5_TOUROKU_KIKAN__label</t>
  </si>
  <si>
    <t>cst_wskakunin_dairi5_TOUROKU_KIKAN</t>
  </si>
  <si>
    <t>**wskakunin_dairi5_KENTIKUSI_NO</t>
  </si>
  <si>
    <t>cst_wskakunin_dairi5_KENTIKUSI_NO</t>
  </si>
  <si>
    <t>**wskakunin_dairi5_NAME</t>
  </si>
  <si>
    <t>cst_wskakunin_dairi5_NAME</t>
  </si>
  <si>
    <t>**wskakunin_dairi5_NAME_KANA</t>
  </si>
  <si>
    <t>cst_wskakunin_dairi5_NAME_KANA</t>
  </si>
  <si>
    <t>**wskakunin_dairi5_JIMU__sikaku</t>
  </si>
  <si>
    <t>cst_wskakunin_dairi5_JIMU__sikaku</t>
  </si>
  <si>
    <t>**wskakunin_dairi5_JIMU_SIKAKU__label</t>
  </si>
  <si>
    <t>cst_wskakunin_dairi5_JIMU_SIKAKU</t>
  </si>
  <si>
    <t>**wskakunin_dairi5_JIMU_TOUROKU_KIKAN__label</t>
  </si>
  <si>
    <t>cst_wskakunin_dairi5_JIMU_TOUROKU_KIKAN</t>
  </si>
  <si>
    <t>**wskakunin_dairi5_JIMU_NO</t>
  </si>
  <si>
    <t>cst_wskakunin_dairi5_JIMU_NO</t>
  </si>
  <si>
    <t>**wskakunin_dairi5_JIMU_NAME</t>
  </si>
  <si>
    <t>cst_wskakunin_dairi5_JIMU_NAME</t>
  </si>
  <si>
    <t>**wskakunin_dairi5_ZIP</t>
  </si>
  <si>
    <t>cst_wskakunin_dairi5_ZIP</t>
  </si>
  <si>
    <t>**wskakunin_dairi5__address</t>
  </si>
  <si>
    <t>cst_wskakunin_dairi5__address</t>
  </si>
  <si>
    <t>**wskakunin_dairi5_TEL</t>
  </si>
  <si>
    <t>cst_wskakunin_dairi5_TEL</t>
  </si>
  <si>
    <t>**wskakunin_dairi5_FAX</t>
  </si>
  <si>
    <t>cst_wskakunin_dairi5_FAX</t>
  </si>
  <si>
    <t>cst_wskakunin_dairi5__space</t>
  </si>
  <si>
    <t>設計者5</t>
  </si>
  <si>
    <t>**wskakunin_sekkei5__sikaku</t>
  </si>
  <si>
    <t>cst_wskakunin_sekkei5__sikaku</t>
  </si>
  <si>
    <t>**wskakunin_sekkei5_SIKAKU__label</t>
  </si>
  <si>
    <t>cst_wskakunin_sekkei5_SIKAKU</t>
  </si>
  <si>
    <t>**wskakunin_sekkei5_TOUROKU_KIKAN__label</t>
  </si>
  <si>
    <t>cst_wskakunin_sekkei5_TOUROKU_KIKAN</t>
  </si>
  <si>
    <t>**wskakunin_sekkei5_KENTIKUSI_NO</t>
  </si>
  <si>
    <t>cst_wskakunin_sekkei5_KENTIKUSI_NO</t>
  </si>
  <si>
    <t>**wskakunin_sekkei5_NAME</t>
  </si>
  <si>
    <t>cst_wskakunin_sekkei5_NAME</t>
  </si>
  <si>
    <t>**wskakunin_sekkei5_JIMU__sikaku</t>
  </si>
  <si>
    <t>cst_wskakunin_sekkei5_JIMU__sikaku</t>
  </si>
  <si>
    <t>**wskakunin_sekkei5_JIMU_SIKAKU__label</t>
  </si>
  <si>
    <t>cst_wskakunin_sekkei5_JIMU_SIKAKU</t>
  </si>
  <si>
    <t>**wskakunin_sekkei5_JIMU_TOUROKU_KIKAN__label</t>
  </si>
  <si>
    <t>cst_wskakunin_sekkei5_JIMU_TOUROKU_KIKAN</t>
  </si>
  <si>
    <t>**wskakunin_sekkei5_JIMU_NO</t>
  </si>
  <si>
    <t>cst_wskakunin_sekkei5_JIMU_NO</t>
  </si>
  <si>
    <t>**wskakunin_sekkei5_JIMU_NAME</t>
  </si>
  <si>
    <t>cst_wskakunin_sekkei5_JIMU_NAME</t>
  </si>
  <si>
    <t>cst_wskakunin_sekkei5_jimuname_name</t>
  </si>
  <si>
    <t>**wskakunin_sekkei5_ZIP</t>
  </si>
  <si>
    <t>cst_wskakunin_sekkei5_ZIP</t>
  </si>
  <si>
    <t>**wskakunin_sekkei5__address</t>
  </si>
  <si>
    <t>cst_wskakunin_sekkei5__address</t>
  </si>
  <si>
    <t>**wskakunin_sekkei5_TEL</t>
  </si>
  <si>
    <t>cst_wskakunin_sekkei5_TEL</t>
  </si>
  <si>
    <t>**wskakunin_sekkei5_DOC</t>
  </si>
  <si>
    <t>cst_wskakunin_sekkei5_DOC</t>
  </si>
  <si>
    <t>**wskakunin_sekkei6__sikaku</t>
  </si>
  <si>
    <t>cst_wskakunin_sekkei6__sikaku</t>
  </si>
  <si>
    <t>**wskakunin_sekkei6_SIKAKU__label</t>
  </si>
  <si>
    <t>cst_wskakunin_sekkei6_SIKAKU</t>
  </si>
  <si>
    <t>**wskakunin_sekkei6_TOUROKU_KIKAN__label</t>
  </si>
  <si>
    <t>cst_wskakunin_sekkei6_TOUROKU_KIKAN</t>
  </si>
  <si>
    <t>**wskakunin_sekkei6_KENTIKUSI_NO</t>
  </si>
  <si>
    <t>cst_wskakunin_sekkei6_KENTIKUSI_NO</t>
  </si>
  <si>
    <t>**wskakunin_sekkei6_NAME</t>
  </si>
  <si>
    <t>cst_wskakunin_sekkei6_NAME</t>
  </si>
  <si>
    <t>**wskakunin_sekkei6_JIMU__sikaku</t>
  </si>
  <si>
    <t>cst_wskakunin_sekkei6_JIMU__sikaku</t>
  </si>
  <si>
    <t>**wskakunin_sekkei6_JIMU_SIKAKU__label</t>
  </si>
  <si>
    <t>cst_wskakunin_sekkei6_JIMU_SIKAKU</t>
  </si>
  <si>
    <t>**wskakunin_sekkei6_JIMU_TOUROKU_KIKAN__label</t>
  </si>
  <si>
    <t>cst_wskakunin_sekkei6_JIMU_TOUROKU_KIKAN</t>
  </si>
  <si>
    <t>**wskakunin_sekkei6_JIMU_NO</t>
  </si>
  <si>
    <t>cst_wskakunin_sekkei6_JIMU_NO</t>
  </si>
  <si>
    <t>**wskakunin_sekkei6_JIMU_NAME</t>
  </si>
  <si>
    <t>cst_wskakunin_sekkei6_JIMU_NAME</t>
  </si>
  <si>
    <t>cst_wskakunin_sekkei6_jimuname_name</t>
  </si>
  <si>
    <t>**wskakunin_sekkei6_ZIP</t>
  </si>
  <si>
    <t>cst_wskakunin_sekkei6_ZIP</t>
  </si>
  <si>
    <t>**wskakunin_sekkei6__address</t>
  </si>
  <si>
    <t>cst_wskakunin_sekkei6__address</t>
  </si>
  <si>
    <t>**wskakunin_sekkei6_TEL</t>
  </si>
  <si>
    <t>cst_wskakunin_sekkei6_TEL</t>
  </si>
  <si>
    <t>**wskakunin_sekkei6_DOC</t>
  </si>
  <si>
    <t>cst_wskakunin_sekkei6_DOC</t>
  </si>
  <si>
    <t>**wskakunin_sekkei7__sikaku</t>
  </si>
  <si>
    <t>cst_wskakunin_sekkei7__sikaku</t>
  </si>
  <si>
    <t>**wskakunin_sekkei7_SIKAKU__label</t>
  </si>
  <si>
    <t>cst_wskakunin_sekkei7_SIKAKU</t>
  </si>
  <si>
    <t>**wskakunin_sekkei7_TOUROKU_KIKAN__label</t>
  </si>
  <si>
    <t>cst_wskakunin_sekkei7_TOUROKU_KIKAN</t>
  </si>
  <si>
    <t>**wskakunin_sekkei7_KENTIKUSI_NO</t>
  </si>
  <si>
    <t>cst_wskakunin_sekkei7_KENTIKUSI_NO</t>
  </si>
  <si>
    <t>**wskakunin_sekkei7_NAME</t>
  </si>
  <si>
    <t>cst_wskakunin_sekkei7_NAME</t>
  </si>
  <si>
    <t>**wskakunin_sekkei7_JIMU__sikaku</t>
  </si>
  <si>
    <t>cst_wskakunin_sekkei7_JIMU__sikaku</t>
  </si>
  <si>
    <t>**wskakunin_sekkei7_JIMU_SIKAKU__label</t>
  </si>
  <si>
    <t>cst_wskakunin_sekkei7_JIMU_SIKAKU</t>
  </si>
  <si>
    <t>**wskakunin_sekkei7_JIMU_TOUROKU_KIKAN__label</t>
  </si>
  <si>
    <t>cst_wskakunin_sekkei7_JIMU_TOUROKU_KIKAN</t>
  </si>
  <si>
    <t>**wskakunin_sekkei7_JIMU_NO</t>
  </si>
  <si>
    <t>cst_wskakunin_sekkei7_JIMU_NO</t>
  </si>
  <si>
    <t>**wskakunin_sekkei7_JIMU_NAME</t>
  </si>
  <si>
    <t>cst_wskakunin_sekkei7_JIMU_NAME</t>
  </si>
  <si>
    <t>cst_wskakunin_sekkei7_jimuname_name</t>
  </si>
  <si>
    <t>**wskakunin_sekkei7_ZIP</t>
  </si>
  <si>
    <t>cst_wskakunin_sekkei7_ZIP</t>
  </si>
  <si>
    <t>**wskakunin_sekkei7__address</t>
  </si>
  <si>
    <t>cst_wskakunin_sekkei7__address</t>
  </si>
  <si>
    <t>**wskakunin_sekkei7_TEL</t>
  </si>
  <si>
    <t>cst_wskakunin_sekkei7_TEL</t>
  </si>
  <si>
    <t>**wskakunin_sekkei7_DOC</t>
  </si>
  <si>
    <t>cst_wskakunin_sekkei7_DOC</t>
  </si>
  <si>
    <t>**wskakunin_sekkei8__sikaku</t>
  </si>
  <si>
    <t>cst_wskakunin_sekkei8__sikaku</t>
  </si>
  <si>
    <t>**wskakunin_sekkei8_SIKAKU__label</t>
  </si>
  <si>
    <t>cst_wskakunin_sekkei8_SIKAKU</t>
  </si>
  <si>
    <t>**wskakunin_sekkei8_TOUROKU_KIKAN__label</t>
  </si>
  <si>
    <t>cst_wskakunin_sekkei8_TOUROKU_KIKAN</t>
  </si>
  <si>
    <t>**wskakunin_sekkei8_KENTIKUSI_NO</t>
  </si>
  <si>
    <t>cst_wskakunin_sekkei8_KENTIKUSI_NO</t>
  </si>
  <si>
    <t>**wskakunin_sekkei8_NAME</t>
  </si>
  <si>
    <t>cst_wskakunin_sekkei8_NAME</t>
  </si>
  <si>
    <t>**wskakunin_sekkei8_JIMU__sikaku</t>
  </si>
  <si>
    <t>cst_wskakunin_sekkei8_JIMU__sikaku</t>
  </si>
  <si>
    <t>**wskakunin_sekkei8_JIMU_SIKAKU__label</t>
  </si>
  <si>
    <t>cst_wskakunin_sekkei8_JIMU_SIKAKU</t>
  </si>
  <si>
    <t>**wskakunin_sekkei8_JIMU_TOUROKU_KIKAN__label</t>
  </si>
  <si>
    <t>cst_wskakunin_sekkei8_JIMU_TOUROKU_KIKAN</t>
  </si>
  <si>
    <t>**wskakunin_sekkei8_JIMU_NO</t>
  </si>
  <si>
    <t>cst_wskakunin_sekkei8_JIMU_NO</t>
  </si>
  <si>
    <t>**wskakunin_sekkei8_JIMU_NAME</t>
  </si>
  <si>
    <t>cst_wskakunin_sekkei8_JIMU_NAME</t>
  </si>
  <si>
    <t>cst_wskakunin_sekkei8_jimuname_name</t>
  </si>
  <si>
    <t>**wskakunin_sekkei8_ZIP</t>
  </si>
  <si>
    <t>cst_wskakunin_sekkei8_ZIP</t>
  </si>
  <si>
    <t>**wskakunin_sekkei8__address</t>
  </si>
  <si>
    <t>cst_wskakunin_sekkei8__address</t>
  </si>
  <si>
    <t>**wskakunin_sekkei8_TEL</t>
  </si>
  <si>
    <t>cst_wskakunin_sekkei8_TEL</t>
  </si>
  <si>
    <t>**wskakunin_sekkei8_DOC</t>
  </si>
  <si>
    <t>cst_wskakunin_sekkei8_DOC</t>
  </si>
  <si>
    <t>**wskakunin_sekkei9__sikaku</t>
  </si>
  <si>
    <t>cst_wskakunin_sekkei9__sikaku</t>
  </si>
  <si>
    <t>**wskakunin_sekkei9_SIKAKU__label</t>
  </si>
  <si>
    <t>cst_wskakunin_sekkei9_SIKAKU</t>
  </si>
  <si>
    <t>**wskakunin_sekkei9_TOUROKU_KIKAN__label</t>
  </si>
  <si>
    <t>cst_wskakunin_sekkei9_TOUROKU_KIKAN</t>
  </si>
  <si>
    <t>**wskakunin_sekkei9_KENTIKUSI_NO</t>
  </si>
  <si>
    <t>cst_wskakunin_sekkei9_KENTIKUSI_NO</t>
  </si>
  <si>
    <t>**wskakunin_sekkei9_NAME</t>
  </si>
  <si>
    <t>cst_wskakunin_sekkei9_NAME</t>
  </si>
  <si>
    <t>**wskakunin_sekkei9_JIMU__sikaku</t>
  </si>
  <si>
    <t>cst_wskakunin_sekkei9_JIMU__sikaku</t>
  </si>
  <si>
    <t>**wskakunin_sekkei9_JIMU_SIKAKU__label</t>
  </si>
  <si>
    <t>cst_wskakunin_sekkei9_JIMU_SIKAKU</t>
  </si>
  <si>
    <t>**wskakunin_sekkei9_JIMU_TOUROKU_KIKAN__label</t>
  </si>
  <si>
    <t>cst_wskakunin_sekkei9_JIMU_TOUROKU_KIKAN</t>
  </si>
  <si>
    <t>**wskakunin_sekkei9_JIMU_NO</t>
  </si>
  <si>
    <t>cst_wskakunin_sekkei9_JIMU_NO</t>
  </si>
  <si>
    <t>**wskakunin_sekkei9_JIMU_NAME</t>
  </si>
  <si>
    <t>cst_wskakunin_sekkei9_JIMU_NAME</t>
  </si>
  <si>
    <t>cst_wskakunin_sekkei9_jimuname_name</t>
  </si>
  <si>
    <t>**wskakunin_sekkei9_ZIP</t>
  </si>
  <si>
    <t>cst_wskakunin_sekkei9_ZIP</t>
  </si>
  <si>
    <t>**wskakunin_sekkei9__address</t>
  </si>
  <si>
    <t>cst_wskakunin_sekkei9__address</t>
  </si>
  <si>
    <t>**wskakunin_sekkei9_TEL</t>
  </si>
  <si>
    <t>cst_wskakunin_sekkei9_TEL</t>
  </si>
  <si>
    <t>**wskakunin_sekkei9_DOC</t>
  </si>
  <si>
    <t>cst_wskakunin_sekkei9_DOC</t>
  </si>
  <si>
    <t>**wskakunin_sekkei10__sikaku</t>
  </si>
  <si>
    <t>cst_wskakunin_sekkei10__sikaku</t>
  </si>
  <si>
    <t>**wskakunin_sekkei10_SIKAKU__label</t>
  </si>
  <si>
    <t>cst_wskakunin_sekkei10_SIKAKU</t>
  </si>
  <si>
    <t>**wskakunin_sekkei10_TOUROKU_KIKAN__label</t>
  </si>
  <si>
    <t>cst_wskakunin_sekkei10_TOUROKU_KIKAN</t>
  </si>
  <si>
    <t>**wskakunin_sekkei10_KENTIKUSI_NO</t>
  </si>
  <si>
    <t>cst_wskakunin_sekkei10_KENTIKUSI_NO</t>
  </si>
  <si>
    <t>**wskakunin_sekkei10_NAME</t>
  </si>
  <si>
    <t>cst_wskakunin_sekkei10_NAME</t>
  </si>
  <si>
    <t>**wskakunin_sekkei10_JIMU__sikaku</t>
  </si>
  <si>
    <t>cst_wskakunin_sekkei10_JIMU__sikaku</t>
  </si>
  <si>
    <t>**wskakunin_sekkei10_JIMU_SIKAKU__label</t>
  </si>
  <si>
    <t>cst_wskakunin_sekkei10_JIMU_SIKAKU</t>
  </si>
  <si>
    <t>**wskakunin_sekkei10_JIMU_TOUROKU_KIKAN__label</t>
  </si>
  <si>
    <t>cst_wskakunin_sekkei10_JIMU_TOUROKU_KIKAN</t>
  </si>
  <si>
    <t>**wskakunin_sekkei10_JIMU_NO</t>
  </si>
  <si>
    <t>cst_wskakunin_sekkei10_JIMU_NO</t>
  </si>
  <si>
    <t>**wskakunin_sekkei10_JIMU_NAME</t>
  </si>
  <si>
    <t>cst_wskakunin_sekkei10_JIMU_NAME</t>
  </si>
  <si>
    <t>cst_wskakunin_sekkei10_jimuname_name</t>
  </si>
  <si>
    <t>**wskakunin_sekkei10_ZIP</t>
  </si>
  <si>
    <t>cst_wskakunin_sekkei10_ZIP</t>
  </si>
  <si>
    <t>**wskakunin_sekkei10__address</t>
  </si>
  <si>
    <t>cst_wskakunin_sekkei10__address</t>
  </si>
  <si>
    <t>**wskakunin_sekkei10_TEL</t>
  </si>
  <si>
    <t>cst_wskakunin_sekkei10_TEL</t>
  </si>
  <si>
    <t>**wskakunin_sekkei10_DOC</t>
  </si>
  <si>
    <t>cst_wskakunin_sekkei10_DOC</t>
  </si>
  <si>
    <t>**wskakunin_sekkei11__sikaku</t>
  </si>
  <si>
    <t>cst_wskakunin_sekkei11__sikaku</t>
  </si>
  <si>
    <t>**wskakunin_sekkei11_SIKAKU__label</t>
  </si>
  <si>
    <t>cst_wskakunin_sekkei11_SIKAKU</t>
  </si>
  <si>
    <t>**wskakunin_sekkei11_TOUROKU_KIKAN__label</t>
  </si>
  <si>
    <t>cst_wskakunin_sekkei11_TOUROKU_KIKAN</t>
  </si>
  <si>
    <t>**wskakunin_sekkei11_KENTIKUSI_NO</t>
  </si>
  <si>
    <t>cst_wskakunin_sekkei11_KENTIKUSI_NO</t>
  </si>
  <si>
    <t>**wskakunin_sekkei11_NAME</t>
  </si>
  <si>
    <t>cst_wskakunin_sekkei11_NAME</t>
  </si>
  <si>
    <t>**wskakunin_sekkei11_JIMU__sikaku</t>
  </si>
  <si>
    <t>cst_wskakunin_sekkei11_JIMU__sikaku</t>
  </si>
  <si>
    <t>**wskakunin_sekkei11_JIMU_SIKAKU__label</t>
  </si>
  <si>
    <t>cst_wskakunin_sekkei11_JIMU_SIKAKU</t>
  </si>
  <si>
    <t>**wskakunin_sekkei11_JIMU_TOUROKU_KIKAN__label</t>
  </si>
  <si>
    <t>cst_wskakunin_sekkei11_JIMU_TOUROKU_KIKAN</t>
  </si>
  <si>
    <t>**wskakunin_sekkei11_JIMU_NO</t>
  </si>
  <si>
    <t>cst_wskakunin_sekkei11_JIMU_NO</t>
  </si>
  <si>
    <t>**wskakunin_sekkei11_JIMU_NAME</t>
  </si>
  <si>
    <t>cst_wskakunin_sekkei11_JIMU_NAME</t>
  </si>
  <si>
    <t>cst_wskakunin_sekkei11_jimuname_name</t>
  </si>
  <si>
    <t>**wskakunin_sekkei11_ZIP</t>
  </si>
  <si>
    <t>cst_wskakunin_sekkei11_ZIP</t>
  </si>
  <si>
    <t>**wskakunin_sekkei11__address</t>
  </si>
  <si>
    <t>cst_wskakunin_sekkei11__address</t>
  </si>
  <si>
    <t>**wskakunin_sekkei11_TEL</t>
  </si>
  <si>
    <t>cst_wskakunin_sekkei11_TEL</t>
  </si>
  <si>
    <t>**wskakunin_sekkei11_DOC</t>
  </si>
  <si>
    <t>cst_wskakunin_sekkei11_DOC</t>
  </si>
  <si>
    <t>設計者11</t>
  </si>
  <si>
    <t>設計者6</t>
  </si>
  <si>
    <t>設計者7</t>
  </si>
  <si>
    <t>設計者8</t>
  </si>
  <si>
    <t>設計者9</t>
  </si>
  <si>
    <t>設計者10</t>
  </si>
  <si>
    <t>（その他の工事監理者）</t>
  </si>
  <si>
    <t>**wskakunin_kanri5__sikaku</t>
  </si>
  <si>
    <t>cst_wskakunin_kanri5__sikaku</t>
  </si>
  <si>
    <t>**wskakunin_kanri5_SIKAKU__label</t>
  </si>
  <si>
    <t>cst_wskakunin_kanri5_SIKAKU</t>
  </si>
  <si>
    <t>**wskakunin_kanri5_TOUROKU_KIKAN__label</t>
  </si>
  <si>
    <t>cst_wskakunin_kanri5_TOUROKU_KIKAN</t>
  </si>
  <si>
    <t>**wskakunin_kanri5_KENTIKUSI_NO</t>
  </si>
  <si>
    <t>cst_wskakunin_kanri5_KENTIKUSI_NO</t>
  </si>
  <si>
    <t>**wskakunin_kanri5_NAME</t>
  </si>
  <si>
    <t>cst_wskakunin_kanri5_NAME</t>
  </si>
  <si>
    <t>**wskakunin_kanri5_JIMU__sikaku</t>
  </si>
  <si>
    <t>cst_wskakunin_kanri5_JIMU__sikaku</t>
  </si>
  <si>
    <t>**wskakunin_kanri5_JIMU_SIKAKU__label</t>
  </si>
  <si>
    <t>cst_wskakunin_kanri5_JIMU_SIKAKU</t>
  </si>
  <si>
    <t>**wskakunin_kanri5_JIMU_TOUROKU_KIKAN__label</t>
  </si>
  <si>
    <t>cst_wskakunin_kanri5_JIMU_TOUROKU_KIKAN</t>
  </si>
  <si>
    <t>**wskakunin_kanri5_JIMU_NO</t>
  </si>
  <si>
    <t>cst_wskakunin_kanri5_JIMU_NO</t>
  </si>
  <si>
    <t>**wskakunin_kanri5_JIMU_NAME</t>
  </si>
  <si>
    <t>cst_wskakunin_kanri5_JIMU_NAME</t>
  </si>
  <si>
    <t>**wskakunin_kanri5_ZIP</t>
  </si>
  <si>
    <t>cst_wskakunin_kanri5_ZIP</t>
  </si>
  <si>
    <t>**wskakunin_kanri5__address</t>
  </si>
  <si>
    <t>cst_wskakunin_kanri5__address</t>
  </si>
  <si>
    <t>**wskakunin_kanri5_TEL</t>
  </si>
  <si>
    <t>cst_wskakunin_kanri5_TEL</t>
  </si>
  <si>
    <t>**wskakunin_kanri5_DOC</t>
  </si>
  <si>
    <t>cst_wskakunin_kanri5_DOC</t>
  </si>
  <si>
    <t>**wskakunin_kanri6__sikaku</t>
  </si>
  <si>
    <t>cst_wskakunin_kanri6__sikaku</t>
  </si>
  <si>
    <t>**wskakunin_kanri6_SIKAKU__label</t>
  </si>
  <si>
    <t>cst_wskakunin_kanri6_SIKAKU</t>
  </si>
  <si>
    <t>**wskakunin_kanri6_TOUROKU_KIKAN__label</t>
  </si>
  <si>
    <t>cst_wskakunin_kanri6_TOUROKU_KIKAN</t>
  </si>
  <si>
    <t>**wskakunin_kanri6_KENTIKUSI_NO</t>
  </si>
  <si>
    <t>cst_wskakunin_kanri6_KENTIKUSI_NO</t>
  </si>
  <si>
    <t>**wskakunin_kanri6_NAME</t>
  </si>
  <si>
    <t>cst_wskakunin_kanri6_NAME</t>
  </si>
  <si>
    <t>**wskakunin_kanri6_JIMU__sikaku</t>
  </si>
  <si>
    <t>cst_wskakunin_kanri6_JIMU__sikaku</t>
  </si>
  <si>
    <t>**wskakunin_kanri6_JIMU_SIKAKU__label</t>
  </si>
  <si>
    <t>cst_wskakunin_kanri6_JIMU_SIKAKU</t>
  </si>
  <si>
    <t>**wskakunin_kanri6_JIMU_TOUROKU_KIKAN__label</t>
  </si>
  <si>
    <t>cst_wskakunin_kanri6_JIMU_TOUROKU_KIKAN</t>
  </si>
  <si>
    <t>**wskakunin_kanri6_JIMU_NO</t>
  </si>
  <si>
    <t>cst_wskakunin_kanri6_JIMU_NO</t>
  </si>
  <si>
    <t>**wskakunin_kanri6_JIMU_NAME</t>
  </si>
  <si>
    <t>cst_wskakunin_kanri6_JIMU_NAME</t>
  </si>
  <si>
    <t>**wskakunin_kanri6_ZIP</t>
  </si>
  <si>
    <t>cst_wskakunin_kanri6_ZIP</t>
  </si>
  <si>
    <t>**wskakunin_kanri6__address</t>
  </si>
  <si>
    <t>cst_wskakunin_kanri6__address</t>
  </si>
  <si>
    <t>**wskakunin_kanri6_TEL</t>
  </si>
  <si>
    <t>cst_wskakunin_kanri6_TEL</t>
  </si>
  <si>
    <t>**wskakunin_kanri6_DOC</t>
  </si>
  <si>
    <t>cst_wskakunin_kanri6_DOC</t>
  </si>
  <si>
    <t>**wskakunin_kanri7__sikaku</t>
  </si>
  <si>
    <t>cst_wskakunin_kanri7__sikaku</t>
  </si>
  <si>
    <t>**wskakunin_kanri7_SIKAKU__label</t>
  </si>
  <si>
    <t>cst_wskakunin_kanri7_SIKAKU</t>
  </si>
  <si>
    <t>**wskakunin_kanri7_TOUROKU_KIKAN__label</t>
  </si>
  <si>
    <t>cst_wskakunin_kanri7_TOUROKU_KIKAN</t>
  </si>
  <si>
    <t>**wskakunin_kanri7_KENTIKUSI_NO</t>
  </si>
  <si>
    <t>cst_wskakunin_kanri7_KENTIKUSI_NO</t>
  </si>
  <si>
    <t>**wskakunin_kanri7_NAME</t>
  </si>
  <si>
    <t>cst_wskakunin_kanri7_NAME</t>
  </si>
  <si>
    <t>**wskakunin_kanri7_JIMU__sikaku</t>
  </si>
  <si>
    <t>cst_wskakunin_kanri7_JIMU__sikaku</t>
  </si>
  <si>
    <t>**wskakunin_kanri7_JIMU_SIKAKU__label</t>
  </si>
  <si>
    <t>cst_wskakunin_kanri7_JIMU_SIKAKU</t>
  </si>
  <si>
    <t>**wskakunin_kanri7_JIMU_TOUROKU_KIKAN__label</t>
  </si>
  <si>
    <t>cst_wskakunin_kanri7_JIMU_TOUROKU_KIKAN</t>
  </si>
  <si>
    <t>**wskakunin_kanri7_JIMU_NO</t>
  </si>
  <si>
    <t>cst_wskakunin_kanri7_JIMU_NO</t>
  </si>
  <si>
    <t>**wskakunin_kanri7_JIMU_NAME</t>
  </si>
  <si>
    <t>cst_wskakunin_kanri7_JIMU_NAME</t>
  </si>
  <si>
    <t>**wskakunin_kanri7_ZIP</t>
  </si>
  <si>
    <t>cst_wskakunin_kanri7_ZIP</t>
  </si>
  <si>
    <t>**wskakunin_kanri7__address</t>
  </si>
  <si>
    <t>cst_wskakunin_kanri7__address</t>
  </si>
  <si>
    <t>**wskakunin_kanri7_TEL</t>
  </si>
  <si>
    <t>cst_wskakunin_kanri7_TEL</t>
  </si>
  <si>
    <t>**wskakunin_kanri7_DOC</t>
  </si>
  <si>
    <t>cst_wskakunin_kanri7_DOC</t>
  </si>
  <si>
    <t>**wskakunin_kanri8__sikaku</t>
  </si>
  <si>
    <t>cst_wskakunin_kanri8__sikaku</t>
  </si>
  <si>
    <t>**wskakunin_kanri8_SIKAKU__label</t>
  </si>
  <si>
    <t>cst_wskakunin_kanri8_SIKAKU</t>
  </si>
  <si>
    <t>**wskakunin_kanri8_TOUROKU_KIKAN__label</t>
  </si>
  <si>
    <t>cst_wskakunin_kanri8_TOUROKU_KIKAN</t>
  </si>
  <si>
    <t>**wskakunin_kanri8_KENTIKUSI_NO</t>
  </si>
  <si>
    <t>cst_wskakunin_kanri8_KENTIKUSI_NO</t>
  </si>
  <si>
    <t>**wskakunin_kanri8_NAME</t>
  </si>
  <si>
    <t>cst_wskakunin_kanri8_NAME</t>
  </si>
  <si>
    <t>**wskakunin_kanri8_JIMU__sikaku</t>
  </si>
  <si>
    <t>cst_wskakunin_kanri8_JIMU__sikaku</t>
  </si>
  <si>
    <t>**wskakunin_kanri8_JIMU_SIKAKU__label</t>
  </si>
  <si>
    <t>cst_wskakunin_kanri8_JIMU_SIKAKU</t>
  </si>
  <si>
    <t>**wskakunin_kanri8_JIMU_TOUROKU_KIKAN__label</t>
  </si>
  <si>
    <t>cst_wskakunin_kanri8_JIMU_TOUROKU_KIKAN</t>
  </si>
  <si>
    <t>**wskakunin_kanri8_JIMU_NO</t>
  </si>
  <si>
    <t>cst_wskakunin_kanri8_JIMU_NO</t>
  </si>
  <si>
    <t>**wskakunin_kanri8_JIMU_NAME</t>
  </si>
  <si>
    <t>cst_wskakunin_kanri8_JIMU_NAME</t>
  </si>
  <si>
    <t>**wskakunin_kanri8_ZIP</t>
  </si>
  <si>
    <t>cst_wskakunin_kanri8_ZIP</t>
  </si>
  <si>
    <t>**wskakunin_kanri8__address</t>
  </si>
  <si>
    <t>cst_wskakunin_kanri8__address</t>
  </si>
  <si>
    <t>**wskakunin_kanri8_TEL</t>
  </si>
  <si>
    <t>cst_wskakunin_kanri8_TEL</t>
  </si>
  <si>
    <t>**wskakunin_kanri8_DOC</t>
  </si>
  <si>
    <t>cst_wskakunin_kanri8_DOC</t>
  </si>
  <si>
    <t>**wskakunin_kanri9__sikaku</t>
  </si>
  <si>
    <t>cst_wskakunin_kanri9__sikaku</t>
  </si>
  <si>
    <t>**wskakunin_kanri9_SIKAKU__label</t>
  </si>
  <si>
    <t>cst_wskakunin_kanri9_SIKAKU</t>
  </si>
  <si>
    <t>**wskakunin_kanri9_TOUROKU_KIKAN__label</t>
  </si>
  <si>
    <t>cst_wskakunin_kanri9_TOUROKU_KIKAN</t>
  </si>
  <si>
    <t>**wskakunin_kanri9_KENTIKUSI_NO</t>
  </si>
  <si>
    <t>cst_wskakunin_kanri9_KENTIKUSI_NO</t>
  </si>
  <si>
    <t>**wskakunin_kanri9_NAME</t>
  </si>
  <si>
    <t>cst_wskakunin_kanri9_NAME</t>
  </si>
  <si>
    <t>**wskakunin_kanri9_JIMU__sikaku</t>
  </si>
  <si>
    <t>cst_wskakunin_kanri9_JIMU__sikaku</t>
  </si>
  <si>
    <t>**wskakunin_kanri9_JIMU_SIKAKU__label</t>
  </si>
  <si>
    <t>cst_wskakunin_kanri9_JIMU_SIKAKU</t>
  </si>
  <si>
    <t>**wskakunin_kanri9_JIMU_TOUROKU_KIKAN__label</t>
  </si>
  <si>
    <t>cst_wskakunin_kanri9_JIMU_TOUROKU_KIKAN</t>
  </si>
  <si>
    <t>**wskakunin_kanri9_JIMU_NO</t>
  </si>
  <si>
    <t>cst_wskakunin_kanri9_JIMU_NO</t>
  </si>
  <si>
    <t>**wskakunin_kanri9_JIMU_NAME</t>
  </si>
  <si>
    <t>cst_wskakunin_kanri9_JIMU_NAME</t>
  </si>
  <si>
    <t>**wskakunin_kanri9_ZIP</t>
  </si>
  <si>
    <t>cst_wskakunin_kanri9_ZIP</t>
  </si>
  <si>
    <t>**wskakunin_kanri9__address</t>
  </si>
  <si>
    <t>cst_wskakunin_kanri9__address</t>
  </si>
  <si>
    <t>**wskakunin_kanri9_TEL</t>
  </si>
  <si>
    <t>cst_wskakunin_kanri9_TEL</t>
  </si>
  <si>
    <t>**wskakunin_kanri9_DOC</t>
  </si>
  <si>
    <t>cst_wskakunin_kanri9_DOC</t>
  </si>
  <si>
    <t>**wskakunin_kanri10__sikaku</t>
  </si>
  <si>
    <t>cst_wskakunin_kanri10__sikaku</t>
  </si>
  <si>
    <t>**wskakunin_kanri10_SIKAKU__label</t>
  </si>
  <si>
    <t>cst_wskakunin_kanri10_SIKAKU</t>
  </si>
  <si>
    <t>**wskakunin_kanri10_TOUROKU_KIKAN__label</t>
  </si>
  <si>
    <t>cst_wskakunin_kanri10_TOUROKU_KIKAN</t>
  </si>
  <si>
    <t>**wskakunin_kanri10_KENTIKUSI_NO</t>
  </si>
  <si>
    <t>cst_wskakunin_kanri10_KENTIKUSI_NO</t>
  </si>
  <si>
    <t>**wskakunin_kanri10_NAME</t>
  </si>
  <si>
    <t>cst_wskakunin_kanri10_NAME</t>
  </si>
  <si>
    <t>**wskakunin_kanri10_JIMU__sikaku</t>
  </si>
  <si>
    <t>cst_wskakunin_kanri10_JIMU__sikaku</t>
  </si>
  <si>
    <t>**wskakunin_kanri10_JIMU_SIKAKU__label</t>
  </si>
  <si>
    <t>cst_wskakunin_kanri10_JIMU_SIKAKU</t>
  </si>
  <si>
    <t>**wskakunin_kanri10_JIMU_TOUROKU_KIKAN__label</t>
  </si>
  <si>
    <t>cst_wskakunin_kanri10_JIMU_TOUROKU_KIKAN</t>
  </si>
  <si>
    <t>**wskakunin_kanri10_JIMU_NO</t>
  </si>
  <si>
    <t>cst_wskakunin_kanri10_JIMU_NO</t>
  </si>
  <si>
    <t>**wskakunin_kanri10_JIMU_NAME</t>
  </si>
  <si>
    <t>cst_wskakunin_kanri10_JIMU_NAME</t>
  </si>
  <si>
    <t>**wskakunin_kanri10_ZIP</t>
  </si>
  <si>
    <t>cst_wskakunin_kanri10_ZIP</t>
  </si>
  <si>
    <t>**wskakunin_kanri10__address</t>
  </si>
  <si>
    <t>cst_wskakunin_kanri10__address</t>
  </si>
  <si>
    <t>**wskakunin_kanri10_TEL</t>
  </si>
  <si>
    <t>cst_wskakunin_kanri10_TEL</t>
  </si>
  <si>
    <t>**wskakunin_kanri10_DOC</t>
  </si>
  <si>
    <t>cst_wskakunin_kanri10_DOC</t>
  </si>
  <si>
    <t>**wskakunin_kanri11__sikaku</t>
  </si>
  <si>
    <t>cst_wskakunin_kanri11__sikaku</t>
  </si>
  <si>
    <t>**wskakunin_kanri11_SIKAKU__label</t>
  </si>
  <si>
    <t>cst_wskakunin_kanri11_SIKAKU</t>
  </si>
  <si>
    <t>**wskakunin_kanri11_TOUROKU_KIKAN__label</t>
  </si>
  <si>
    <t>cst_wskakunin_kanri11_TOUROKU_KIKAN</t>
  </si>
  <si>
    <t>**wskakunin_kanri11_KENTIKUSI_NO</t>
  </si>
  <si>
    <t>cst_wskakunin_kanri11_KENTIKUSI_NO</t>
  </si>
  <si>
    <t>**wskakunin_kanri11_NAME</t>
  </si>
  <si>
    <t>cst_wskakunin_kanri11_NAME</t>
  </si>
  <si>
    <t>**wskakunin_kanri11_JIMU__sikaku</t>
  </si>
  <si>
    <t>cst_wskakunin_kanri11_JIMU__sikaku</t>
  </si>
  <si>
    <t>**wskakunin_kanri11_JIMU_SIKAKU__label</t>
  </si>
  <si>
    <t>cst_wskakunin_kanri11_JIMU_SIKAKU</t>
  </si>
  <si>
    <t>**wskakunin_kanri11_JIMU_TOUROKU_KIKAN__label</t>
  </si>
  <si>
    <t>cst_wskakunin_kanri11_JIMU_TOUROKU_KIKAN</t>
  </si>
  <si>
    <t>**wskakunin_kanri11_JIMU_NO</t>
  </si>
  <si>
    <t>cst_wskakunin_kanri11_JIMU_NO</t>
  </si>
  <si>
    <t>**wskakunin_kanri11_JIMU_NAME</t>
  </si>
  <si>
    <t>cst_wskakunin_kanri11_JIMU_NAME</t>
  </si>
  <si>
    <t>**wskakunin_kanri11_ZIP</t>
  </si>
  <si>
    <t>cst_wskakunin_kanri11_ZIP</t>
  </si>
  <si>
    <t>**wskakunin_kanri11__address</t>
  </si>
  <si>
    <t>cst_wskakunin_kanri11__address</t>
  </si>
  <si>
    <t>**wskakunin_kanri11_TEL</t>
  </si>
  <si>
    <t>cst_wskakunin_kanri11_TEL</t>
  </si>
  <si>
    <t>**wskakunin_kanri11_DOC</t>
  </si>
  <si>
    <t>cst_wskakunin_kanri11_DOC</t>
  </si>
  <si>
    <t>監理者5</t>
  </si>
  <si>
    <t>監理者6</t>
  </si>
  <si>
    <t>監理者7</t>
  </si>
  <si>
    <t>監理者8</t>
  </si>
  <si>
    <t>監理者9</t>
  </si>
  <si>
    <t>監理者10</t>
  </si>
  <si>
    <t>監理者11</t>
  </si>
  <si>
    <t>**wskakunin_sekou2_NAME</t>
  </si>
  <si>
    <t>cst_wskakunin_sekou2_NAME</t>
  </si>
  <si>
    <t>**wskakunin_sekou2_SEKOU__sikaku</t>
  </si>
  <si>
    <t>cst_wskakunin_sekou2_SEKOU__sikaku</t>
  </si>
  <si>
    <t>**wskakunin_sekou2_SEKOU_SIKAKU__label</t>
  </si>
  <si>
    <t>cst_wskakunin_sekou2_SEKOU_SIKAKU</t>
  </si>
  <si>
    <t>**wskakunin_sekou2_SEKOU_NO</t>
  </si>
  <si>
    <t>cst_wskakunin_sekou2_SEKOU_NO</t>
  </si>
  <si>
    <t>**wskakunin_sekou2_JIMU_NAME</t>
  </si>
  <si>
    <t>cst_wskakunin_sekou2_JIMU_NAME</t>
  </si>
  <si>
    <t>**wskakunin_sekou2_ZIP</t>
  </si>
  <si>
    <t>cst_wskakunin_sekou2_ZIP</t>
  </si>
  <si>
    <t>**wskakunin_sekou2__address</t>
  </si>
  <si>
    <t>cst_wskakunin_sekou2__address</t>
  </si>
  <si>
    <t>**wskakunin_sekou2_TEL</t>
  </si>
  <si>
    <t>cst_wskakunin_sekou2_TEL</t>
  </si>
  <si>
    <t>**wskakunin_sekou3_NAME</t>
  </si>
  <si>
    <t>cst_wskakunin_sekou3_NAME</t>
  </si>
  <si>
    <t>**wskakunin_sekou3_SEKOU__sikaku</t>
  </si>
  <si>
    <t>cst_wskakunin_sekou3_SEKOU__sikaku</t>
  </si>
  <si>
    <t>**wskakunin_sekou3_SEKOU_SIKAKU__label</t>
  </si>
  <si>
    <t>cst_wskakunin_sekou3_SEKOU_SIKAKU</t>
  </si>
  <si>
    <t>**wskakunin_sekou3_SEKOU_NO</t>
  </si>
  <si>
    <t>cst_wskakunin_sekou3_SEKOU_NO</t>
  </si>
  <si>
    <t>**wskakunin_sekou3_JIMU_NAME</t>
  </si>
  <si>
    <t>cst_wskakunin_sekou3_JIMU_NAME</t>
  </si>
  <si>
    <t>**wskakunin_sekou3_ZIP</t>
  </si>
  <si>
    <t>cst_wskakunin_sekou3_ZIP</t>
  </si>
  <si>
    <t>**wskakunin_sekou3__address</t>
  </si>
  <si>
    <t>cst_wskakunin_sekou3__address</t>
  </si>
  <si>
    <t>**wskakunin_sekou3_TEL</t>
  </si>
  <si>
    <t>cst_wskakunin_sekou3_TEL</t>
  </si>
  <si>
    <t>**wskakunin_sekou4_NAME</t>
  </si>
  <si>
    <t>cst_wskakunin_sekou4_NAME</t>
  </si>
  <si>
    <t>**wskakunin_sekou4_SEKOU__sikaku</t>
  </si>
  <si>
    <t>cst_wskakunin_sekou4_SEKOU__sikaku</t>
  </si>
  <si>
    <t>**wskakunin_sekou4_SEKOU_SIKAKU__label</t>
  </si>
  <si>
    <t>cst_wskakunin_sekou4_SEKOU_SIKAKU</t>
  </si>
  <si>
    <t>**wskakunin_sekou4_SEKOU_NO</t>
  </si>
  <si>
    <t>cst_wskakunin_sekou4_SEKOU_NO</t>
  </si>
  <si>
    <t>**wskakunin_sekou4_JIMU_NAME</t>
  </si>
  <si>
    <t>cst_wskakunin_sekou4_JIMU_NAME</t>
  </si>
  <si>
    <t>**wskakunin_sekou4_ZIP</t>
  </si>
  <si>
    <t>cst_wskakunin_sekou4_ZIP</t>
  </si>
  <si>
    <t>**wskakunin_sekou4__address</t>
  </si>
  <si>
    <t>cst_wskakunin_sekou4__address</t>
  </si>
  <si>
    <t>**wskakunin_sekou4_TEL</t>
  </si>
  <si>
    <t>cst_wskakunin_sekou4_TEL</t>
  </si>
  <si>
    <t>**wskakunin_sekou5_NAME</t>
  </si>
  <si>
    <t>cst_wskakunin_sekou5_NAME</t>
  </si>
  <si>
    <t>**wskakunin_sekou5_SEKOU__sikaku</t>
  </si>
  <si>
    <t>cst_wskakunin_sekou5_SEKOU__sikaku</t>
  </si>
  <si>
    <t>**wskakunin_sekou5_SEKOU_SIKAKU__label</t>
  </si>
  <si>
    <t>cst_wskakunin_sekou5_SEKOU_SIKAKU</t>
  </si>
  <si>
    <t>**wskakunin_sekou5_SEKOU_NO</t>
  </si>
  <si>
    <t>cst_wskakunin_sekou5_SEKOU_NO</t>
  </si>
  <si>
    <t>**wskakunin_sekou5_JIMU_NAME</t>
  </si>
  <si>
    <t>cst_wskakunin_sekou5_JIMU_NAME</t>
  </si>
  <si>
    <t>**wskakunin_sekou5_ZIP</t>
  </si>
  <si>
    <t>cst_wskakunin_sekou5_ZIP</t>
  </si>
  <si>
    <t>**wskakunin_sekou5__address</t>
  </si>
  <si>
    <t>cst_wskakunin_sekou5__address</t>
  </si>
  <si>
    <t>**wskakunin_sekou5_TEL</t>
  </si>
  <si>
    <t>cst_wskakunin_sekou5_TEL</t>
  </si>
  <si>
    <t>**wskakunin_sekou6_NAME</t>
  </si>
  <si>
    <t>cst_wskakunin_sekou6_NAME</t>
  </si>
  <si>
    <t>**wskakunin_sekou6_SEKOU__sikaku</t>
  </si>
  <si>
    <t>cst_wskakunin_sekou6_SEKOU__sikaku</t>
  </si>
  <si>
    <t>**wskakunin_sekou6_SEKOU_SIKAKU__label</t>
  </si>
  <si>
    <t>cst_wskakunin_sekou6_SEKOU_SIKAKU</t>
  </si>
  <si>
    <t>**wskakunin_sekou6_SEKOU_NO</t>
  </si>
  <si>
    <t>cst_wskakunin_sekou6_SEKOU_NO</t>
  </si>
  <si>
    <t>**wskakunin_sekou6_JIMU_NAME</t>
  </si>
  <si>
    <t>cst_wskakunin_sekou6_JIMU_NAME</t>
  </si>
  <si>
    <t>**wskakunin_sekou6_ZIP</t>
  </si>
  <si>
    <t>cst_wskakunin_sekou6_ZIP</t>
  </si>
  <si>
    <t>**wskakunin_sekou6__address</t>
  </si>
  <si>
    <t>cst_wskakunin_sekou6__address</t>
  </si>
  <si>
    <t>**wskakunin_sekou6_TEL</t>
  </si>
  <si>
    <t>cst_wskakunin_sekou6_TEL</t>
  </si>
  <si>
    <t>施工者2</t>
  </si>
  <si>
    <t>施工者3</t>
  </si>
  <si>
    <t>施工者4</t>
  </si>
  <si>
    <t>施工者5</t>
  </si>
  <si>
    <t>施工者6</t>
  </si>
  <si>
    <t>wskakunin_keibi_henkou01_</t>
  </si>
  <si>
    <t>**wskakunin_keibi_henkou01_HENKOU_SYURUI</t>
  </si>
  <si>
    <t>**wskakunin_keibi_henkou01_HENKOU_GAIYOU</t>
  </si>
  <si>
    <t>**wskakunin_sekkei12__sikaku</t>
  </si>
  <si>
    <t>cst_wskakunin_sekkei12__sikaku</t>
  </si>
  <si>
    <t>**wskakunin_sekkei12_SIKAKU__label</t>
  </si>
  <si>
    <t>cst_wskakunin_sekkei12_SIKAKU</t>
  </si>
  <si>
    <t>**wskakunin_sekkei12_TOUROKU_KIKAN__label</t>
  </si>
  <si>
    <t>cst_wskakunin_sekkei12_TOUROKU_KIKAN</t>
  </si>
  <si>
    <t>**wskakunin_sekkei12_KENTIKUSI_NO</t>
  </si>
  <si>
    <t>cst_wskakunin_sekkei12_KENTIKUSI_NO</t>
  </si>
  <si>
    <t>**wskakunin_sekkei12_NAME</t>
  </si>
  <si>
    <t>cst_wskakunin_sekkei12_NAME</t>
  </si>
  <si>
    <t>**wskakunin_sekkei12_JIMU__sikaku</t>
  </si>
  <si>
    <t>cst_wskakunin_sekkei12_JIMU__sikaku</t>
  </si>
  <si>
    <t>**wskakunin_sekkei12_JIMU_SIKAKU__label</t>
  </si>
  <si>
    <t>cst_wskakunin_sekkei12_JIMU_SIKAKU</t>
  </si>
  <si>
    <t>**wskakunin_sekkei12_JIMU_TOUROKU_KIKAN__label</t>
  </si>
  <si>
    <t>cst_wskakunin_sekkei12_JIMU_TOUROKU_KIKAN</t>
  </si>
  <si>
    <t>**wskakunin_sekkei12_JIMU_NO</t>
  </si>
  <si>
    <t>cst_wskakunin_sekkei12_JIMU_NO</t>
  </si>
  <si>
    <t>**wskakunin_sekkei12_JIMU_NAME</t>
  </si>
  <si>
    <t>cst_wskakunin_sekkei12_JIMU_NAME</t>
  </si>
  <si>
    <t>cst_wskakunin_sekkei12_jimuname_name</t>
  </si>
  <si>
    <t>**wskakunin_sekkei12_ZIP</t>
  </si>
  <si>
    <t>cst_wskakunin_sekkei12_ZIP</t>
  </si>
  <si>
    <t>**wskakunin_sekkei12__address</t>
  </si>
  <si>
    <t>cst_wskakunin_sekkei12__address</t>
  </si>
  <si>
    <t>**wskakunin_sekkei12_TEL</t>
  </si>
  <si>
    <t>cst_wskakunin_sekkei12_TEL</t>
  </si>
  <si>
    <t>**wskakunin_sekkei12_DOC</t>
  </si>
  <si>
    <t>cst_wskakunin_sekkei12_DOC</t>
  </si>
  <si>
    <t>設計者12</t>
  </si>
  <si>
    <t>監理者12</t>
  </si>
  <si>
    <t>**wskakunin_kanri12__sikaku</t>
  </si>
  <si>
    <t>cst_wskakunin_kanri12__sikaku</t>
  </si>
  <si>
    <t>**wskakunin_kanri12_SIKAKU__label</t>
  </si>
  <si>
    <t>cst_wskakunin_kanri12_SIKAKU</t>
  </si>
  <si>
    <t>**wskakunin_kanri12_TOUROKU_KIKAN__label</t>
  </si>
  <si>
    <t>cst_wskakunin_kanri12_TOUROKU_KIKAN</t>
  </si>
  <si>
    <t>**wskakunin_kanri12_KENTIKUSI_NO</t>
  </si>
  <si>
    <t>cst_wskakunin_kanri12_KENTIKUSI_NO</t>
  </si>
  <si>
    <t>**wskakunin_kanri12_NAME</t>
  </si>
  <si>
    <t>cst_wskakunin_kanri12_NAME</t>
  </si>
  <si>
    <t>**wskakunin_kanri12_JIMU__sikaku</t>
  </si>
  <si>
    <t>cst_wskakunin_kanri12_JIMU__sikaku</t>
  </si>
  <si>
    <t>**wskakunin_kanri12_JIMU_SIKAKU__label</t>
  </si>
  <si>
    <t>cst_wskakunin_kanri12_JIMU_SIKAKU</t>
  </si>
  <si>
    <t>**wskakunin_kanri12_JIMU_TOUROKU_KIKAN__label</t>
  </si>
  <si>
    <t>cst_wskakunin_kanri12_JIMU_TOUROKU_KIKAN</t>
  </si>
  <si>
    <t>**wskakunin_kanri12_JIMU_NO</t>
  </si>
  <si>
    <t>cst_wskakunin_kanri12_JIMU_NO</t>
  </si>
  <si>
    <t>**wskakunin_kanri12_JIMU_NAME</t>
  </si>
  <si>
    <t>cst_wskakunin_kanri12_JIMU_NAME</t>
  </si>
  <si>
    <t>**wskakunin_kanri12_ZIP</t>
  </si>
  <si>
    <t>cst_wskakunin_kanri12_ZIP</t>
  </si>
  <si>
    <t>**wskakunin_kanri12__address</t>
  </si>
  <si>
    <t>cst_wskakunin_kanri12__address</t>
  </si>
  <si>
    <t>**wskakunin_kanri12_TEL</t>
  </si>
  <si>
    <t>cst_wskakunin_kanri12_TEL</t>
  </si>
  <si>
    <t>**wskakunin_kanri12_DOC</t>
  </si>
  <si>
    <t>cst_wskakunin_kanri12_DOC</t>
  </si>
  <si>
    <t>工事種別一括出力</t>
  </si>
  <si>
    <t>中間・完了のみ</t>
  </si>
  <si>
    <t>確認・計変のみ</t>
  </si>
  <si>
    <t>第二面 備考</t>
  </si>
  <si>
    <t>**wskakunin_P2_BIKOU</t>
  </si>
  <si>
    <t>cst_wskakunin_P2_BIKOU</t>
  </si>
  <si>
    <t>文字出力</t>
  </si>
  <si>
    <t>cst_wskakunin_TOKUREI_txt</t>
  </si>
  <si>
    <t>cst_wskakunin_KOUJI_SINTIKU_box</t>
  </si>
  <si>
    <t>cst_wskakunin_KOUJI_ZOUTIKU_box</t>
  </si>
  <si>
    <t>cst_wskakunin_KOUJI_KAITIKU_box</t>
  </si>
  <si>
    <t>cst_wskakunin_KOUJI_ITEN_box</t>
  </si>
  <si>
    <t>cst_wskakunin_KOUJI_YOUTOHENKOU_box</t>
  </si>
  <si>
    <t>cst_wskakunin_KOUJI_DAI_SYUUZEN_box</t>
  </si>
  <si>
    <t>cst_wskakunin_KOUJI_DAI_MOYOUGAE_box</t>
  </si>
  <si>
    <t>cst_wskakunin_KENTIKU_NINSYO_NO</t>
  </si>
  <si>
    <t>**wskakunin_KOUJI_TYAKUSYU_DATE</t>
  </si>
  <si>
    <t>**wskakunin_KOUJI_KANRYOU_DATE</t>
  </si>
  <si>
    <t>※ 確認時：出力しない</t>
  </si>
  <si>
    <t>※ 中間1枚目 - 確認時：特定工程2があれば出力</t>
  </si>
  <si>
    <t>select （ 1枚目と2枚目の処理が必要 ）</t>
  </si>
  <si>
    <t xml:space="preserve"> - 中間1枚目</t>
  </si>
  <si>
    <t xml:space="preserve"> - 中間2枚目</t>
  </si>
  <si>
    <t xml:space="preserve"> - 回数</t>
  </si>
  <si>
    <t xml:space="preserve"> - 【ｲ.特定工程】</t>
  </si>
  <si>
    <t xml:space="preserve"> - 【ﾛ.中間検査合格証交付者】</t>
  </si>
  <si>
    <t xml:space="preserve"> - 【ﾊ.中間検査合格証番号】</t>
  </si>
  <si>
    <t xml:space="preserve"> - 【ﾆ.交付年月日】</t>
  </si>
  <si>
    <t>確認時の中間申請書出力処理用</t>
  </si>
  <si>
    <t>確認時 - 特定工程1の入力あり</t>
  </si>
  <si>
    <t>確認時 - 特定工程2の入力あり</t>
  </si>
  <si>
    <t>確認時 - 特定工程3の入力あり</t>
  </si>
  <si>
    <t>cst_wskakunin_KOUJI_TYAKUSYU_DATE_select</t>
  </si>
  <si>
    <t>cst_wskakunin_KOUJI_KANRYOU_DATE_select</t>
  </si>
  <si>
    <t>cst_wskakunin_TOKUTEI_KOUTEI</t>
  </si>
  <si>
    <t>cst_wskakunin_TOKUTEI_KOUTEI_inter1</t>
  </si>
  <si>
    <t>cst_wskakunin_TOKUTEI_KOUTEI_inter2</t>
  </si>
  <si>
    <t>cst_wskakunin_TOKUTEI_KOUJI_KANRYOU_DATE_select</t>
  </si>
  <si>
    <t>cst_wskakunin_KENSA_YUKA_MENSEKI_select</t>
  </si>
  <si>
    <t>cst_wskakunin_koutei_izen01_KOUTEI_KAISUU</t>
  </si>
  <si>
    <t>cst_wskakunin_koutei_izen01_KOUTEI_TEXT</t>
  </si>
  <si>
    <t>cst_wskakunin_koutei_izen01_INTER_ISSUE_NAME</t>
  </si>
  <si>
    <t>cst_wskakunin_koutei_izen01_INTER_ISSUE_NO</t>
  </si>
  <si>
    <t>cst_wskakunin_koutei_izen01_INTER_ISSUE_DATE</t>
  </si>
  <si>
    <t>cst_wskakunin_koutei_izen01_KOUTEI_KAISUU_inter1</t>
  </si>
  <si>
    <t>cst_wskakunin_koutei_izen01_KOUTEI_TEXT_inter1</t>
  </si>
  <si>
    <t>cst_wskakunin_koutei_izen01_INTER_ISSUE_NO_inter1</t>
  </si>
  <si>
    <t>cst_wskakunin_koutei_izen01_INTER_ISSUE_DATE_inter1</t>
  </si>
  <si>
    <t>cst_wskakunin_koutei_izen01_INTER_ISSUE_NAME_inter1</t>
  </si>
  <si>
    <t>cst_wskakunin_koutei_izen01_KOUTEI_KAISUU_inter2</t>
  </si>
  <si>
    <t>cst_wskakunin_koutei_izen01_KOUTEI_TEXT_inter2</t>
  </si>
  <si>
    <t>cst_wskakunin_koutei_izen01_INTER_ISSUE_NAME_inter2</t>
  </si>
  <si>
    <t>cst_wskakunin_koutei_izen01_INTER_ISSUE_NO_inter2</t>
  </si>
  <si>
    <t>cst_wskakunin_koutei_izen01_INTER_ISSUE_DATE_inter2</t>
  </si>
  <si>
    <t>※ 確認時：特定工程1の入力があれば出力</t>
  </si>
  <si>
    <t>受付システムテーブルから取得した情報（受理後）</t>
  </si>
  <si>
    <t>**wskakunin_SHINSEI_DATE</t>
  </si>
  <si>
    <t>cst_wskakunin_koutei_izen02_KOUTEI_KAISUU</t>
  </si>
  <si>
    <t>cst_wskakunin_koutei_izen02_KOUTEI_TEXT</t>
  </si>
  <si>
    <t>cst_wskakunin_koutei_izen02_INTER_ISSUE_NAME</t>
  </si>
  <si>
    <t>cst_wskakunin_koutei_izen02_INTER_ISSUE_NO</t>
  </si>
  <si>
    <t>cst_wskakunin_koutei_izen02_INTER_ISSUE_DATE</t>
  </si>
  <si>
    <t>※ 中間2枚目 - 確認時：特定工程3があれば出力</t>
  </si>
  <si>
    <t xml:space="preserve"> - 【ﾛ.特定工程工事終了予定年月日】</t>
  </si>
  <si>
    <t>cst_wskakunin_koutei_ikou01_KOUTEI_KAISUU</t>
  </si>
  <si>
    <t>cst_wskakunin_koutei_ikou01_KOUTEI_TEXT</t>
  </si>
  <si>
    <t>cst_wskakunin_koutei_ikou01_KOUTEI_DATE</t>
  </si>
  <si>
    <t>cst_wskakunin_koutei_ikou01_KOUTEI_DATE_inter1</t>
  </si>
  <si>
    <t>cst_wskakunin_koutei_ikou01_KOUTEI_TEXT_inter2</t>
  </si>
  <si>
    <t>cst_wskakunin_koutei_ikou01_KOUTEI_DATE_inter2</t>
  </si>
  <si>
    <t>cst_wskakunin_koutei_ikou02_KOUTEI_DATE_inter1</t>
  </si>
  <si>
    <t>cst_wskakunin_koutei_ikou02_KOUTEI_TEXT_inter2</t>
  </si>
  <si>
    <t>※ 中間1枚目 - 確認時：特定工程3があれば出力</t>
  </si>
  <si>
    <t>※ 中間2枚目 - 確認時：特定工程4があれば出力</t>
  </si>
  <si>
    <t>cst_wskakunin_koutei_ikou02_KOUTEI_KAISUU</t>
  </si>
  <si>
    <t>cst_wskakunin_koutei_ikou02_KOUTEI_TEXT</t>
  </si>
  <si>
    <t>cst_wskakunin_koutei_ikou02_KOUTEI_DATE</t>
  </si>
  <si>
    <t>cst_wskakunin_keibi_henkou01_HENKOU_SYURUI</t>
  </si>
  <si>
    <t>cst_wskakunin_keibi_henkou01_HENKOU_GAIYOU</t>
  </si>
  <si>
    <t>cst_wskakunin_koutei_ikou01_KOUTEI_KAISUU_inter1</t>
  </si>
  <si>
    <t>cst_wskakunin_koutei_ikou01_KOUTEI_TEXT_inter1</t>
  </si>
  <si>
    <t>cst_wskakunin_koutei_ikou01_KOUTEI_KAISUU_inter2</t>
  </si>
  <si>
    <t>cst_wskakunin_koutei_ikou02_KOUTEI_KAISUU_inter1</t>
  </si>
  <si>
    <t>cst_wskakunin_koutei_ikou02_KOUTEI_TEXT_inter1</t>
  </si>
  <si>
    <t>cst_wskakunin_koutei_ikou02_KOUTEI_KAISUU_inter2</t>
  </si>
  <si>
    <t>cst_wskakunin_koutei_ikou02_KOUTEI_DATE_inter2</t>
  </si>
  <si>
    <t>確認：自分, 検査：直前 ※ 確認は受理後有効</t>
  </si>
  <si>
    <t>cst_ISSUE_NO_select</t>
  </si>
  <si>
    <t>1：確認（確認, 計変）,3：中間, 4：完了</t>
  </si>
  <si>
    <t>chk_JOB_KIND_kakunin</t>
  </si>
  <si>
    <t>基準法の種別判定</t>
  </si>
  <si>
    <t>【9.検査経過】</t>
  </si>
  <si>
    <t xml:space="preserve">【ﾛ.中間検査合格証交付者】 </t>
  </si>
  <si>
    <t>左側：</t>
  </si>
  <si>
    <t>右側：</t>
  </si>
  <si>
    <t>**wskakunin_koutei02_INTER_ISSUE_NAME</t>
  </si>
  <si>
    <t>**wskakunin_koutei02_INTER_ISSUE_NO</t>
  </si>
  <si>
    <t>**wskakunin_koutei02_INTER_ISSUE_DATE</t>
  </si>
  <si>
    <t>**wskakunin_koutei01_INTER_ISSUE_NAME</t>
  </si>
  <si>
    <t>**wskakunin_koutei01_INTER_ISSUE_NO</t>
  </si>
  <si>
    <t>**wskakunin_koutei01_INTER_ISSUE_DATE</t>
  </si>
  <si>
    <t>cst_wskakunin_koutei02_INTER_ISSUE_DATE</t>
  </si>
  <si>
    <t>種別（中間時 - 特定工程別）</t>
  </si>
  <si>
    <t>10：確認（確認, 計変）, 30：中間_前0, 31：中間_前1, 32：中間_前2, 40：完了</t>
  </si>
  <si>
    <t>chk_INTER1_state_in_conf</t>
  </si>
  <si>
    <t>chk_INTER2_state_in_conf</t>
  </si>
  <si>
    <t>chk_INTER3_state_in_conf</t>
  </si>
  <si>
    <t>chk_INTER_state_in_final</t>
  </si>
  <si>
    <t>※ 確認(10)、完了(40)で用いる</t>
  </si>
  <si>
    <t>出力用</t>
  </si>
  <si>
    <t>cst_wskakunin_koutei01_INTER_ISSUE_NAME</t>
  </si>
  <si>
    <t>cst_wskakunin_koutei01_INTER_ISSUE_NO</t>
  </si>
  <si>
    <t>cst_wskakunin_koutei01_INTER_ISSUE_DATE</t>
  </si>
  <si>
    <t>cst_wskakunin_koutei_keika01_INTER_ISSUE_DATE_select</t>
  </si>
  <si>
    <t>cst_wskakunin_koutei_keika01_KOUTEI_KAISUU_select</t>
  </si>
  <si>
    <t>cst_wskakunin_koutei_keika01_KOUTEI_TEXT_select</t>
  </si>
  <si>
    <t>cst_wskakunin_koutei_keika01_INTER_ISSUE_NAME_select</t>
  </si>
  <si>
    <t>cst_wskakunin_koutei_keika01_INTER_ISSUE_NO_select</t>
  </si>
  <si>
    <t>中間1枚目出力用</t>
  </si>
  <si>
    <t>中間2枚目出力用</t>
  </si>
  <si>
    <t>cst_wskakunin_koutei02_INTER_ISSUE_NAME</t>
  </si>
  <si>
    <t>cst_wskakunin_koutei02_INTER_ISSUE_NO</t>
  </si>
  <si>
    <t>cst_wskakunin_koutei_keika02_KOUTEI_KAISUU_select</t>
  </si>
  <si>
    <t>cst_wskakunin_koutei_keika02_KOUTEI_TEXT_select</t>
  </si>
  <si>
    <t>cst_wskakunin_koutei_keika02_INTER_ISSUE_NAME_select</t>
  </si>
  <si>
    <t>cst_wskakunin_koutei_keika02_INTER_ISSUE_NO_select</t>
  </si>
  <si>
    <t>cst_wskakunin_koutei_keika02_INTER_ISSUE_DATE_select</t>
  </si>
  <si>
    <t>2</t>
  </si>
  <si>
    <t>4.</t>
  </si>
  <si>
    <t>**wskakunin_koutei_izen03_KOUTEI_KAISUU</t>
  </si>
  <si>
    <t>**wskakunin_koutei_izen03_KOUTEI_TEXT</t>
  </si>
  <si>
    <t>**wskakunin_koutei_izen03_INTER_ISSUE_NAME</t>
  </si>
  <si>
    <t>**wskakunin_koutei_izen03_INTER_ISSUE_NO</t>
  </si>
  <si>
    <t>**wskakunin_koutei_izen03_INTER_ISSUE_DATE</t>
  </si>
  <si>
    <t>**wskakunin_koutei_izen04_KOUTEI_KAISUU</t>
  </si>
  <si>
    <t>**wskakunin_koutei_izen04_KOUTEI_TEXT</t>
  </si>
  <si>
    <t>**wskakunin_koutei_izen04_INTER_ISSUE_NAME</t>
  </si>
  <si>
    <t>**wskakunin_koutei_izen04_INTER_ISSUE_NO</t>
  </si>
  <si>
    <t>**wskakunin_koutei_izen04_INTER_ISSUE_DATE</t>
  </si>
  <si>
    <t>cst_wskakunin_koutei_izen03_KOUTEI_KAISUU</t>
  </si>
  <si>
    <t>cst_wskakunin_koutei_izen03_KOUTEI_TEXT</t>
  </si>
  <si>
    <t>cst_wskakunin_koutei_izen03_INTER_ISSUE_NAME</t>
  </si>
  <si>
    <t>cst_wskakunin_koutei_izen03_INTER_ISSUE_NO</t>
  </si>
  <si>
    <t>cst_wskakunin_koutei_izen03_INTER_ISSUE_DATE</t>
  </si>
  <si>
    <t>cst_wskakunin_koutei_izen04_KOUTEI_KAISUU</t>
  </si>
  <si>
    <t>cst_wskakunin_koutei_izen04_KOUTEI_TEXT</t>
  </si>
  <si>
    <t>cst_wskakunin_koutei_izen04_INTER_ISSUE_NAME</t>
  </si>
  <si>
    <t>cst_wskakunin_koutei_izen04_INTER_ISSUE_NO</t>
  </si>
  <si>
    <t>cst_wskakunin_koutei_izen04_INTER_ISSUE_DATE</t>
  </si>
  <si>
    <t>以前の中間 左側：</t>
  </si>
  <si>
    <t>以前の中間 右側：</t>
  </si>
  <si>
    <t>cst_wskakunin_koutei_izen02_KOUTEI_KAISUU_inter1</t>
  </si>
  <si>
    <t>cst_wskakunin_koutei_izen02_KOUTEI_TEXT_inter1</t>
  </si>
  <si>
    <t>cst_wskakunin_koutei_izen02_INTER_ISSUE_NAME_inter1</t>
  </si>
  <si>
    <t>cst_wskakunin_koutei_izen02_INTER_ISSUE_NO_inter1</t>
  </si>
  <si>
    <t>cst_wskakunin_koutei_izen02_INTER_ISSUE_DATE_inter1</t>
  </si>
  <si>
    <t>cst_wskakunin_koutei_izen02_KOUTEI_KAISUU_inter2</t>
  </si>
  <si>
    <t>cst_wskakunin_koutei_izen02_KOUTEI_TEXT_inter2</t>
  </si>
  <si>
    <t>cst_wskakunin_koutei_izen02_INTER_ISSUE_NAME_inter2</t>
  </si>
  <si>
    <t>cst_wskakunin_koutei_izen02_INTER_ISSUE_NO_inter2</t>
  </si>
  <si>
    <t>cst_wskakunin_koutei_izen02_INTER_ISSUE_DATE_inter2</t>
  </si>
  <si>
    <t>以降の中間 左側：</t>
  </si>
  <si>
    <t>以降の中間 右側：</t>
  </si>
  <si>
    <t>出力条件</t>
  </si>
  <si>
    <t>出力処理</t>
  </si>
  <si>
    <t>cst_koujikikan_year</t>
  </si>
  <si>
    <t>cst_koujikikan_month</t>
  </si>
  <si>
    <t>cst_wskakunin_KOUZOU_mokuzou</t>
  </si>
  <si>
    <t>cst_wskakunin_KOUZOU_zairai</t>
  </si>
  <si>
    <t>宅配ﾎﾞｯｸｽの設置部分</t>
  </si>
  <si>
    <t>**wskakunin_NOBE_MENSEKI_TAKUHAI_SHINSEI</t>
  </si>
  <si>
    <t>**wskakunin_NOBE_MENSEKI_TAKUHAI_IGAI</t>
  </si>
  <si>
    <t>**wskakunin_NOBE_MENSEKI_TAKUHAI_TOTAL</t>
  </si>
  <si>
    <t>cst_wskakunin_NOBE_MENSEKI_TAKUHAI_SHINSEI</t>
  </si>
  <si>
    <t>cst_wskakunin_NOBE_MENSEKI_TAKUHAI_IGAI</t>
  </si>
  <si>
    <t>cst_wskakunin_NOBE_MENSEKI_TAKUHAI_TOTAL</t>
  </si>
  <si>
    <t>日付</t>
  </si>
  <si>
    <t>変更内容</t>
  </si>
  <si>
    <t>三木香澄</t>
  </si>
  <si>
    <t>建築概要一面、築造概要一面の受付欄部分を削除。</t>
  </si>
  <si>
    <t>dSTART</t>
  </si>
  <si>
    <t>種類コード</t>
  </si>
  <si>
    <t>工作物の概要</t>
  </si>
  <si>
    <t>**wskakunin_gaiyou1_WORK_SYURUI_CODE</t>
  </si>
  <si>
    <t>**wskakunin_gaiyou1_WORK_SYURUI</t>
  </si>
  <si>
    <t>**wskakunin_gaiyou1_TAKASA</t>
  </si>
  <si>
    <t>**wskakunin_gaiyou1_KOUZOU</t>
  </si>
  <si>
    <t>cst_wskakunin_gaiyou1_WORK_SYURUI_CODE</t>
  </si>
  <si>
    <t>cst_wskakunin_gaiyou1_WORK_SYURUI</t>
  </si>
  <si>
    <t>cst_wskakunin_gaiyou1_TAKASA</t>
  </si>
  <si>
    <t>cst_wskakunin_gaiyou1_KOUZOU</t>
  </si>
  <si>
    <t>種類</t>
  </si>
  <si>
    <t>高さ</t>
  </si>
  <si>
    <t>昇降機の概要</t>
  </si>
  <si>
    <t>番号</t>
  </si>
  <si>
    <t>種別</t>
  </si>
  <si>
    <t>用途</t>
  </si>
  <si>
    <t>積載荷重</t>
  </si>
  <si>
    <t>最大定員</t>
  </si>
  <si>
    <t>定格速度</t>
  </si>
  <si>
    <t>その他必要な事項</t>
  </si>
  <si>
    <t>認証番号</t>
  </si>
  <si>
    <t>その他必要事項+認証番号</t>
  </si>
  <si>
    <t>**wskakunin_gaiyou1_NO</t>
  </si>
  <si>
    <t>**wskakunin_gaiyou1_EV_KIND</t>
  </si>
  <si>
    <t>**wskakunin_gaiyou1_YOUTO</t>
  </si>
  <si>
    <t>**wskakunin_gaiyou1_SEKISAI</t>
  </si>
  <si>
    <t>**wskakunin_gaiyou1_TEIIN</t>
  </si>
  <si>
    <t>**wskakunin_gaiyou1_SPEED</t>
  </si>
  <si>
    <t>**wskakunin_gaiyou1_SONOTA</t>
  </si>
  <si>
    <t>**wskakunin_gaiyou1_NINSYOU_NO</t>
  </si>
  <si>
    <t>**wskakunin_gaiyou1_SONOTA_and_NINSYOU_NO</t>
  </si>
  <si>
    <t>cst_wskakunin_gaiyou1_NO</t>
  </si>
  <si>
    <t>cst_wskakunin_gaiyou1_EV_KIND</t>
  </si>
  <si>
    <t>cst_wskakunin_gaiyou1_YOUTO</t>
  </si>
  <si>
    <t>cst_wskakunin_gaiyou1_SEKISAI</t>
  </si>
  <si>
    <t>cst_wskakunin_gaiyou1_TEIIN</t>
  </si>
  <si>
    <t>cst_wskakunin_gaiyou1_SPEED</t>
  </si>
  <si>
    <t>cst_wskakunin_gaiyou1_SONOTA</t>
  </si>
  <si>
    <t>cst_wskakunin_gaiyou1_NINSYOU_NO</t>
  </si>
  <si>
    <t>cst_wskakunin_gaiyou1_SONOTA_and_NINSYOU_NO</t>
  </si>
  <si>
    <t>築造、設備概要一面のエラー部分を一部修正</t>
  </si>
  <si>
    <t>築造面積_申請部分</t>
  </si>
  <si>
    <t>築造面積_申請以外の部分</t>
  </si>
  <si>
    <t>築造面積_合計</t>
  </si>
  <si>
    <t>工作物の数_申請部分</t>
  </si>
  <si>
    <t>工作物の数_申請以外部分</t>
  </si>
  <si>
    <t>工作物の数_合計</t>
  </si>
  <si>
    <t>**wskakunin_gaiyou1_TIKUZOU_MENSEKI_SHINSEI</t>
  </si>
  <si>
    <t>**wskakunin_gaiyou1_TIKUZOU_MENSEKI_IGAI</t>
  </si>
  <si>
    <t>**wskakunin_gaiyou1_TIKUZOU_MENSEKI_TOTAL</t>
  </si>
  <si>
    <t>**wskakunin_gaiyou1_WORK_COUNT_SHINSEI</t>
  </si>
  <si>
    <t>**wskakunin_gaiyou1_WORK_COUNT_IGAI</t>
  </si>
  <si>
    <t>**wskakunin_gaiyou1_WORK_COUNT_TOTAL</t>
  </si>
  <si>
    <t>cst_wskakunin_gaiyou1_TIKUZOU_MENSEKI_SHINSEI</t>
  </si>
  <si>
    <t>cst_wskakunin_gaiyou1_TIKUZOU_MENSEKI_IGAI</t>
  </si>
  <si>
    <t>cst_wskakunin_gaiyou1_TIKUZOU_MENSEKI_TOTAL</t>
  </si>
  <si>
    <t>cst_wskakunin_gaiyou1_WORK_COUNT_SHINSEI</t>
  </si>
  <si>
    <t>cst_wskakunin_gaiyou1_WORK_COUNT_IGAI</t>
  </si>
  <si>
    <t>cst_wskakunin_gaiyou1_WORK_COUNT_TOTAL</t>
  </si>
  <si>
    <t>築造、設備概要一面のエラー部分を修正</t>
  </si>
  <si>
    <t>cst_wskakunin_20setubi301_NAMEの式を修正</t>
  </si>
  <si>
    <t>**wskakunin_20kouzou101_KOUZOUSEKKEI_KOUFU_NO</t>
  </si>
  <si>
    <t>cst_wskakunin_20kouzou101_KOUZOUSEKKEI_KOUFU_NO</t>
  </si>
  <si>
    <t>**wskakunin_20kouzou301_KOUZOUSEKKEI_KOUFU_NO</t>
  </si>
  <si>
    <t>cst_wskakunin_20kouzou301_KOUZOUSEKKEI_KOUFU_NO</t>
  </si>
  <si>
    <t>**wskakunin_20setubi101_SETUBISEKKEI_KOUFU_NO</t>
  </si>
  <si>
    <t>cst_wskakunin_20setubi101_SETUBISEKKEI_KOUFU_NO</t>
  </si>
  <si>
    <t>**wskakunin_20setubi102_SETUBISEKKEI_KOUFU_NO</t>
  </si>
  <si>
    <t>cst_wskakunin_20setubi102_SETUBISEKKEI_KOUFU_NO</t>
  </si>
  <si>
    <t>**wskakunin_20setubi103_SETUBISEKKEI_KOUFU_NO</t>
  </si>
  <si>
    <t>cst_wskakunin_20setubi103_SETUBISEKKEI_KOUFU_NO</t>
  </si>
  <si>
    <t>**wskakunin_20setubi301_SETUBISEKKEI_KOUFU_NO</t>
  </si>
  <si>
    <t>cst_wskakunin_20setubi301_SETUBISEKKEI_KOUFU_NO</t>
  </si>
  <si>
    <t>**wskakunin_20setubi302_SETUBISEKKEI_KOUFU_NO</t>
  </si>
  <si>
    <t>cst_wskakunin_20setubi302_SETUBISEKKEI_KOUFU_NO</t>
  </si>
  <si>
    <t>**wskakunin_20setubi303_SETUBISEKKEI_KOUFU_NO</t>
  </si>
  <si>
    <t>cst_wskakunin_20setubi303_SETUBISEKKEI_KOUFU_NO</t>
  </si>
  <si>
    <t>床面積（申請部分）</t>
  </si>
  <si>
    <t>設備・構造設計一級建築士交付番号のセル名修正</t>
  </si>
  <si>
    <t>**shinsei_ISSUE_KOUFU_NAME</t>
  </si>
  <si>
    <t>cst_shinsei_ISSUE_KOUFU_NAME</t>
  </si>
  <si>
    <t>確認済証交付者のセル名を修正</t>
  </si>
  <si>
    <t>**wskakunin_20kouzou102_NAME</t>
  </si>
  <si>
    <t>cst_wskakunin_20kouzou102_NAME</t>
  </si>
  <si>
    <t>**wskakunin_20kouzou102_KOUZOUSEKKEI_KOUFU_NO</t>
  </si>
  <si>
    <t>cst_wskakunin_20kouzou102_KOUZOUSEKKEI_KOUFU_NO</t>
  </si>
  <si>
    <t>**wskakunin_20kouzou103_NAME</t>
  </si>
  <si>
    <t>cst_wskakunin_20kouzou103_NAME</t>
  </si>
  <si>
    <t>**wskakunin_20kouzou103_KOUZOUSEKKEI_KOUFU_NO</t>
  </si>
  <si>
    <t>cst_wskakunin_20kouzou103_KOUZOUSEKKEI_KOUFU_NO</t>
  </si>
  <si>
    <t>**wskakunin_20kouzou104_NAME</t>
  </si>
  <si>
    <t>cst_wskakunin_20kouzou104_NAME</t>
  </si>
  <si>
    <t>**wskakunin_20kouzou104_KOUZOUSEKKEI_KOUFU_NO</t>
  </si>
  <si>
    <t>cst_wskakunin_20kouzou104_KOUZOUSEKKEI_KOUFU_NO</t>
  </si>
  <si>
    <t>**wskakunin_20kouzou105_NAME</t>
  </si>
  <si>
    <t>cst_wskakunin_20kouzou105_NAME</t>
  </si>
  <si>
    <t>**wskakunin_20kouzou105_KOUZOUSEKKEI_KOUFU_NO</t>
  </si>
  <si>
    <t>cst_wskakunin_20kouzou105_KOUZOUSEKKEI_KOUFU_NO</t>
  </si>
  <si>
    <t>**wskakunin_20kouzou302_NAME</t>
  </si>
  <si>
    <t>cst_wskakunin_20kouzou302_NAME</t>
  </si>
  <si>
    <t>**wskakunin_20kouzou302_KOUZOUSEKKEI_KOUFU_NO</t>
  </si>
  <si>
    <t>cst_wskakunin_20kouzou302_KOUZOUSEKKEI_KOUFU_NO</t>
  </si>
  <si>
    <t>**wskakunin_20kouzou303_NAME</t>
  </si>
  <si>
    <t>cst_wskakunin_20kouzou303_NAME</t>
  </si>
  <si>
    <t>**wskakunin_20kouzou303_KOUZOUSEKKEI_KOUFU_NO</t>
  </si>
  <si>
    <t>cst_wskakunin_20kouzou303_KOUZOUSEKKEI_KOUFU_NO</t>
  </si>
  <si>
    <t>**wskakunin_20kouzou304_NAME</t>
  </si>
  <si>
    <t>cst_wskakunin_20kouzou304_NAME</t>
  </si>
  <si>
    <t>**wskakunin_20kouzou304_KOUZOUSEKKEI_KOUFU_NO</t>
  </si>
  <si>
    <t>cst_wskakunin_20kouzou304_KOUZOUSEKKEI_KOUFU_NO</t>
  </si>
  <si>
    <t>**wskakunin_20kouzou305_NAME</t>
  </si>
  <si>
    <t>cst_wskakunin_20kouzou305_NAME</t>
  </si>
  <si>
    <t>**wskakunin_20kouzou305_KOUZOUSEKKEI_KOUFU_NO</t>
  </si>
  <si>
    <t>cst_wskakunin_20kouzou305_KOUZOUSEKKEI_KOUFU_NO</t>
  </si>
  <si>
    <t>**wskakunin_20setubi104_NAME</t>
  </si>
  <si>
    <t>cst_wskakunin_20setubi104_NAME</t>
  </si>
  <si>
    <t>**wskakunin_20setubi104_SETUBISEKKEI_KOUFU_NO</t>
  </si>
  <si>
    <t>cst_wskakunin_20setubi104_SETUBISEKKEI_KOUFU_NO</t>
  </si>
  <si>
    <t>**wskakunin_20setubi105_NAME</t>
  </si>
  <si>
    <t>cst_wskakunin_20setubi105_NAME</t>
  </si>
  <si>
    <t>**wskakunin_20setubi105_SETUBISEKKEI_KOUFU_NO</t>
  </si>
  <si>
    <t>cst_wskakunin_20setubi105_SETUBISEKKEI_KOUFU_NO</t>
  </si>
  <si>
    <t>**wskakunin_20setubi304_NAME</t>
  </si>
  <si>
    <t>cst_wskakunin_20setubi304_NAME</t>
  </si>
  <si>
    <t>**wskakunin_20setubi304_SETUBISEKKEI_KOUFU_NO</t>
  </si>
  <si>
    <t>cst_wskakunin_20setubi304_SETUBISEKKEI_KOUFU_NO</t>
  </si>
  <si>
    <t>**wskakunin_20setubi305_NAME</t>
  </si>
  <si>
    <t>cst_wskakunin_20setubi305_NAME</t>
  </si>
  <si>
    <t>**wskakunin_20setubi305_SETUBISEKKEI_KOUFU_NO</t>
  </si>
  <si>
    <t>cst_wskakunin_20setubi305_SETUBISEKKEI_KOUFU_NO</t>
  </si>
  <si>
    <t>別紙_設計者2のリンク先修正、表示人数を五人ずつに</t>
  </si>
  <si>
    <t>建築工事届　「印」削除</t>
  </si>
  <si>
    <t>寺田</t>
  </si>
  <si>
    <t>DATAシートのデータ欄に入力されているものを削除</t>
  </si>
  <si>
    <t>入力チェック</t>
  </si>
  <si>
    <t>cst_wskakunin_sekou1_kakunin</t>
  </si>
  <si>
    <t>：未入力1,入力済み2</t>
  </si>
  <si>
    <t>cst_ISSUE_DATE_select</t>
  </si>
  <si>
    <t>cst_wskakunin_KOUZOU</t>
  </si>
  <si>
    <t>cst_wsjob_KENTIKUBUTU_box</t>
  </si>
  <si>
    <t>cst_wsjob_SYOUKOUKI_box</t>
  </si>
  <si>
    <t>工事種別-新築</t>
  </si>
  <si>
    <t>**wskakunin_gaiyou1_KOUJI_SINTIKU</t>
  </si>
  <si>
    <t>cst_wskakunin_gaiyou1_KOUJI_SINTIKU</t>
  </si>
  <si>
    <t>工事種別-増築</t>
  </si>
  <si>
    <t>**wskakunin_gaiyou1_KOUJI_ZOUTIKU</t>
  </si>
  <si>
    <t>cst_wskakunin_gaiyou1_KOUJI_ZOUTIKU</t>
  </si>
  <si>
    <t>工事種別-改築</t>
  </si>
  <si>
    <t>**wskakunin_gaiyou1_KOUJI_KAITIKU</t>
  </si>
  <si>
    <t>cst_wskakunin_gaiyou1_KOUJI_KAITIKU</t>
  </si>
  <si>
    <t>工事種別-その他</t>
  </si>
  <si>
    <t>**wskakunin_gaiyou1_KOUJI_SONOTA</t>
  </si>
  <si>
    <t>cst_wskakunin_gaiyou1_KOUJI_SONOTA</t>
  </si>
  <si>
    <t>工事種別-その他()</t>
  </si>
  <si>
    <t>**wskakunin_gaiyou1_KOUJI_SONOTA_TEXT</t>
  </si>
  <si>
    <t>cst_wskakunin_gaiyou1_KOUJI_SONOTA_TEXT</t>
  </si>
  <si>
    <t>（その他の建築設備の設計に関し意見を聴いた者４）</t>
  </si>
  <si>
    <t>**wskakunin_iken5_NAME</t>
  </si>
  <si>
    <t>cst_wskakunin_iken5_NAME</t>
  </si>
  <si>
    <t>**wskakunin_iken5_JIMU_NAME</t>
  </si>
  <si>
    <t>cst_wskakunin_iken5_JIMU_NAME</t>
  </si>
  <si>
    <t>**wskakunin_iken5_ZIP</t>
  </si>
  <si>
    <t>cst_wskakunin_iken5_ZIP</t>
  </si>
  <si>
    <t>**wskakunin_iken5__address</t>
  </si>
  <si>
    <t>cst_wskakunin_iken5__address</t>
  </si>
  <si>
    <t>**wskakunin_iken5_TEL</t>
  </si>
  <si>
    <t>cst_wskakunin_iken5_TEL</t>
  </si>
  <si>
    <t>**wskakunin_iken5_IKEN_NO</t>
  </si>
  <si>
    <t>cst_wskakunin_iken5_IKEN_NO</t>
  </si>
  <si>
    <t>**wskakunin_iken5_DOC</t>
  </si>
  <si>
    <t>cst_wskakunin_iken5_DOC</t>
  </si>
  <si>
    <t>**wskakunin_BUILD_NAME_KANA</t>
  </si>
  <si>
    <t>**wskakunin_koutei04_KOUTEI_KAISUU</t>
  </si>
  <si>
    <t>**wskakunin_koutei04_KOUTEI_DATE</t>
  </si>
  <si>
    <t>**wskakunin_koutei04_KOUTEI_TEXT</t>
  </si>
  <si>
    <t>共同・長屋の戸数</t>
  </si>
  <si>
    <t>**shinsei_UNIT_COUNT</t>
  </si>
  <si>
    <t>cst_shinsei_UNIT_COUNT</t>
  </si>
  <si>
    <t>受付システム第六面</t>
  </si>
  <si>
    <t>**shinsei_build_p6_01_PAGE6_KOUZOU_KEISAN_KIND__005</t>
  </si>
  <si>
    <t>cst_shinsei_build_p6_01_PAGE6_KOUZOU_KEISAN_KIND__005</t>
  </si>
  <si>
    <t>ルート２</t>
  </si>
  <si>
    <t>**shinsei_build_p6_01_PAGE6_KOUZOU_KEISAN_KIND__004</t>
  </si>
  <si>
    <t>cst_shinsei_build_p6_01_PAGE6_KOUZOU_KEISAN_KIND__004</t>
  </si>
  <si>
    <t>ルート３</t>
  </si>
  <si>
    <t>**shinsei_build_p6_01_PAGE6_KOUZOU_KEISAN_KIND__002</t>
  </si>
  <si>
    <t>cst_shinsei_build_p6_01_PAGE6_KOUZOU_KEISAN_KIND__002</t>
  </si>
  <si>
    <t>cst_wskakunin_kyoka01_JOUKOU</t>
  </si>
  <si>
    <t>cst_wskakunin_kyoka01_KYOKA_NO</t>
  </si>
  <si>
    <t>cst_wskakunin_kyoka01_KYOKA_DATE</t>
  </si>
  <si>
    <t>cst_wskakunin_kyoka01_BIKOU</t>
  </si>
  <si>
    <t>cst_wskakunin_kyoka02_JOUKOU</t>
  </si>
  <si>
    <t>cst_wskakunin_kyoka02_KYOKA_NO</t>
  </si>
  <si>
    <t>cst_wskakunin_kyoka02_KYOKA_DATE</t>
  </si>
  <si>
    <t>cst_wskakunin_kyoka02_BIKOU</t>
  </si>
  <si>
    <t>cst_wskakunin_kyoka03_JOUKOU</t>
  </si>
  <si>
    <t>cst_wskakunin_kyoka03_KYOKA_NO</t>
  </si>
  <si>
    <t>cst_wskakunin_kyoka03_KYOKA_DATE</t>
  </si>
  <si>
    <t>cst_wskakunin_kyoka03_BIKOU</t>
  </si>
  <si>
    <t>cst_wskakunin_owner2__space</t>
  </si>
  <si>
    <t>cst_wskakunin_owner3__space</t>
  </si>
  <si>
    <t>cst_wskakunin_owner4__space</t>
  </si>
  <si>
    <t>cst_wskakunin_owner5__space</t>
  </si>
  <si>
    <t>cst_wskakunin_owner6__space3</t>
  </si>
  <si>
    <t>確認済証交付者（届出用）</t>
  </si>
  <si>
    <t>cst_ISSUE_KOUFU_NAME_select</t>
  </si>
  <si>
    <t>cst_wskakunin__kuiki_box</t>
  </si>
  <si>
    <t>事前受付日</t>
  </si>
  <si>
    <t>**shinsei_PROVO_DATE</t>
  </si>
  <si>
    <t>cst_shinsei_PROVO_DATE</t>
  </si>
  <si>
    <t>事前受付番号</t>
  </si>
  <si>
    <t>**shinsei_PROVO_NO</t>
  </si>
  <si>
    <t>cst_shinsei_PROVO_NO</t>
  </si>
  <si>
    <t>cst_wskakunin_owner2__space2</t>
  </si>
  <si>
    <t>cst_wskakunin_owner1__space3</t>
  </si>
  <si>
    <t>cst_wskakunin_owner2__space3</t>
  </si>
  <si>
    <t>cst_wskakunin_KOUJI_SETUBI_box</t>
  </si>
  <si>
    <t>確認済証番号（届出用）</t>
  </si>
  <si>
    <t>cst_shinsei_KAKUNIN_ISSUE_NO</t>
  </si>
  <si>
    <t>　※確認かそれ以外かで判別する</t>
  </si>
  <si>
    <t>cst_shinsei_KAKUNIN_KOUFU_DATE</t>
  </si>
  <si>
    <t>確認済証交付日（届出用）</t>
  </si>
  <si>
    <t>cst_wskakunin_owner1_ZIP2</t>
  </si>
  <si>
    <t>cst_wskakunin_kanri1_ZIP2</t>
  </si>
  <si>
    <t>cst_wsjob_JOB_KIND_kakunin_box</t>
  </si>
  <si>
    <t>cst_wsjob_JOB_KIND_inter_box</t>
  </si>
  <si>
    <t>cst_wsjob_JOB_KIND_final_box</t>
  </si>
  <si>
    <t>【7.工事完了年月日】</t>
  </si>
  <si>
    <t>西暦</t>
  </si>
  <si>
    <t>【7.工事完了予定年月日】</t>
  </si>
  <si>
    <t>cst_wskakunin_KOUJI_KANRYOU_YOTEI_DATE_select</t>
  </si>
  <si>
    <t>**shinsei_KAKU_SUMI_NO</t>
  </si>
  <si>
    <t>cst_shinsei_KAKU_SUMI_NO</t>
  </si>
  <si>
    <t>基準法より</t>
  </si>
  <si>
    <t>**shinsei_build_YOUTO</t>
  </si>
  <si>
    <t>cst_shinsei_build_YOUTO</t>
  </si>
  <si>
    <t>cst_wskakunin_BUILD_NAME_KANA</t>
  </si>
  <si>
    <t>cst_wskakunin_koutei04_KOUTEI_KAISUU</t>
  </si>
  <si>
    <t>cst_wskakunin_koutei04_KOUTEI_DATE</t>
  </si>
  <si>
    <t>cst_wskakunin_koutei04_KOUTEI_TEXT</t>
  </si>
  <si>
    <t>会社名フリガナ&lt;スペース&gt;役職フリガナ&lt;スペース&gt;氏名フリガナ　常に表示（一行表示）</t>
  </si>
  <si>
    <t>cst_wskakunin_owner1__space_KANA2</t>
  </si>
  <si>
    <t>cst_wskakunin_owner1__space4</t>
  </si>
  <si>
    <t>会社名&lt;スペース&gt;役職&lt;スペース&gt;氏名　常に表示（一行表示）</t>
  </si>
  <si>
    <t>防火設備の有無</t>
  </si>
  <si>
    <t>**wskakunin_BOUKA_SETUBI_FLAG</t>
  </si>
  <si>
    <t>cst_wskakunin_BOUKA_SETUBI_FLAG</t>
  </si>
  <si>
    <t>cst_wskakunin_BOUKA_SETUBI_FLAG_box_on</t>
  </si>
  <si>
    <t>cst_wskakunin_BOUKA_SETUBI_FLAG_box_off</t>
  </si>
  <si>
    <t>提出機関先</t>
  </si>
  <si>
    <t>**wskakunin_KIKAN_NAME</t>
  </si>
  <si>
    <t>cst_wskakunin_KIKAN_NAME</t>
  </si>
  <si>
    <t>令和</t>
  </si>
  <si>
    <t>（注意）</t>
  </si>
  <si>
    <t>①</t>
  </si>
  <si>
    <t>②</t>
  </si>
  <si>
    <t>cst_shinsei_ISSUE_NO_disp</t>
  </si>
  <si>
    <t>cst_wskakunin_dairi1__space2</t>
  </si>
  <si>
    <t>**wsflat35_dairi1_POST</t>
  </si>
  <si>
    <t>cst_wsflat35_dairi1_POST</t>
  </si>
  <si>
    <t>氏名または会社名</t>
  </si>
  <si>
    <t>役職＋氏名 ※会社時のみ</t>
  </si>
  <si>
    <t>cst_wskakunin_owner1__line1</t>
  </si>
  <si>
    <t>cst_wskakunin_owner1__line2</t>
  </si>
  <si>
    <t>全様式を作成</t>
  </si>
  <si>
    <t>設計住宅性能評価申請書H　出力条件を修正</t>
  </si>
  <si>
    <t>取下げ届 　チェックボックスのリンク先修正</t>
  </si>
  <si>
    <t>_S造、_木造　施工状況報告欄→施工状況確認欄</t>
  </si>
  <si>
    <t>KNKからSTJCへ</t>
  </si>
  <si>
    <t>DATAシートを共通のものに差し替え、日付表示設定を変更</t>
  </si>
  <si>
    <t>建築工事届</t>
  </si>
  <si>
    <t>リンク先修正</t>
  </si>
  <si>
    <t>cst_wskakunin_owner3__space2</t>
  </si>
  <si>
    <t>印刷範囲、白黒印刷設定</t>
  </si>
  <si>
    <t>自己評価書系のシート削除（別ファイルで管理するため）</t>
  </si>
  <si>
    <t>dSHEET修正</t>
  </si>
  <si>
    <t>堀</t>
  </si>
  <si>
    <t>委任状(3シート)を「_200513」からコピー、dSheet復元</t>
  </si>
  <si>
    <t>徳永</t>
  </si>
  <si>
    <t>建築工事届　プルダウン修正</t>
  </si>
  <si>
    <t>委任状シートが全様式に未対応だったため修復</t>
  </si>
  <si>
    <t>昇降機以外の建築設備</t>
  </si>
  <si>
    <t>工作物（88-1）</t>
  </si>
  <si>
    <t>工作物（88-2）</t>
  </si>
  <si>
    <t>cst_wsjob_KENTIKUSETUBI_box</t>
  </si>
  <si>
    <t>cst_wsjob_KOUSAKUBUTU_2_box</t>
  </si>
  <si>
    <t>cst_wsjob_KOUSAKUBUTU_1_box</t>
  </si>
  <si>
    <t>-長期第二面表記用</t>
  </si>
  <si>
    <t>cst_wskakunin_KOUJI_zoukaitiku_box</t>
  </si>
  <si>
    <t>―長期第二面表記用戸建box</t>
  </si>
  <si>
    <t>―長期第二面表記用共同box</t>
  </si>
  <si>
    <t>cst_wskakunin_YOUTO_kodate_box</t>
  </si>
  <si>
    <t>cst_wskakunin_YOUTO_kyoudou_box</t>
  </si>
  <si>
    <t>第6条の4第1項の特例の有無</t>
  </si>
  <si>
    <t>**wskakunin_p4_1_TOKUREI_KAKUNIN_FLAG</t>
  </si>
  <si>
    <t>cst_wskakunin_p4_1_TOKUREI_KAKUNIN_FLAG</t>
  </si>
  <si>
    <t>cst_wskakunin_p4_1_TOKUREI_KAKUNIN_FLAG_on</t>
  </si>
  <si>
    <t>cst_wskakunin_p4_1_TOKUREI_KAKUNIN_FLAG_off</t>
  </si>
  <si>
    <t>長期優良シートを作成</t>
  </si>
  <si>
    <t>上記縮小表示、リンク先修正、建築計画第三面を追加</t>
  </si>
  <si>
    <t>長期　第一面/第二面修正</t>
  </si>
  <si>
    <t>**wskakunin_p4_1_p5_1_KAI</t>
  </si>
  <si>
    <t>第四面-階別-階数-1</t>
  </si>
  <si>
    <t>　-階数1-床面積-申請部分</t>
  </si>
  <si>
    <t>**wskakunin_p4_1_p5_1_P4_MENSEKI_SHINSEI</t>
  </si>
  <si>
    <t>階別-階数-2</t>
  </si>
  <si>
    <t>　-階数2-床面積-申請部分</t>
  </si>
  <si>
    <t>cst_wskakunin_p4_1_p5_1_KAI</t>
  </si>
  <si>
    <t>cst_wskakunin_p4_1_p5_1_P4_MENSEKI_SHINSEI</t>
  </si>
  <si>
    <t>**wskakunin_p4_1_p5_2_KAI</t>
  </si>
  <si>
    <t>**wskakunin_p4_1_p5_2_P4_MENSEKI_SHINSEI</t>
  </si>
  <si>
    <t>cst_wskakunin_p4_1_p5_2_KAI</t>
  </si>
  <si>
    <t>cst_wskakunin_p4_1_p5_2_P4_MENSEKI_SHINSEI</t>
  </si>
  <si>
    <t>階別-階数-3</t>
  </si>
  <si>
    <t>　-階数3-床面積-申請部分</t>
  </si>
  <si>
    <t>**wskakunin_p4_1_p5_3_KAI</t>
  </si>
  <si>
    <t>**wskakunin_p4_1_p5_3_P4_MENSEKI_SHINSEI</t>
  </si>
  <si>
    <t>cst_wskakunin_p4_1_p5_3_KAI</t>
  </si>
  <si>
    <t>cst_wskakunin_p4_1_p5_3_P4_MENSEKI_SHINSEI</t>
  </si>
  <si>
    <t>第二面　三階の情報も追加</t>
  </si>
  <si>
    <t>技術的審査依頼書　建物の名称リンク修正、第二面プルダウン追加</t>
  </si>
  <si>
    <t>三木</t>
  </si>
  <si>
    <t>省エネ_木造：断熱等級、一次エネ部分の等級表示を削除</t>
  </si>
  <si>
    <t>高齢者_木造：印刷範囲は1ページ設定</t>
  </si>
  <si>
    <t>防犯_木造：その他開口部（区分b）を（区分c）へ</t>
  </si>
  <si>
    <t>建築工事届　第三面　ニ．建築工法(1)在来工法の条件に木造（在来工法）も追加</t>
  </si>
  <si>
    <t>委任状差し替え</t>
  </si>
  <si>
    <t>cst_wskakunin_dairi1_NAME</t>
  </si>
  <si>
    <t>cst_wskakunin_dairi1__space3</t>
  </si>
  <si>
    <t>委任状　代理部分　代理者とリンクへ</t>
  </si>
  <si>
    <t>cst_wskakunin_owner2_JIMU_NAME</t>
  </si>
  <si>
    <t>cst_wskakunin_owner2_JIMU_NAME_KANA</t>
  </si>
  <si>
    <t>cst_wskakunin_owner2__address</t>
  </si>
  <si>
    <t>委任状　再度差し替え</t>
  </si>
  <si>
    <t>「建築確認申請事前調査票」の「22条地域」⇒「22条区域」</t>
  </si>
  <si>
    <t>武下</t>
  </si>
  <si>
    <t>適合証明法改正対応（2021年1月）</t>
  </si>
  <si>
    <t>耐震_木造、耐震_一般_S造、耐震_認証_S造シート差し替え</t>
  </si>
  <si>
    <t>ｄSHEET-2対応</t>
  </si>
  <si>
    <t>建築工事届・設計住宅性能評価申請書　押印削除（法改正対応）</t>
  </si>
  <si>
    <t>長期、性能評価帳票の印削除</t>
  </si>
  <si>
    <t>茨城県_現地調査表　印削除（2021/1/5依頼）</t>
  </si>
  <si>
    <t>第四面_中間、完了シート追加</t>
  </si>
  <si>
    <t>完了検査追加説明書、低炭素帳票　追加</t>
  </si>
  <si>
    <t>上記修正</t>
  </si>
  <si>
    <t>修正依頼分（2021/12/15）</t>
  </si>
  <si>
    <t>修正依頼分（2021/02/12）</t>
  </si>
  <si>
    <t>修正依頼分（2021/2/22）</t>
  </si>
  <si>
    <t>法改正対応</t>
  </si>
  <si>
    <t>フリガナ一行表示</t>
  </si>
  <si>
    <t>cst_wskakunin_owner2__space_KANA</t>
  </si>
  <si>
    <t>cst_wskakunin_owner3__space_KANA</t>
  </si>
  <si>
    <t>修正依頼分（2021/4/28）</t>
  </si>
  <si>
    <t>**shinsei_KAKU_SUMI_KOUFU_DATE</t>
  </si>
  <si>
    <t>**shinsei_KAKU_SUMI_KOUFU_NAME</t>
  </si>
  <si>
    <t>cst_KAKU_SUMI_KOUFU_DATE</t>
  </si>
  <si>
    <t>cst_KAKU_SUMI_KOUFU_NAME</t>
  </si>
  <si>
    <t>申請種類別表示</t>
  </si>
  <si>
    <t>cst_shinsei_KAKU_SUMI_NO_JOB_KIND</t>
  </si>
  <si>
    <t>cst_KAKU_SUMI_KOUFU_DATE_JOB_KIND</t>
  </si>
  <si>
    <t>cst_KAKU_SUMI_KOUFU_NAME_JOB_KIND</t>
  </si>
  <si>
    <t>cst_wskakunin_owner3__space3</t>
  </si>
  <si>
    <t>飯島</t>
  </si>
  <si>
    <t>修正依頼分（2021/5/6）</t>
  </si>
  <si>
    <t>cst_wskakunin_dairi1__space5</t>
  </si>
  <si>
    <t>修正依頼分（2021/5/6）　レイアウト修正</t>
  </si>
  <si>
    <t>修正依頼分（2021/5/12）</t>
  </si>
  <si>
    <t>軽微変更説明書 / 軽微変更該当証明申請書 シート追加</t>
  </si>
  <si>
    <t>会社情報 履歴</t>
  </si>
  <si>
    <t>状態</t>
  </si>
  <si>
    <t>履歴</t>
  </si>
  <si>
    <t>開始日</t>
  </si>
  <si>
    <t>会社タイプ</t>
  </si>
  <si>
    <t>代表者名</t>
  </si>
  <si>
    <t>会社名表記名</t>
  </si>
  <si>
    <t>誕生日</t>
  </si>
  <si>
    <t>帳票情報</t>
  </si>
  <si>
    <t>採用情報</t>
  </si>
  <si>
    <t>帳票名</t>
  </si>
  <si>
    <t>Ctrl</t>
  </si>
  <si>
    <t>検査結果</t>
  </si>
  <si>
    <t>会社名２</t>
  </si>
  <si>
    <t>代表者名変更対応</t>
  </si>
  <si>
    <t>建築工事届第二面6.ハ．の木造に〇が付く条件を修正（木造が含まれていれば〇）</t>
  </si>
  <si>
    <t>法改正対応（2021/10/1～）</t>
  </si>
  <si>
    <t>長期第二面　文字の見切れを修正</t>
  </si>
  <si>
    <t>旧適合申請書（2021/4版）追加</t>
  </si>
  <si>
    <t>適合申請書一面二面（2021/10版）シート名を変更</t>
  </si>
  <si>
    <t>届出様式変更</t>
  </si>
  <si>
    <t>取下げ届、工事取止届　修正</t>
  </si>
  <si>
    <t>工事取止届　年号を縮小表示</t>
  </si>
  <si>
    <t>帳票差し替え、追加</t>
  </si>
  <si>
    <t>帳票修正</t>
  </si>
  <si>
    <t>dAName</t>
  </si>
  <si>
    <t>第二面_長期、確認申請書_第二面　各階の床面積の書式を数値に設定</t>
  </si>
  <si>
    <t>長期　認定申請書　差し替え、確認申請書/変更確認申請書　代理者→代表者</t>
  </si>
  <si>
    <t>(1)1,000万円以下</t>
  </si>
  <si>
    <t>(2)1,000万円超～3,000万円以下</t>
  </si>
  <si>
    <t>(3)3,000万円超～1億円以下</t>
  </si>
  <si>
    <t>(4)1億円超～10億円以下</t>
  </si>
  <si>
    <t>(5)10億円超</t>
  </si>
  <si>
    <t>多用途</t>
  </si>
  <si>
    <t>(1)新設</t>
  </si>
  <si>
    <t>(2)その他</t>
  </si>
  <si>
    <t>(2)公営住宅</t>
  </si>
  <si>
    <t>(3)住宅金融支援機構住宅</t>
  </si>
  <si>
    <t>(4)都市再生機構住宅</t>
  </si>
  <si>
    <t>(5)その他</t>
  </si>
  <si>
    <t>(3)共同住宅</t>
  </si>
  <si>
    <t>基準法　法改正対応</t>
  </si>
  <si>
    <t>認定申請書　代理者→代表者に修正</t>
  </si>
  <si>
    <t>取止め届　延べ面積リンク先変更</t>
  </si>
  <si>
    <t>建築工事届　修正</t>
  </si>
  <si>
    <t>居住専用住宅（附属建築物を除く。）</t>
  </si>
  <si>
    <t>居住専用住宅附属建築物（物置，車庫等）</t>
  </si>
  <si>
    <t>寮，寄宿舎，合宿所（附属建築物を除く。）</t>
  </si>
  <si>
    <t>寮，寄宿舎，合宿所附属建築物（物置，車庫等）</t>
  </si>
  <si>
    <t>他に分類されない居住専用建築物</t>
  </si>
  <si>
    <t>農業，林業，漁業，水産養殖業</t>
  </si>
  <si>
    <t>鉱業，採石業，砂利採取業</t>
  </si>
  <si>
    <t>建設業</t>
  </si>
  <si>
    <t>食料品製造業，飲料・たばこ・飼料製造業，繊維工業，木材・木製品製造業，家具・装備品製造業，パルプ・紙・紙加工品製造業，印刷・同関連業，プラスチック製品製造業（記号15から記号18までに該当するものを除く。），窯業・土石製品製造業</t>
  </si>
  <si>
    <t>化学工業，石油製品・石炭製品製造業</t>
  </si>
  <si>
    <t>鉄鋼業，非鉄金属製造業，金属製品製造業</t>
  </si>
  <si>
    <t>はん用機械器具製造業，生産用機械器具製造業，業務用機械器具製造業，電子部品・デバイス・電子回路製造業，電気機械器具製造業，情報通信機械器具製造業，輸送用機械器具製造業</t>
  </si>
  <si>
    <t>ゴム製品製造業，なめし革・同製品・毛皮製造業，その他の製造業</t>
  </si>
  <si>
    <t>電気業</t>
  </si>
  <si>
    <t>ガス業</t>
  </si>
  <si>
    <t>熱供給業</t>
  </si>
  <si>
    <t>水道業</t>
  </si>
  <si>
    <t>通信業</t>
  </si>
  <si>
    <t>放送業，情報サービス業，インターネット附随サービス業</t>
  </si>
  <si>
    <t>映像・音声・文字情報製作業（新聞業及び出版業を除く。）</t>
  </si>
  <si>
    <t>映像・音声・文字情報制作業（新聞業及び出版業に限る。）</t>
  </si>
  <si>
    <t>鉄道業，道路旅客運送業，道路貨物運送業，水運業，航空，運輸業，倉庫業，運輸に附帯するサービス業</t>
  </si>
  <si>
    <t>卸売業，小売業</t>
  </si>
  <si>
    <t>金融業，保険業</t>
  </si>
  <si>
    <t>不動産取引業，不動産賃貸業・管理業（駐車場業を除く。）</t>
  </si>
  <si>
    <t>不動産賃貸業・管理業（駐車場業に限る。）</t>
  </si>
  <si>
    <t>宿泊業</t>
  </si>
  <si>
    <t>飲食店，持ち帰り・配達飲食サービス業</t>
  </si>
  <si>
    <t>学校教育</t>
  </si>
  <si>
    <t>その他の教育及び学習支援業（社会教育に限る。）</t>
  </si>
  <si>
    <t>その他の教育及び学習支援業（学習塾及び教養・技能教授業に限る。）</t>
  </si>
  <si>
    <t>その他の教育及び学習支援業（記号35及び記号36に該当するものを除く。）</t>
  </si>
  <si>
    <t>医療業，保健衛生</t>
  </si>
  <si>
    <t>社会保険・社会福祉・介護事業</t>
  </si>
  <si>
    <t>郵便業（信書便事業を含む。），郵便局</t>
  </si>
  <si>
    <t>学術・開発研究機関，政治・経済・文化団体</t>
  </si>
  <si>
    <t>その他の生活関連サービス業（旅行業に限る。）</t>
  </si>
  <si>
    <t>娯楽業</t>
  </si>
  <si>
    <t>宗教</t>
  </si>
  <si>
    <t>物品賃貸業，専門サービス業，広告業，技術サービス業，洗濯・理容・美容・浴場業，その他の生活関連サービス業（旅行業を除く。），協同組合，サービス業（他に分類されないもの）（記号41及び記号44に該当するものを除く。）</t>
  </si>
  <si>
    <t>国家公務，地方公務</t>
  </si>
  <si>
    <t>他に分類されないもの</t>
  </si>
  <si>
    <t>項目リスト　工事届用主要用途区分設定</t>
  </si>
  <si>
    <t>長期確認帳票に　別紙追加</t>
  </si>
  <si>
    <t>建築工事届　第二面ホ、第三面チ・リ　単位追加</t>
  </si>
  <si>
    <t>cst_wskakunin_owner4__space_KANA</t>
  </si>
  <si>
    <t>cst_wskakunin_owner5__space_KANA</t>
  </si>
  <si>
    <t>cst_wskakunin_owner6__space_KANA</t>
  </si>
  <si>
    <t>cst_wskakunin_owner7__space_KANA</t>
  </si>
  <si>
    <t>cst_wskakunin_owner8__space_KANA</t>
  </si>
  <si>
    <t>cst_wskakunin_owner6__space</t>
  </si>
  <si>
    <t>cst_wskakunin_owner7__space</t>
  </si>
  <si>
    <t>cst_wskakunin_owner8__space</t>
  </si>
  <si>
    <t>代理者6</t>
  </si>
  <si>
    <t>代理者7</t>
  </si>
  <si>
    <t>代理者8</t>
  </si>
  <si>
    <t>**wskakunin_dairi6__sikaku</t>
  </si>
  <si>
    <t>**wskakunin_dairi6_SIKAKU__label</t>
  </si>
  <si>
    <t>**wskakunin_dairi6_TOUROKU_KIKAN__label</t>
  </si>
  <si>
    <t>**wskakunin_dairi6_KENTIKUSI_NO</t>
  </si>
  <si>
    <t>**wskakunin_dairi6_NAME</t>
  </si>
  <si>
    <t>**wskakunin_dairi6_NAME_KANA</t>
  </si>
  <si>
    <t>**wskakunin_dairi6_JIMU__sikaku</t>
  </si>
  <si>
    <t>**wskakunin_dairi6_JIMU_SIKAKU__label</t>
  </si>
  <si>
    <t>**wskakunin_dairi6_JIMU_TOUROKU_KIKAN__label</t>
  </si>
  <si>
    <t>**wskakunin_dairi6_JIMU_NO</t>
  </si>
  <si>
    <t>**wskakunin_dairi6_JIMU_NAME</t>
  </si>
  <si>
    <t>**wskakunin_dairi6_ZIP</t>
  </si>
  <si>
    <t>**wskakunin_dairi6__address</t>
  </si>
  <si>
    <t>**wskakunin_dairi6_TEL</t>
  </si>
  <si>
    <t>**wskakunin_dairi6_FAX</t>
  </si>
  <si>
    <t>cst_wskakunin_dairi6__sikaku</t>
  </si>
  <si>
    <t>cst_wskakunin_dairi6_SIKAKU</t>
  </si>
  <si>
    <t>cst_wskakunin_dairi6_TOUROKU_KIKAN</t>
  </si>
  <si>
    <t>cst_wskakunin_dairi6_KENTIKUSI_NO</t>
  </si>
  <si>
    <t>cst_wskakunin_dairi6_NAME</t>
  </si>
  <si>
    <t>cst_wskakunin_dairi6_NAME_KANA</t>
  </si>
  <si>
    <t>cst_wskakunin_dairi6_JIMU_SIKAKU</t>
  </si>
  <si>
    <t>cst_wskakunin_dairi6_JIMU__sikaku</t>
  </si>
  <si>
    <t>cst_wskakunin_dairi6_JIMU_TOUROKU_KIKAN</t>
  </si>
  <si>
    <t>cst_wskakunin_dairi6_JIMU_NO</t>
  </si>
  <si>
    <t>cst_wskakunin_dairi6_JIMU_NAME</t>
  </si>
  <si>
    <t>cst_wskakunin_dairi6_ZIP</t>
  </si>
  <si>
    <t>cst_wskakunin_dairi6__address</t>
  </si>
  <si>
    <t>cst_wskakunin_dairi6_TEL</t>
  </si>
  <si>
    <t>cst_wskakunin_dairi6_FAX</t>
  </si>
  <si>
    <t>cst_wskakunin_dairi6__space</t>
  </si>
  <si>
    <t>**wskakunin_dairi7__sikaku</t>
  </si>
  <si>
    <t>**wskakunin_dairi7_SIKAKU__label</t>
  </si>
  <si>
    <t>**wskakunin_dairi7_TOUROKU_KIKAN__label</t>
  </si>
  <si>
    <t>**wskakunin_dairi7_KENTIKUSI_NO</t>
  </si>
  <si>
    <t>**wskakunin_dairi7_NAME</t>
  </si>
  <si>
    <t>**wskakunin_dairi7_NAME_KANA</t>
  </si>
  <si>
    <t>**wskakunin_dairi7_JIMU__sikaku</t>
  </si>
  <si>
    <t>**wskakunin_dairi7_JIMU_SIKAKU__label</t>
  </si>
  <si>
    <t>**wskakunin_dairi7_JIMU_TOUROKU_KIKAN__label</t>
  </si>
  <si>
    <t>**wskakunin_dairi7_JIMU_NO</t>
  </si>
  <si>
    <t>**wskakunin_dairi7_JIMU_NAME</t>
  </si>
  <si>
    <t>**wskakunin_dairi7_ZIP</t>
  </si>
  <si>
    <t>**wskakunin_dairi7__address</t>
  </si>
  <si>
    <t>**wskakunin_dairi7_TEL</t>
  </si>
  <si>
    <t>**wskakunin_dairi7_FAX</t>
  </si>
  <si>
    <t>cst_wskakunin_dairi7__sikaku</t>
  </si>
  <si>
    <t>cst_wskakunin_dairi7_SIKAKU</t>
  </si>
  <si>
    <t>cst_wskakunin_dairi7_TOUROKU_KIKAN</t>
  </si>
  <si>
    <t>cst_wskakunin_dairi7_KENTIKUSI_NO</t>
  </si>
  <si>
    <t>cst_wskakunin_dairi7_NAME</t>
  </si>
  <si>
    <t>cst_wskakunin_dairi7_NAME_KANA</t>
  </si>
  <si>
    <t>cst_wskakunin_dairi7_JIMU__sikaku</t>
  </si>
  <si>
    <t>cst_wskakunin_dairi7_JIMU_SIKAKU</t>
  </si>
  <si>
    <t>cst_wskakunin_dairi7_JIMU_TOUROKU_KIKAN</t>
  </si>
  <si>
    <t>cst_wskakunin_dairi7_JIMU_NO</t>
  </si>
  <si>
    <t>cst_wskakunin_dairi7_JIMU_NAME</t>
  </si>
  <si>
    <t>cst_wskakunin_dairi7_ZIP</t>
  </si>
  <si>
    <t>cst_wskakunin_dairi7__address</t>
  </si>
  <si>
    <t>cst_wskakunin_dairi7_TEL</t>
  </si>
  <si>
    <t>cst_wskakunin_dairi7_FAX</t>
  </si>
  <si>
    <t>cst_wskakunin_dairi7__space</t>
  </si>
  <si>
    <t>**wskakunin_dairi8__sikaku</t>
  </si>
  <si>
    <t>**wskakunin_dairi8_SIKAKU__label</t>
  </si>
  <si>
    <t>**wskakunin_dairi8_TOUROKU_KIKAN__label</t>
  </si>
  <si>
    <t>**wskakunin_dairi8_KENTIKUSI_NO</t>
  </si>
  <si>
    <t>**wskakunin_dairi8_NAME</t>
  </si>
  <si>
    <t>**wskakunin_dairi8_NAME_KANA</t>
  </si>
  <si>
    <t>**wskakunin_dairi8_JIMU__sikaku</t>
  </si>
  <si>
    <t>**wskakunin_dairi8_JIMU_SIKAKU__label</t>
  </si>
  <si>
    <t>**wskakunin_dairi8_JIMU_TOUROKU_KIKAN__label</t>
  </si>
  <si>
    <t>**wskakunin_dairi8_JIMU_NO</t>
  </si>
  <si>
    <t>**wskakunin_dairi8_JIMU_NAME</t>
  </si>
  <si>
    <t>**wskakunin_dairi8_ZIP</t>
  </si>
  <si>
    <t>**wskakunin_dairi8__address</t>
  </si>
  <si>
    <t>**wskakunin_dairi8_TEL</t>
  </si>
  <si>
    <t>**wskakunin_dairi8_FAX</t>
  </si>
  <si>
    <t>cst_wskakunin_dairi8__sikaku</t>
  </si>
  <si>
    <t>cst_wskakunin_dairi8_SIKAKU</t>
  </si>
  <si>
    <t>cst_wskakunin_dairi8_TOUROKU_KIKAN</t>
  </si>
  <si>
    <t>cst_wskakunin_dairi8_KENTIKUSI_NO</t>
  </si>
  <si>
    <t>cst_wskakunin_dairi8_NAME</t>
  </si>
  <si>
    <t>cst_wskakunin_dairi8_NAME_KANA</t>
  </si>
  <si>
    <t>cst_wskakunin_dairi8_JIMU__sikaku</t>
  </si>
  <si>
    <t>cst_wskakunin_dairi8_JIMU_SIKAKU</t>
  </si>
  <si>
    <t>cst_wskakunin_dairi8_JIMU_TOUROKU_KIKAN</t>
  </si>
  <si>
    <t>cst_wskakunin_dairi8_JIMU_NO</t>
  </si>
  <si>
    <t>cst_wskakunin_dairi8_JIMU_NAME</t>
  </si>
  <si>
    <t>cst_wskakunin_dairi8_ZIP</t>
  </si>
  <si>
    <t>cst_wskakunin_dairi8__address</t>
  </si>
  <si>
    <t>cst_wskakunin_dairi8_TEL</t>
  </si>
  <si>
    <t>cst_wskakunin_dairi8_FAX</t>
  </si>
  <si>
    <t>cst_wskakunin_dairi8__space</t>
  </si>
  <si>
    <t>性能評価申請書の別紙追加</t>
  </si>
  <si>
    <t>工事取止届差し替え、記載事項変更・誤記訂正届に出力名変更</t>
  </si>
  <si>
    <t>委任状_確認等　シート修正</t>
  </si>
  <si>
    <t>法改正対応（2022/10/1～）</t>
  </si>
  <si>
    <t>第二面連名用別紙１_申請者 / 第二面連名用別紙１_施工者　シート追加</t>
  </si>
  <si>
    <t>dSHEET　各第二面連名用別紙１の表示条件修正</t>
  </si>
  <si>
    <t>各第二面連名用別紙１　５名まで表示に修正</t>
  </si>
  <si>
    <t>showsheetflag_****
  1=表示
  0=削除(速度遅くなるため✕)
 -1=非表示
 -2=シート非表示（再表示不可）</t>
  </si>
  <si>
    <t>ｄSHEET　0⇒-2に修正</t>
  </si>
  <si>
    <t>帳票差し替え</t>
  </si>
  <si>
    <t>上記　見切れ等修正</t>
  </si>
  <si>
    <t>評価申請書　差し替え</t>
  </si>
  <si>
    <t>取手市_別紙、つくば市_別紙　削除</t>
  </si>
  <si>
    <t>高萩市_別添差し替え</t>
  </si>
  <si>
    <t>技術的審査依頼書_長期、技術的審査依頼書_変更_長期、取下げ届_長期シート非表示</t>
  </si>
  <si>
    <t>建築工事届　右上の日付のリンク解除</t>
  </si>
  <si>
    <t>**wskakunin_YOUTO_TIIKI</t>
  </si>
  <si>
    <t>cst_wskakunin_YOUTO_TIIKI</t>
  </si>
  <si>
    <t>第一面、第二面、注意書シート追加</t>
  </si>
  <si>
    <t>設計評価書、変更設計評価書　修正</t>
  </si>
  <si>
    <t>法改正対応（適合証明）</t>
  </si>
  <si>
    <t>認定申請書_第１号の３　修正</t>
  </si>
  <si>
    <t>建築面積</t>
  </si>
  <si>
    <t>**wskakunin_KENTIKU_MENSEKI_ZENTAI_SHINSEI</t>
  </si>
  <si>
    <t>**wskakunin_KENTIKU_MENSEKI_ZENTAI_IGAI</t>
  </si>
  <si>
    <t>**wskakunin_KENTIKU_MENSEKI_ZENTAI_TOTAL</t>
  </si>
  <si>
    <t>cst_wskakunin_KENTIKU_MENSEKI_ZENTAI_SHINSEI</t>
  </si>
  <si>
    <t>cst_wskakunin_KENTIKU_MENSEKI_ZENTAI_IGAI</t>
  </si>
  <si>
    <t>cst_wskakunin_KENTIKU_MENSEKI_ZENTAI_TOTAL</t>
  </si>
  <si>
    <t>認定機械室等の部分</t>
  </si>
  <si>
    <t>**wskakunin_NOBE_MENSEKI_KIKAI_SHINSEI</t>
  </si>
  <si>
    <t>**wskakunin_NOBE_MENSEKI_KIKAI_IGAI</t>
  </si>
  <si>
    <t>**wskakunin_NOBE_MENSEKI_KIKAI_TOTAL</t>
  </si>
  <si>
    <t>cst_wskakunin_NOBE_MENSEKI_KIKAI_SHINSEI</t>
  </si>
  <si>
    <t>cst_wskakunin_NOBE_MENSEKI_KIKAI_IGAI</t>
  </si>
  <si>
    <t>cst_wskakunin_NOBE_MENSEKI_KIKAI_TOTAL</t>
  </si>
  <si>
    <t>その他の不算入部分</t>
  </si>
  <si>
    <t>**wskakunin_NOBE_MENSEKI_FUSANNYU_SHINSEI</t>
  </si>
  <si>
    <t>**wskakunin_NOBE_MENSEKI_FUSANNYU_IGAI</t>
  </si>
  <si>
    <t>**wskakunin_NOBE_MENSEKI_FUSANNYU_TOTAL</t>
  </si>
  <si>
    <t>cst_wskakunin_NOBE_MENSEKI_FUSANNYU_SHINSEI</t>
  </si>
  <si>
    <t>cst_wskakunin_NOBE_MENSEKI_FUSANNYU_IGAI</t>
  </si>
  <si>
    <t>cst_wskakunin_NOBE_MENSEKI_FUSANNYU_TOTAL</t>
  </si>
  <si>
    <t>田口</t>
  </si>
  <si>
    <t>法改正対応（基準法）</t>
  </si>
  <si>
    <t>申請様式</t>
  </si>
  <si>
    <t>**wsjob_JOB_INPUT_VERSION</t>
  </si>
  <si>
    <t>cst_wsjob_JOB_INPUT_VERSION</t>
  </si>
  <si>
    <t>1＝「2020年3月まで」、2＝「2020年4月」、3＝「2020年9月」
4＝「2021年1月」、5＝「2022年4月」、6＝「2023年4月」</t>
  </si>
  <si>
    <t>施工状況報告書　S造差し替え</t>
  </si>
  <si>
    <t>委任状　C27　文言修正</t>
  </si>
  <si>
    <t>茨城県　現地調査表　建築場所・建築主　リンク修正</t>
  </si>
  <si>
    <t>5/17対応分　修正</t>
  </si>
  <si>
    <t>佐藤</t>
  </si>
  <si>
    <t>Ｓ造　文字見切れ・高齢者印刷設定修正</t>
  </si>
  <si>
    <t>cst_wskakunin_p4_1__kouji_box</t>
  </si>
  <si>
    <t>cst_wskakunin_p4_1__kouji_box_2</t>
  </si>
  <si>
    <t>認定申請書_第１号 H61/K61 リンク先修正</t>
  </si>
  <si>
    <t>建築確認申請事前調査票　セルW59　修正</t>
  </si>
  <si>
    <t>建築確認申請事前調査票　差替え</t>
  </si>
  <si>
    <t>建築確認申請事前調査票　印刷範囲、ロゴ位置修正</t>
  </si>
  <si>
    <t>設計住宅性能評価申請書/申請書_2210 修正</t>
  </si>
  <si>
    <t>中嶋</t>
  </si>
  <si>
    <t>委任状　現金取得者向け新築対象住宅証明書　削除</t>
  </si>
  <si>
    <t>建築確認申請事前調査票　一部レイアウト修正</t>
  </si>
  <si>
    <t>建築工事届　3.　地名地番　上段揃え</t>
  </si>
  <si>
    <t>省エネ帳票差し替え</t>
  </si>
  <si>
    <t>軽微な変更シート　受付欄修正と印刷範囲修正</t>
  </si>
  <si>
    <t>説明</t>
  </si>
  <si>
    <t>STJC→SKKへ移行</t>
  </si>
  <si>
    <t>建築工事届追加</t>
  </si>
  <si>
    <t>建築基準法第15条第１項の規定による</t>
  </si>
  <si>
    <t>日</t>
  </si>
  <si>
    <t>　　建築主</t>
  </si>
  <si>
    <t>　　工事施工者（設計者又は代理者）</t>
  </si>
  <si>
    <t>担当者の氏名</t>
  </si>
  <si>
    <t>担当者の電話番号</t>
  </si>
  <si>
    <t>-</t>
  </si>
  <si>
    <t>　　工事監理者</t>
  </si>
  <si>
    <t>　　建築確認</t>
  </si>
  <si>
    <t>第</t>
  </si>
  <si>
    <t>確認済証交付年月日</t>
  </si>
  <si>
    <t>　　除却工事施工者</t>
  </si>
  <si>
    <t xml:space="preserve"> 　※受付経由機関記載欄</t>
  </si>
  <si>
    <t>（第二面）</t>
  </si>
  <si>
    <t>【１．着工及び工事完了の予定期日】</t>
  </si>
  <si>
    <t>イ．着工予定期日</t>
  </si>
  <si>
    <t>ロ．工事完了予定期日</t>
  </si>
  <si>
    <t>【２．建築主】</t>
  </si>
  <si>
    <t>イ．建築主の種別</t>
  </si>
  <si>
    <t>(1)国</t>
  </si>
  <si>
    <t>(2)都道府県</t>
  </si>
  <si>
    <t>(3)市区町村</t>
  </si>
  <si>
    <t>(4)会社</t>
  </si>
  <si>
    <t>(5)会社でない団体</t>
  </si>
  <si>
    <t>(6)個人</t>
  </si>
  <si>
    <t>ロ．資本の額又は
    出資の総額</t>
  </si>
  <si>
    <t>【３．敷地の位置】</t>
  </si>
  <si>
    <t>イ．地名地番</t>
  </si>
  <si>
    <t>ロ．都市計画</t>
  </si>
  <si>
    <t>(1)市街化区域</t>
  </si>
  <si>
    <t>(2)市街化調整区域</t>
  </si>
  <si>
    <t>(3)区域区分非設定都市計画区域</t>
  </si>
  <si>
    <t>(4)準都市計画区域</t>
  </si>
  <si>
    <t>(5)都市計画区域及び準都市計画区域外</t>
  </si>
  <si>
    <t>【４．工事種別】</t>
  </si>
  <si>
    <t>(1)新築</t>
  </si>
  <si>
    <t>(2)増築</t>
  </si>
  <si>
    <t>(3)改築</t>
  </si>
  <si>
    <t>(4)移転</t>
  </si>
  <si>
    <t>【５．主要用途】</t>
  </si>
  <si>
    <t>（注意欄に記載の記号を記入してください）</t>
  </si>
  <si>
    <t>【６．一の建築物ごとの内容】</t>
  </si>
  <si>
    <t>イ．番号</t>
  </si>
  <si>
    <t>ロ．物件名</t>
  </si>
  <si>
    <r>
      <t xml:space="preserve">ハ．用途
</t>
    </r>
    <r>
      <rPr>
        <sz val="9"/>
        <color theme="1"/>
        <rFont val="ＭＳ 明朝"/>
        <family val="1"/>
        <charset val="128"/>
      </rPr>
      <t>（注意欄に記載の記号を
　記入してください）</t>
    </r>
  </si>
  <si>
    <r>
      <t xml:space="preserve">ニ．工事部分の構造
</t>
    </r>
    <r>
      <rPr>
        <sz val="9"/>
        <color theme="1"/>
        <rFont val="ＭＳ 明朝"/>
        <family val="1"/>
        <charset val="128"/>
      </rPr>
      <t>（注意欄に記載の記号を
　記入してください）</t>
    </r>
  </si>
  <si>
    <t>ホ．工事の予定期間</t>
  </si>
  <si>
    <t>月間</t>
  </si>
  <si>
    <t>ヘ．工事部分の
　　  床面積の合計</t>
  </si>
  <si>
    <r>
      <t xml:space="preserve">ト．用途ごとの工事部
　　分の床面積
</t>
    </r>
    <r>
      <rPr>
        <sz val="9"/>
        <color theme="1"/>
        <rFont val="ＭＳ 明朝"/>
        <family val="1"/>
        <charset val="128"/>
      </rPr>
      <t>（工事部分の用途が１種類
　のみであり、ハの用途と
　同一である場合は、記入
　不要です。）</t>
    </r>
  </si>
  <si>
    <t>床面積</t>
  </si>
  <si>
    <t>③</t>
  </si>
  <si>
    <t>チ．建築工事費予定額</t>
  </si>
  <si>
    <t>万円</t>
  </si>
  <si>
    <t>消費税込み</t>
  </si>
  <si>
    <t>リ．新築工事の場合に
　　おける地上の階数</t>
  </si>
  <si>
    <t>ヌ．新築工事の場合に
　　おける地下の階数</t>
  </si>
  <si>
    <t>地下</t>
  </si>
  <si>
    <t>【１．住宅部分の概要】</t>
  </si>
  <si>
    <t>ロ．新設又は
　　　その他の別</t>
  </si>
  <si>
    <t>ハ．新設住宅の資金</t>
  </si>
  <si>
    <t>(1)民間資金住宅</t>
  </si>
  <si>
    <t>ニ．住宅の建築工法</t>
  </si>
  <si>
    <t>(1)在来工法</t>
  </si>
  <si>
    <t>(2)プレハブ工法</t>
  </si>
  <si>
    <t>(3)枠組壁工法</t>
  </si>
  <si>
    <t>ホ．住宅の種類</t>
  </si>
  <si>
    <t>(1)専用住宅</t>
  </si>
  <si>
    <t>(2)併用住宅</t>
  </si>
  <si>
    <t>(3)その他の住宅</t>
  </si>
  <si>
    <t>ヘ．住宅の建て方</t>
  </si>
  <si>
    <t>ト．利用関係</t>
  </si>
  <si>
    <t>(1)持家　</t>
  </si>
  <si>
    <t>(2)貸家　　</t>
  </si>
  <si>
    <t>チ．住宅の戸数</t>
  </si>
  <si>
    <t>リ．工事部分の
　　床面積の合計</t>
  </si>
  <si>
    <t>【２．除却建築物の概要】</t>
  </si>
  <si>
    <t>　イ．産業分類</t>
  </si>
  <si>
    <t>イ．主要用途</t>
  </si>
  <si>
    <t xml:space="preserve">  ロ．除却原因</t>
  </si>
  <si>
    <t>ロ．除却原因</t>
  </si>
  <si>
    <t>(1)老朽して危険があるため</t>
  </si>
  <si>
    <t>　ハ．構造</t>
  </si>
  <si>
    <t>ハ．構造</t>
  </si>
  <si>
    <t>(1)木造</t>
  </si>
  <si>
    <t>　ニ．建築物の数</t>
  </si>
  <si>
    <t>ニ．建築物の数</t>
  </si>
  <si>
    <t>棟</t>
  </si>
  <si>
    <t>　ホ．住宅の戸数</t>
  </si>
  <si>
    <t>ホ．住宅の戸数</t>
  </si>
  <si>
    <t>　チ．住宅の利用関係</t>
  </si>
  <si>
    <t>ヘ．住宅の利用関係</t>
  </si>
  <si>
    <t>ト．建築物の床面積の合計</t>
  </si>
  <si>
    <t>　ヌ．建築物の評価額</t>
  </si>
  <si>
    <t>チ．建築物の評価額</t>
  </si>
  <si>
    <t>工事届_2410</t>
  </si>
  <si>
    <t>用途コート</t>
  </si>
  <si>
    <t>用途分類</t>
  </si>
  <si>
    <t>構造コード</t>
  </si>
  <si>
    <t>住宅、住宅附属建築物（物置、車庫等）</t>
  </si>
  <si>
    <t>寮、合宿所、寄宿舎、準住宅附属建築物（物置、車庫等）</t>
  </si>
  <si>
    <t>農業、林業、漁業、水産養殖業</t>
  </si>
  <si>
    <t>鉱業、採石業、砂利採取業、建設業</t>
  </si>
  <si>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</si>
  <si>
    <t>コンクリートブロック造</t>
  </si>
  <si>
    <t>電気・ガス・熱供給・水道業</t>
  </si>
  <si>
    <t>06</t>
  </si>
  <si>
    <t>通信業、放送業、情報サービス業、インターネット附随サービス業、映像・音声・文字情報制作業</t>
  </si>
  <si>
    <t>鉄道業、道路旅客運送業、道路貨物運送業、水運業、航空運輸業、倉庫業、運輸に附帯するサービス業</t>
  </si>
  <si>
    <t>08082</t>
  </si>
  <si>
    <t>義務教育学校</t>
  </si>
  <si>
    <t>卸売業、小売業</t>
  </si>
  <si>
    <t>金融業、保険業</t>
  </si>
  <si>
    <t>特別支援学校</t>
  </si>
  <si>
    <t>不動産取引業、不動産賃貸業・管理業</t>
  </si>
  <si>
    <t>宿泊業、飲食店、持ち帰り・配達飲食サービス業</t>
  </si>
  <si>
    <t>学校教育、その他の教育、学習支援業（社会教育、学習塾及び教養・技能教授業ほか）</t>
  </si>
  <si>
    <t>医療業、保健衛生、社会保険・社会福祉・介護事業</t>
  </si>
  <si>
    <t>08132</t>
  </si>
  <si>
    <t>幼保連携型認定こども園</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</si>
  <si>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</si>
  <si>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</si>
  <si>
    <t>08152</t>
  </si>
  <si>
    <t>美術館その他これに類するもの</t>
  </si>
  <si>
    <t>老人ホーム、福祉ホームその他これに類するもの</t>
  </si>
  <si>
    <t>助産所（入所する者の寝室があるものに限る。）</t>
  </si>
  <si>
    <t>08192</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</si>
  <si>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</si>
  <si>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</si>
  <si>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</si>
  <si>
    <t>郵便法（昭和22年法律第165号）の規定により行う郵便の業務の用に供する施設</t>
  </si>
  <si>
    <t>建築基準法施行令第130条の４第５号に基づき国土交通大臣が指定する施設</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</si>
  <si>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</si>
  <si>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</si>
  <si>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</si>
  <si>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物品販売業を営む店舗以外の店舗（前２項に掲げるものを除く。）</t>
  </si>
  <si>
    <t>08630</t>
  </si>
  <si>
    <t>農産物の生産、集荷、処理又は貯蔵に供するもの</t>
  </si>
  <si>
    <t>08640</t>
  </si>
  <si>
    <t>農業の生産資材の貯蔵に供するもの</t>
  </si>
  <si>
    <t>08650</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</si>
  <si>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</si>
  <si>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建築工事届_2410</t>
  </si>
  <si>
    <t>建築工事届_2410追加　法改正対応</t>
  </si>
  <si>
    <t>工事届け_2410　手入力欄　標準→文字列に修正</t>
  </si>
  <si>
    <t>建築工事届シート　非表示</t>
  </si>
  <si>
    <t>建築工事届_2410　修正対応</t>
  </si>
  <si>
    <t>（1）新築のみ表示</t>
  </si>
  <si>
    <t>cst_wskakunin_SHIKITI_MENSEKI_1_TOTAL_SINTIKU</t>
  </si>
  <si>
    <t>cst_wskakunin_p4_1_KAISU_TIKAI_NOZOKU_SINTIKU</t>
  </si>
  <si>
    <t>cst_wskakunin_p4_1_KAISU_TIKAI_SINTIKU</t>
  </si>
  <si>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２欄の「イ」及び「ロ」、３欄の「ロ」、４欄並びに６欄の「ハ」は、該当するチェックボックスに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</si>
  <si>
    <t>主要用途の区分</t>
  </si>
  <si>
    <t>記号</t>
  </si>
  <si>
    <t>居住専用住宅</t>
  </si>
  <si>
    <t>居住専用準住宅</t>
  </si>
  <si>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</si>
  <si>
    <t>居住
産業
併用</t>
  </si>
  <si>
    <t>産業
専用</t>
  </si>
  <si>
    <t>農林水産業</t>
  </si>
  <si>
    <t>製造業</t>
  </si>
  <si>
    <t>情報通信業</t>
  </si>
  <si>
    <t>運輸業</t>
  </si>
  <si>
    <t>不動産業</t>
  </si>
  <si>
    <t>宿泊業、飲食サービス業</t>
  </si>
  <si>
    <t>教育、学習支援業</t>
  </si>
  <si>
    <t>医療、福祉</t>
  </si>
  <si>
    <t>その他のサービス業</t>
  </si>
  <si>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</si>
  <si>
    <t>用途の分類</t>
  </si>
  <si>
    <t xml:space="preserve">共同住宅 </t>
  </si>
  <si>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</si>
  <si>
    <t xml:space="preserve">義務教育学校 </t>
  </si>
  <si>
    <t xml:space="preserve">幼保連携型認定こども園 </t>
  </si>
  <si>
    <t>　⑬　６欄の「ニ」は、次の表の記号の中から該当するものを選んで記入してください。工事部分が２種類
    以上の構造からなるときは、床面積が最も大きい部分の構造について記入してください。
　</t>
  </si>
  <si>
    <t>構造の区分</t>
  </si>
  <si>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</si>
  <si>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</si>
  <si>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</si>
  <si>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</si>
  <si>
    <t>No.2</t>
  </si>
  <si>
    <t>No.3</t>
  </si>
  <si>
    <t>No.4</t>
  </si>
  <si>
    <t>No.5</t>
  </si>
  <si>
    <r>
      <rPr>
        <sz val="10"/>
        <color theme="1"/>
        <rFont val="ＭＳ 明朝"/>
        <family val="1"/>
        <charset val="128"/>
      </rPr>
      <t>(</t>
    </r>
    <r>
      <rPr>
        <sz val="11"/>
        <color theme="1"/>
        <rFont val="ＭＳ 明朝"/>
        <family val="1"/>
        <charset val="128"/>
      </rPr>
      <t>2)公営住宅</t>
    </r>
  </si>
  <si>
    <t>追加記入欄</t>
  </si>
  <si>
    <t>注意欄_参照用</t>
  </si>
  <si>
    <t>**wskakunin_p4_1_YUKA_MENSEKI_SHINSEI</t>
  </si>
  <si>
    <t>cst_wskakunin_p4_1_YUKA_MENSEKI_SHINSEI</t>
  </si>
  <si>
    <t>建築工事届　6．へ．工事部分の床面積　リンク修正</t>
  </si>
  <si>
    <t>追加記入欄　プルダウン修正</t>
  </si>
  <si>
    <t>用途番号用</t>
  </si>
  <si>
    <t>SKK→UHECへ移行</t>
  </si>
  <si>
    <t>新規作成</t>
  </si>
  <si>
    <t>※印のある欄は記入しないで下さい。</t>
  </si>
  <si>
    <t>申請者（代理者）には、建築主、設置者又は築造主、又は建築主等より委任を受けた代理者を記入してください。</t>
  </si>
  <si>
    <t>指摘事項、報告内容に別添がある場合は、その旨を本書に記載して添付して下さい。</t>
  </si>
  <si>
    <t>【注意事項】　</t>
  </si>
  <si>
    <t>係員氏名</t>
  </si>
  <si>
    <t>第UHEC　　　　　　　　　　　　　　号</t>
  </si>
  <si>
    <t>令和　　　　年　　　　月　　　　日</t>
  </si>
  <si>
    <t xml:space="preserve">    ※備考欄</t>
  </si>
  <si>
    <t>※受付欄</t>
  </si>
  <si>
    <t>報告内容</t>
  </si>
  <si>
    <t>指摘事項</t>
  </si>
  <si>
    <t>追加説明書を作成した者の氏名等</t>
  </si>
  <si>
    <t>通　　　　　知　　　　　日</t>
  </si>
  <si>
    <t>建　　　物　　　名　　　称</t>
  </si>
  <si>
    <t>よる追加説明書を提出します。</t>
  </si>
  <si>
    <t>　建築基準法第18条の3及び確認審査等に関する指針（平成19年第835号）第一第5項第三号ロに</t>
  </si>
  <si>
    <t>申請者（代理者）</t>
  </si>
  <si>
    <t>株式会社　都市居住評価センター　　　　御中</t>
  </si>
  <si>
    <t>令和  　年　　月　　日</t>
  </si>
  <si>
    <t>追加説明書</t>
  </si>
  <si>
    <t>別記様式（KK-A15-3)</t>
  </si>
  <si>
    <t>確認検査員/
副確認検査員</t>
  </si>
  <si>
    <t>通知日</t>
  </si>
  <si>
    <t>確認年月日 番号</t>
  </si>
  <si>
    <t>建物名称</t>
  </si>
  <si>
    <t>　建築基準法第18条の3及び確認審査等に関する指針（平成19年第835号）第三第4項第三号に</t>
  </si>
  <si>
    <t>令和　　年　　月　　日</t>
  </si>
  <si>
    <t>（完了検査）</t>
  </si>
  <si>
    <t>各種届出</t>
  </si>
  <si>
    <t>軽微変更該当証明申請書</t>
  </si>
  <si>
    <t>計画変更通知書（計通）</t>
  </si>
  <si>
    <t>計画通知書（計通）</t>
  </si>
  <si>
    <t>変更計画書</t>
  </si>
  <si>
    <t>計画書</t>
  </si>
  <si>
    <t>3．業務の区分</t>
  </si>
  <si>
    <t>2．建築物の名称又は工事名</t>
  </si>
  <si>
    <t>1．建築物の地名地番</t>
  </si>
  <si>
    <t>記</t>
  </si>
  <si>
    <t>　また、建築基準法に基づく確認申請、計画通知、仮使用認定又は完了検査等を株式会社都市居住評価センターへ申請する場合、同社（指定確認検査機関）に建築物エネルギー消費性能適合判定通知書、軽微変更該当証明書及び判定を受けた図書等を提出し、確認検査業務において利用することにあらかじめ同意します。</t>
  </si>
  <si>
    <t>性能確保計画」に係る業務の手続きに関する一切の権限を委任します。</t>
  </si>
  <si>
    <t>を代理者と定め、下記の建築物について「建築物エネルギー消費</t>
  </si>
  <si>
    <t>　私は、</t>
  </si>
  <si>
    <t>株式会社都市居住評価センター　殿</t>
  </si>
  <si>
    <t>委 任 状  兼　同 意 書</t>
  </si>
  <si>
    <t>　また、建築基準法に基づく確認申請、計画通知、仮使用認定又は完了検査等を株式会社都市居住評価センターへ申請する場合、同社（指定確認検査機関）に建築物エネルギー消費性能適合性判定通知書等、軽微変更該当証明書等及び判定を受けた図書等を提出し、確認検査業務において利用することにあらかじめ同意します。</t>
  </si>
  <si>
    <t>印</t>
  </si>
  <si>
    <t>②法人にあっては、事務所の所在地、名称及び代表者氏名としてください。</t>
  </si>
  <si>
    <t>① 数字は算用数字を用いてください。</t>
  </si>
  <si>
    <t>係員印</t>
  </si>
  <si>
    <t>　　　 　　   年 　    月 　   　日</t>
  </si>
  <si>
    <t>(本欄には記入しないで下さい）</t>
  </si>
  <si>
    <t>【変更の期日及び理由】</t>
  </si>
  <si>
    <t>6.</t>
  </si>
  <si>
    <t>変 更 後</t>
  </si>
  <si>
    <t>変 更 前</t>
  </si>
  <si>
    <t>【変更内容】</t>
  </si>
  <si>
    <t>5.</t>
  </si>
  <si>
    <t>計画書第3面の地名地番、変更の場合は変更後をご記入ください</t>
  </si>
  <si>
    <t>【地名地番】</t>
  </si>
  <si>
    <t>【適合判定通知書交付者】</t>
  </si>
  <si>
    <t>【適合判定通知書交付年月日】</t>
  </si>
  <si>
    <r>
      <t>例：001-01-</t>
    </r>
    <r>
      <rPr>
        <sz val="12"/>
        <color rgb="FFFF0000"/>
        <rFont val="ＭＳ Ｐ明朝"/>
        <family val="1"/>
        <charset val="128"/>
      </rPr>
      <t>2025</t>
    </r>
    <r>
      <rPr>
        <sz val="12"/>
        <color theme="1"/>
        <rFont val="ＭＳ Ｐ明朝"/>
        <family val="1"/>
        <charset val="128"/>
      </rPr>
      <t>-</t>
    </r>
    <r>
      <rPr>
        <sz val="12"/>
        <color rgb="FFFF0000"/>
        <rFont val="ＭＳ Ｐ明朝"/>
        <family val="1"/>
        <charset val="128"/>
      </rPr>
      <t>1</t>
    </r>
    <r>
      <rPr>
        <sz val="12"/>
        <color theme="1"/>
        <rFont val="ＭＳ Ｐ明朝"/>
        <family val="1"/>
        <charset val="128"/>
      </rPr>
      <t>-</t>
    </r>
    <r>
      <rPr>
        <sz val="12"/>
        <color rgb="FFFF0000"/>
        <rFont val="ＭＳ Ｐ明朝"/>
        <family val="1"/>
        <charset val="128"/>
      </rPr>
      <t>3</t>
    </r>
    <r>
      <rPr>
        <sz val="12"/>
        <color theme="1"/>
        <rFont val="ＭＳ Ｐ明朝"/>
        <family val="1"/>
        <charset val="128"/>
      </rPr>
      <t>-</t>
    </r>
    <r>
      <rPr>
        <sz val="12"/>
        <color rgb="FFFF0000"/>
        <rFont val="ＭＳ Ｐ明朝"/>
        <family val="1"/>
        <charset val="128"/>
      </rPr>
      <t>00000</t>
    </r>
  </si>
  <si>
    <t>001</t>
  </si>
  <si>
    <t>【適合判定通知書番号欄】</t>
  </si>
  <si>
    <t>【建築物の直前の建築物エネルギー消費性能適合性判定】</t>
  </si>
  <si>
    <t>代理者住所</t>
  </si>
  <si>
    <t xml:space="preserve">  株式会社　都市居住評価センター　殿</t>
  </si>
  <si>
    <t>記載事項変更届</t>
  </si>
  <si>
    <t>３.　受付年月日</t>
  </si>
  <si>
    <t>４.　受付番号</t>
  </si>
  <si>
    <t>２.　建築物の所在地</t>
  </si>
  <si>
    <t>１.　建築物の名称</t>
  </si>
  <si>
    <t xml:space="preserve"> 下記の建築物について、建築物のエネルギー消費性能確保計画の提出を取下げたく届けます。</t>
  </si>
  <si>
    <t>提出者</t>
  </si>
  <si>
    <t>株式会社　都市居住評価センター　　殿　</t>
  </si>
  <si>
    <t>建築物のエネルギー消費性能確保計画の提出の取下げ届</t>
  </si>
  <si>
    <t>②※印のある欄は記入しないで下さい。</t>
  </si>
  <si>
    <t>①指摘事項、報告内容に別添がある場合は、その旨を本書に記載して添付して下さい。</t>
  </si>
  <si>
    <t>申　　　　　請　　　　　者</t>
  </si>
  <si>
    <t>令和　　　年　　　月　　　日</t>
  </si>
  <si>
    <t>申請者（代理人）</t>
  </si>
  <si>
    <t>株式会社　都市居住評価センター　殿</t>
  </si>
  <si>
    <t>令和　　    年　　月　　日</t>
  </si>
  <si>
    <t>Email</t>
  </si>
  <si>
    <t>ＴＥＬ
携帯番号</t>
  </si>
  <si>
    <t>所属/担当者名</t>
  </si>
  <si>
    <t>確認申請担当者</t>
  </si>
  <si>
    <r>
      <t>省エネ担当者</t>
    </r>
    <r>
      <rPr>
        <b/>
        <sz val="12"/>
        <color theme="1"/>
        <rFont val="ＭＳ 明朝"/>
        <family val="1"/>
        <charset val="128"/>
      </rPr>
      <t>（※計画書について弊社担当と打ち合わせする方の連絡先</t>
    </r>
    <r>
      <rPr>
        <b/>
        <sz val="10"/>
        <color theme="1"/>
        <rFont val="ＭＳ 明朝"/>
        <family val="1"/>
        <charset val="128"/>
      </rPr>
      <t>（質疑送付先）</t>
    </r>
    <r>
      <rPr>
        <b/>
        <sz val="12"/>
        <color theme="1"/>
        <rFont val="ＭＳ 明朝"/>
        <family val="1"/>
        <charset val="128"/>
      </rPr>
      <t>を記載下さい。）</t>
    </r>
  </si>
  <si>
    <t>TEL</t>
  </si>
  <si>
    <t>⑤</t>
  </si>
  <si>
    <t>④</t>
  </si>
  <si>
    <t>請求書の送付先（宛先と同じ場合は記載不要です）</t>
  </si>
  <si>
    <t>請求比率</t>
  </si>
  <si>
    <t>JV比率</t>
  </si>
  <si>
    <t>請求書の宛先</t>
  </si>
  <si>
    <t>号）】</t>
  </si>
  <si>
    <t>（第UHEC建確</t>
  </si>
  <si>
    <t>/</t>
  </si>
  <si>
    <t>【確認受付日　　　　　　　　　</t>
  </si>
  <si>
    <t>】</t>
  </si>
  <si>
    <t>】【確認済希望日</t>
  </si>
  <si>
    <t>　　/　　</t>
  </si>
  <si>
    <t>【通知等交付希望日　　</t>
  </si>
  <si>
    <t>物件名称</t>
  </si>
  <si>
    <t>省エネ判定　連絡メモ</t>
  </si>
  <si>
    <t>省エネ適判より</t>
  </si>
  <si>
    <t>**wsecoteki_owner1_JIMU_NAME</t>
  </si>
  <si>
    <t>**wsecoteki_owner1_JIMU_NAME_KANA</t>
  </si>
  <si>
    <t>**wsecoteki_owner1_POST</t>
  </si>
  <si>
    <t>**wsecoteki_owner1_POST_KANA</t>
  </si>
  <si>
    <t>**wsecoteki_owner1_NAME</t>
  </si>
  <si>
    <t>**wsecoteki_owner1_NAME_KANA</t>
  </si>
  <si>
    <t>**wsecoteki_owner1_ZIP</t>
  </si>
  <si>
    <t>**wsecoteki_owner1__address</t>
  </si>
  <si>
    <t>**wsecoteki_owner1_TEL</t>
  </si>
  <si>
    <t>会社名&lt;スペース&gt;役職&lt;スペース&gt;氏名-フリガナ</t>
  </si>
  <si>
    <t>**wsecoteki_owner2_JIMU_NAME</t>
  </si>
  <si>
    <t>**wsecoteki_owner2_JIMU_NAME_KANA</t>
  </si>
  <si>
    <t>**wsecoteki_owner2_POST</t>
  </si>
  <si>
    <t>**wsecoteki_owner2_POST_KANA</t>
  </si>
  <si>
    <t>**wsecoteki_owner2_NAME</t>
  </si>
  <si>
    <t>**wsecoteki_owner2_NAME_KANA</t>
  </si>
  <si>
    <t>**wsecoteki_owner2_ZIP</t>
  </si>
  <si>
    <t>**wsecoteki_owner2__address</t>
  </si>
  <si>
    <t>**wsecoteki_owner2_TEL</t>
  </si>
  <si>
    <t>**wsecoteki_dairi1__sikaku</t>
  </si>
  <si>
    <t>**wsecoteki_dairi1_SIKAKU__label</t>
  </si>
  <si>
    <t>**wsecoteki_dairi1_TOUROKU_KIKAN__label</t>
  </si>
  <si>
    <t>**wsecoteki_dairi1_KENTIKUSI_NO</t>
  </si>
  <si>
    <t>**wsecoteki_dairi1_NAME</t>
  </si>
  <si>
    <t>**wsecoteki_dairi1_NAME_KANA</t>
  </si>
  <si>
    <t>**wsecoteki_dairi1_POST</t>
  </si>
  <si>
    <t>役職ヤクショク</t>
  </si>
  <si>
    <t>**wsecoteki_dairi1_POST_KANA</t>
  </si>
  <si>
    <t>**wsecoteki_dairi1_JIMU__sikaku</t>
  </si>
  <si>
    <t>**wsecoteki_dairi1_JIMU_SIKAKU__label</t>
  </si>
  <si>
    <t>**wsecoteki_dairi1_JIMU_TOUROKU_KIKAN__label</t>
  </si>
  <si>
    <t>**wsecoteki_dairi1_JIMU_NO</t>
  </si>
  <si>
    <t>**wsecoteki_dairi1_JIMU_NAME</t>
  </si>
  <si>
    <t>事務所名フリガナ</t>
  </si>
  <si>
    <t>**wsecoteki_dairi1_JIMU_NAME_KANA</t>
  </si>
  <si>
    <t>**wsecoteki_dairi1_ZIP</t>
  </si>
  <si>
    <t>**wsecoteki_dairi1__address</t>
  </si>
  <si>
    <t>**wsecoteki_dairi1_TEL</t>
  </si>
  <si>
    <t>**wsecoteki_dairi1_FAX</t>
  </si>
  <si>
    <t>cst_wsecoteki_owner1_JIMU_NAME</t>
  </si>
  <si>
    <t>cst_wsecoteki_owner1_JIMU_NAME_KANA</t>
  </si>
  <si>
    <t>cst_wsecoteki_owner1_POST</t>
  </si>
  <si>
    <t>cst_wsecoteki_owner1_POST_KANA</t>
  </si>
  <si>
    <t>cst_wsecoteki_owner1_NAME</t>
  </si>
  <si>
    <t>cst_wsecoteki_owner1_NAME_KANA</t>
  </si>
  <si>
    <t>cst_wsecoteki_owner1_ZIP</t>
  </si>
  <si>
    <t>cst_wsecoteki_owner1__address</t>
  </si>
  <si>
    <t>cst_wsecoteki_owner1_TEL</t>
  </si>
  <si>
    <t>cst_wsecoteki_owner1__space</t>
  </si>
  <si>
    <t>cst_wsecoteki_owner1__space_kana</t>
  </si>
  <si>
    <t>cst_wsecoteki_owner2_JIMU_NAME</t>
  </si>
  <si>
    <t>cst_wsecoteki_owner2_JIMU_NAME_KANA</t>
  </si>
  <si>
    <t>cst_wsecoteki_owner2_POST</t>
  </si>
  <si>
    <t>cst_wsecoteki_owner2_POST_KANA</t>
  </si>
  <si>
    <t>cst_wsecoteki_owner2_NAME</t>
  </si>
  <si>
    <t>cst_wsecoteki_owner2_NAME_KANA</t>
  </si>
  <si>
    <t>cst_wsecoteki_owner2_ZIP</t>
  </si>
  <si>
    <t>cst_wsecoteki_owner2__address</t>
  </si>
  <si>
    <t>cst_wsecoteki_owner2_TEL</t>
  </si>
  <si>
    <t>cst_wsecoteki_dairi1__sikaku</t>
  </si>
  <si>
    <t>cst_wsecoteki_dairi1_SIKAKU__label</t>
  </si>
  <si>
    <t>cst_wsecoteki_dairi1_TOUROKU_KIKAN__label</t>
  </si>
  <si>
    <t>cst_wsecoteki_dairi1_KENTIKUSI_NO</t>
  </si>
  <si>
    <t>cst_wsecoteki_dairi1_NAME</t>
  </si>
  <si>
    <t>cst_wsecoteki_dairi1_NAME_KANA</t>
  </si>
  <si>
    <t>cst_wsecoteki_dairi1_POST</t>
  </si>
  <si>
    <t>cst_wsecoteki_dairi1_POST_KANA</t>
  </si>
  <si>
    <t>cst_wsecoteki_dairi1_JIMU__sikaku</t>
  </si>
  <si>
    <t>cst_wsecoteki_dairi1_JIMU_SIKAKU__label</t>
  </si>
  <si>
    <t>cst_wsecoteki_dairi1_JIMU_TOUROKU_KIKAN__label</t>
  </si>
  <si>
    <t>cst_wsecoteki_dairi1_JIMU_NO</t>
  </si>
  <si>
    <t>cst_wsecoteki_dairi1_JIMU_NAME</t>
  </si>
  <si>
    <t>cst_wsecoteki_dairi1_JIMU_NAME_KANA</t>
  </si>
  <si>
    <t>cst_wsecoteki_dairi1_ZIP</t>
  </si>
  <si>
    <t>cst_wsecoteki_dairi1__address</t>
  </si>
  <si>
    <t>cst_wsecoteki_dairi1_TEL</t>
  </si>
  <si>
    <t>cst_wsecoteki_dairi1_FAX</t>
  </si>
  <si>
    <t>建築物の名称</t>
  </si>
  <si>
    <t>**wsecoteki_BUILD_NAME</t>
  </si>
  <si>
    <t>**wsecoteki_BUILD__address</t>
  </si>
  <si>
    <t>**wsecoteki_BUILD_KEN__ken</t>
  </si>
  <si>
    <t>**wsecoteki_BUILD_ADDRESS</t>
  </si>
  <si>
    <t>cst_wsecoteki_BUILD__address</t>
  </si>
  <si>
    <t>cst_wsecoteki_BUILD_KEN__ken</t>
  </si>
  <si>
    <t>cst_wsecoteki_BUILD_ADDRESS</t>
  </si>
  <si>
    <t>cst_wsecoteki_BUILD_NAME</t>
  </si>
  <si>
    <t>wsecoteki_APPLICANT_NAME</t>
  </si>
  <si>
    <t>cst_wsecoteki_APPLICANT_NAME</t>
  </si>
  <si>
    <t>※条件</t>
  </si>
  <si>
    <t>第UHEC　   認　　　　　　号　</t>
  </si>
  <si>
    <t>第UHEC　   認　　　　　　　号　</t>
  </si>
  <si>
    <t>※特記</t>
  </si>
  <si>
    <t>※認定番号</t>
  </si>
  <si>
    <t>※決裁欄</t>
  </si>
  <si>
    <t>※認定欄</t>
  </si>
  <si>
    <t>電話/FAX番号</t>
  </si>
  <si>
    <t>円</t>
  </si>
  <si>
    <t>金額</t>
  </si>
  <si>
    <t>受領</t>
  </si>
  <si>
    <t>※手数料欄</t>
  </si>
  <si>
    <t>手数料請求先</t>
  </si>
  <si>
    <t>□工作物（昇降機）</t>
  </si>
  <si>
    <t>【仮使用の認定を申請する建築物等】</t>
  </si>
  <si>
    <t>申請者氏名</t>
  </si>
  <si>
    <t>　株式会社　都市居住評価センター　　　　御中</t>
  </si>
  <si>
    <t>準用する場合を含む。）の規定による仮使用の認定を申請します。</t>
  </si>
  <si>
    <t>　建築基準法第７条の６第１項第２号（同法第８７条の４又は第８８条第１項若しくは第２項において</t>
  </si>
  <si>
    <t>仮使用認定申請書</t>
  </si>
  <si>
    <t>第三十四号様式（第四条の十六関係）（A4）</t>
  </si>
  <si>
    <t>（第一面）別紙「申請者」</t>
  </si>
  <si>
    <t>申請者が1社（1名）のときは、この別紙は不要です。このワークシートを削除して下さい。</t>
  </si>
  <si>
    <t>（第一面）別紙「手数料請求先」</t>
  </si>
  <si>
    <t>手数料請求先が1社（1名）のときは、当別紙は不要です。当ワークシートを削除して下さい。</t>
  </si>
  <si>
    <t>【10.備考】</t>
  </si>
  <si>
    <t>【9.申請の理由】</t>
  </si>
  <si>
    <t>まで</t>
  </si>
  <si>
    <t>から</t>
  </si>
  <si>
    <t>【8.仮使用期間】</t>
  </si>
  <si>
    <t>【6.仮使用の用途】</t>
  </si>
  <si>
    <t>【ﾊ.名称】</t>
  </si>
  <si>
    <t>【ﾛ.名称のﾌﾘｶﾞﾅ】</t>
  </si>
  <si>
    <t>【ｲ.所在地】</t>
  </si>
  <si>
    <t>【5.設置する建築物又は工作物】</t>
  </si>
  <si>
    <t>【ﾛ.住居表示】</t>
  </si>
  <si>
    <t>【ｲ.地名地番】</t>
  </si>
  <si>
    <t>【4.敷地の位置】</t>
  </si>
  <si>
    <t>【ﾊ.確認済証交付者】</t>
  </si>
  <si>
    <t>【ﾛ.確認済証交付年月日】</t>
  </si>
  <si>
    <t>【ｲ.確認済証番号】</t>
  </si>
  <si>
    <t>【3.建築確認】</t>
  </si>
  <si>
    <t>【ﾍ.電話番号】</t>
  </si>
  <si>
    <t>【ﾎ.所在地】</t>
  </si>
  <si>
    <t>【ﾆ.郵便番号】</t>
  </si>
  <si>
    <t>知事登録第</t>
  </si>
  <si>
    <t>建築士事務所</t>
  </si>
  <si>
    <t>【ﾊ.建築士事務所名】</t>
  </si>
  <si>
    <t>【ﾛ.氏名】</t>
  </si>
  <si>
    <t>登録第</t>
  </si>
  <si>
    <t>建築士</t>
  </si>
  <si>
    <t>【ｲ.資格】</t>
  </si>
  <si>
    <t xml:space="preserve"> 【2.代理者】</t>
  </si>
  <si>
    <t>【ﾆ.住所】</t>
  </si>
  <si>
    <t>【ｲ.氏名のﾌﾘｶﾞﾅ】</t>
  </si>
  <si>
    <t>【1.建築主、設置者又は築造主】</t>
  </si>
  <si>
    <t>【1.建築主設置者又は築造主】</t>
  </si>
  <si>
    <t>建築主、設置者又は築造主等の概要</t>
  </si>
  <si>
    <t>（第二面）別紙【建築主等】</t>
  </si>
  <si>
    <t>建築主等が1社（1名）のときは、この別紙は不要です。このワークシートを削除して下さい。</t>
  </si>
  <si>
    <t>　６欄及び９欄は、できるだけ具体的に書いてください。</t>
  </si>
  <si>
    <t>⑦</t>
  </si>
  <si>
    <t>　住居表示が定まつているときは、４欄の「ロ」に記入してください。</t>
  </si>
  <si>
    <t xml:space="preserve">⑥
</t>
  </si>
  <si>
    <t>　４欄は建築物又は工作物（昇降機を除く。）について、５欄は昇降機又は建築設備について仮使用の認定を受けようとする場合に記入してください。</t>
  </si>
  <si>
    <t xml:space="preserve">⑤
</t>
  </si>
  <si>
    <t>　３欄は、計画変更の確認を受けている場合は直前の計画変更の確認について記載してください。</t>
  </si>
  <si>
    <t xml:space="preserve">④
</t>
  </si>
  <si>
    <t xml:space="preserve">　２欄は、代理者が建築士事務所に属しているときは、その名称を書き、建築士事務所に属していないときは、所在地は代理者の住所を書いてください。
</t>
  </si>
  <si>
    <t xml:space="preserve">③
</t>
  </si>
  <si>
    <t>　建築主、設置者又は築造主からの委任を受けて申請を行う者がいる場合においては、２欄に記入してください。</t>
  </si>
  <si>
    <t xml:space="preserve">②
</t>
  </si>
  <si>
    <t>　建築主、設置者又は築造主が２以上のときは、１欄は代表となる建築主、設置者又は築造主について記入し、別紙に他の建築主、設置者又は築造主についてそれぞれ必要な事項を記入して添えてください。</t>
  </si>
  <si>
    <t xml:space="preserve">①
</t>
  </si>
  <si>
    <t>２．第二面関係</t>
  </si>
  <si>
    <t>　※印のある欄は記入しないでください。</t>
  </si>
  <si>
    <t xml:space="preserve">②
</t>
  </si>
  <si>
    <t>　「仮使用の認定を申請する建築物等」の欄は、該当するチェックボックスに「レ」マークを入れてください。建築基準法第８８条第１項に規定する工作物のうち同法施行令第１３８条第２項第１号に掲げるものにあつては、「工作物（昇降機）」のチェックボックスに「レ」マークを入れてください。</t>
  </si>
  <si>
    <t>１．第一面関係</t>
  </si>
  <si>
    <t>第四十二号の二十一様式（第八条の二の二関係）（Ａ４）</t>
  </si>
  <si>
    <t>　建築基準法第18条第38項第２号（同法第87条の４又は第88条第１項若しくは第２項において準用する場合を含む。）の規定による仮使用の認定を申請します。</t>
  </si>
  <si>
    <t>申請者官職</t>
  </si>
  <si>
    <t>第二面として別記様式第三十四号様式の第二面に記載すべき事項を記載した書類を添えてください。</t>
  </si>
  <si>
    <t xml:space="preserve">別記様式第三十四号様式の（注意）に準じて記入してください。 </t>
  </si>
  <si>
    <t>工作物（法第88条第2項）</t>
  </si>
  <si>
    <t>仮使用認定</t>
  </si>
  <si>
    <t>工作物（法第88条第1項）</t>
  </si>
  <si>
    <t>工事完了通知</t>
  </si>
  <si>
    <t>建築設備（昇降機以外）</t>
  </si>
  <si>
    <t>特定工程工事終了通知</t>
  </si>
  <si>
    <t>建築設備（昇降機）</t>
  </si>
  <si>
    <t>計画変更通知</t>
  </si>
  <si>
    <t>計画変更確認</t>
  </si>
  <si>
    <t>計画通知</t>
  </si>
  <si>
    <t>確認</t>
  </si>
  <si>
    <t>3-2．委任する建築物等</t>
  </si>
  <si>
    <t>3．委任する業務の区分</t>
  </si>
  <si>
    <t>1．建築場所、設置場所又は築造場所の地名地番</t>
  </si>
  <si>
    <t>権限を委任します。</t>
  </si>
  <si>
    <t>を代理者と定め、下記の申請業務に関する一切の</t>
  </si>
  <si>
    <t>建築主、設置者又は築造主</t>
  </si>
  <si>
    <t>委 　任 　状</t>
  </si>
  <si>
    <t>KK-A29</t>
  </si>
  <si>
    <t>【注意】　代理者が当届の事務を代行するときは、委任状を添付して下さい。</t>
  </si>
  <si>
    <t>④ 建築主等欄は、建築物にあっては建築主、建築設備にあっては設置者、工作物にあっては築造主を記載してください。</t>
  </si>
  <si>
    <t>③ 建築主等又は代理者欄は、法人にあっては、事務所の所在地、名称及び代表者氏名としてください。</t>
  </si>
  <si>
    <t>② 数字は算用数字を用いてください。</t>
  </si>
  <si>
    <t>① ※印のある欄は記入しないでください。</t>
  </si>
  <si>
    <t>第UHEC 　　　　     　   号</t>
  </si>
  <si>
    <t>令和 　   年     月    　日</t>
  </si>
  <si>
    <t>※整理欄</t>
  </si>
  <si>
    <t>【電話番号】</t>
  </si>
  <si>
    <t>【氏名】</t>
  </si>
  <si>
    <t>【氏名のフリガナ】</t>
  </si>
  <si>
    <t>〒</t>
  </si>
  <si>
    <t>【郵便番号 所在地】</t>
  </si>
  <si>
    <t>建築主等</t>
  </si>
  <si>
    <t>【変更後】</t>
  </si>
  <si>
    <t>【変更前】</t>
  </si>
  <si>
    <t>【建築主等の変更】</t>
  </si>
  <si>
    <t>【建築場所、設置場所又は築造場所】</t>
  </si>
  <si>
    <t>【確認済証交付者】</t>
  </si>
  <si>
    <t>【確認済証交付年月日】</t>
  </si>
  <si>
    <t>【確認済証番号】</t>
  </si>
  <si>
    <t>【建築物、建築設備又は工作物の直前の確認又は審査】</t>
  </si>
  <si>
    <t>上記代理者住所</t>
  </si>
  <si>
    <t>建築主等住所</t>
  </si>
  <si>
    <t>　下記のとおり建築主等を変更したので、届け出ます。</t>
  </si>
  <si>
    <t>建築主等変更届</t>
  </si>
  <si>
    <t>第1号様式</t>
  </si>
  <si>
    <t>　別紙「建築主等変更届」のとおり変更したので、届け出ます。</t>
  </si>
  <si>
    <t>第1号様式（別紙）</t>
  </si>
  <si>
    <t>（別紙）</t>
  </si>
  <si>
    <t>知事登録</t>
  </si>
  <si>
    <t>登録</t>
  </si>
  <si>
    <t>【代理者】</t>
  </si>
  <si>
    <t>変更後</t>
  </si>
  <si>
    <t>変更前</t>
  </si>
  <si>
    <t>④ 建築主等欄は、建築物にあっては建築主、建築設備にあっては設置者、工作物にあっては築造主を記載して下さい。</t>
  </si>
  <si>
    <t>第UHEC　　　　　         号</t>
  </si>
  <si>
    <t>第UHEC 　　　　 　     　号</t>
  </si>
  <si>
    <t>【工事と照合する設計図書】</t>
  </si>
  <si>
    <t>【郵便番号　所在地】</t>
  </si>
  <si>
    <t>知事登録　第</t>
  </si>
  <si>
    <t>【建築士事務所名】</t>
  </si>
  <si>
    <t>登録　第</t>
  </si>
  <si>
    <t>【資格】</t>
  </si>
  <si>
    <t>【変更後工事監理者】</t>
  </si>
  <si>
    <t>【変更前工事監理者】</t>
  </si>
  <si>
    <t>　下記のとおり工事監理者を選任（変更）したので、届け出ます。</t>
  </si>
  <si>
    <t>工事監理者（変更）届</t>
  </si>
  <si>
    <t>第2号様式</t>
  </si>
  <si>
    <t>第2号様式  別紙</t>
  </si>
  <si>
    <t>第UHEC　　　　     　    号</t>
  </si>
  <si>
    <t>第　 　　　　　     　   号</t>
  </si>
  <si>
    <t>【営業所名】</t>
  </si>
  <si>
    <t>【建設業の許可】</t>
  </si>
  <si>
    <t>【変更後工事施工者】</t>
  </si>
  <si>
    <t>【変更前工事施工者】</t>
  </si>
  <si>
    <t xml:space="preserve">  株式会社　都市居住評価センター　　　　御中</t>
  </si>
  <si>
    <t>　下記のとおり工事施工者を選任（変更）したので、届けます。</t>
  </si>
  <si>
    <t>工事施工者（変更）届</t>
  </si>
  <si>
    <t>第3号様式</t>
  </si>
  <si>
    <t>第UHEC　　　　　　　　　号</t>
  </si>
  <si>
    <t>令和 　　年 　　月 　　日</t>
  </si>
  <si>
    <t>※決済欄</t>
  </si>
  <si>
    <t>４．取下げの理由</t>
  </si>
  <si>
    <t>(2) 建築場所、設置場所又は築造場所の地名地番</t>
  </si>
  <si>
    <t>(1) 建築物等の区分</t>
  </si>
  <si>
    <t>３．申請又は通知業務の対象</t>
  </si>
  <si>
    <t>建築基準法第18条第38項第２号の規定による仮使用認定</t>
  </si>
  <si>
    <t>建築基準法第18条第23項の規定による工事完了通知</t>
  </si>
  <si>
    <t>建築基準法第18条第32項の規定による特定工程工事終了通知</t>
  </si>
  <si>
    <t>建築基準法第18条第４項の規定による計画変更通知</t>
  </si>
  <si>
    <t>建築基準法第18条第４項の規定による計画通知</t>
  </si>
  <si>
    <t>建築基準法第７条の６第１項第２号の規定による仮使用認定</t>
  </si>
  <si>
    <t>建築基準法第７条の２第１項の規定による完了検査</t>
  </si>
  <si>
    <t>建築基準法第７条の４第１項の規定による中間検査</t>
  </si>
  <si>
    <t>建築基準法第６条の２第１項の規定による計画の変更の確認</t>
  </si>
  <si>
    <t>建築基準法第６条の２第１項の規定による確認</t>
  </si>
  <si>
    <t>２．申請又は通知業務</t>
  </si>
  <si>
    <t>１．引受年月日及び番号</t>
  </si>
  <si>
    <t>　下記の申請は、都合により取り下げたいので、株式会社都市居住評価センター確認検査業務規程第23条第1項、第25条、第31条第1項、第37条第1項、第45条第1項の規定により、届け出ます。</t>
  </si>
  <si>
    <t>上記代理者　　　住所</t>
  </si>
  <si>
    <t>建築主、設置者又は築造主　住所</t>
  </si>
  <si>
    <t>申請取下げ届</t>
  </si>
  <si>
    <t>別記様式（KK-A13）</t>
  </si>
  <si>
    <t>⑥ 建築計画概要書の記載内容変更(訂正)については、変更(訂正)事項を含む該当ページの建築計画概要書も提出してください。</t>
  </si>
  <si>
    <t>⑤ 変更した期日がわかる場合は【変更又は訂正の理由】欄に記載してください。</t>
  </si>
  <si>
    <t>第UHEC　 　　　　　     　   号</t>
  </si>
  <si>
    <t>令和 　　   年 　    月 　   　日</t>
  </si>
  <si>
    <t>【変更又は訂正の理由】</t>
  </si>
  <si>
    <t>変更又は訂正内容</t>
  </si>
  <si>
    <t>【変更又は訂正内容】</t>
  </si>
  <si>
    <t>　下記のとおり記載を変更(訂正)したので、届け出ます。</t>
  </si>
  <si>
    <t>第4号様式</t>
  </si>
  <si>
    <t>【作成又は確認した設計図書】</t>
  </si>
  <si>
    <t>（その他の設計者）</t>
  </si>
  <si>
    <t>（代表となる設計者）</t>
  </si>
  <si>
    <t>【変更後設計者】</t>
  </si>
  <si>
    <t>【変更前設計者】</t>
  </si>
  <si>
    <t>第4号様式  別紙</t>
  </si>
  <si>
    <t>/　/</t>
  </si>
  <si>
    <t>設備</t>
  </si>
  <si>
    <t>意匠</t>
  </si>
  <si>
    <t>上記の軽微な変更とは、建築基準法施行規則第3条の2に掲げるものに限ります。軽微な変更に該当しない場合は、別途計画変更確認申請が必要になります。</t>
  </si>
  <si>
    <t>建築基準法第７条の２の規定による完了検査又は同法18条第23項の規定による完了通知の前に軽微な変更があった場合は、完了検査申請書又は工事完了通知書に添えて提出してください。</t>
  </si>
  <si>
    <t>建築基準法第７条の４の規定による中間検査又は同法第18条第32項の規定による特定工程工事終了通知の前に軽微な変更があった場合は、中間検査申請書又は特定工程工事終了通知書に添えて提出してください。</t>
  </si>
  <si>
    <t>（注意）項目ごとに記入してください。図面添付の場合は、変更前と変更後をｾｯﾄとして添付してください。</t>
  </si>
  <si>
    <t>軽微な変更の概要</t>
  </si>
  <si>
    <t>規則第3条の2の
適用する号等</t>
  </si>
  <si>
    <t>□完了検査</t>
  </si>
  <si>
    <t>□中間検査</t>
  </si>
  <si>
    <t>検査対象　（いずれかに■）</t>
  </si>
  <si>
    <t>確認済証交付年月日及び番号</t>
  </si>
  <si>
    <t>により、同法施行規則第3条の2に規定する軽微な変更があったので説明書を提出します。</t>
  </si>
  <si>
    <t>　建築基準法第18条の3第1項の規定に基づく指針第三第2項第三号又は同指針第四第2項第三号</t>
  </si>
  <si>
    <t>申請者（建築主等）氏名</t>
  </si>
  <si>
    <t>軽微な変更説明書</t>
  </si>
  <si>
    <t>別記様式（KK-A15-2)</t>
  </si>
  <si>
    <t>【注意】　建築主等が1のときは、当別紙は不要です。当ワークシートを削除して下さい。</t>
  </si>
  <si>
    <t>株式会社　都市居住評価センター</t>
  </si>
  <si>
    <t>代表取締役社長　野崎　豊</t>
  </si>
  <si>
    <t>追加説明書_確認</t>
  </si>
  <si>
    <t>追加説明書_完了</t>
  </si>
  <si>
    <t>仮使用認定申請書_計画通知</t>
  </si>
  <si>
    <t>建築主変更届</t>
  </si>
  <si>
    <t>工事監理者変更届</t>
  </si>
  <si>
    <t>工事施工者変更届</t>
  </si>
  <si>
    <t>委任状</t>
  </si>
  <si>
    <t>省エネ委任状</t>
  </si>
  <si>
    <t>省エネ_記載事項変更届</t>
  </si>
  <si>
    <t>省エネ_取下げ届</t>
  </si>
  <si>
    <t>省エネ_追加説明書</t>
  </si>
  <si>
    <t>仮使用_第一面</t>
  </si>
  <si>
    <t>仮使用_計画通知_第一面</t>
  </si>
  <si>
    <t>仮使用_第二面</t>
  </si>
  <si>
    <t>仮使用_注意</t>
  </si>
  <si>
    <t>仮使用_第一面_別紙_申請者</t>
  </si>
  <si>
    <t>仮使用_第一面_別紙_手数料請求先</t>
  </si>
  <si>
    <t>仮使用_第二面_別紙_建築主等</t>
  </si>
  <si>
    <t>申請取下届</t>
  </si>
  <si>
    <t>申請者別紙</t>
  </si>
  <si>
    <t>建築主用変更届_補足用</t>
  </si>
  <si>
    <t>代理者に変更があるときの別紙</t>
  </si>
  <si>
    <t>工事監理者変更届_補足用</t>
  </si>
  <si>
    <t>設計者が複数の場合の別紙</t>
  </si>
  <si>
    <t>別紙_建築主設置者又は築造主</t>
  </si>
  <si>
    <t>省エネ適判_委任状_押印あり</t>
  </si>
  <si>
    <t>省エネ適判_委任状_押印なし</t>
  </si>
  <si>
    <t>省エネ適判_記載事項変更届</t>
  </si>
  <si>
    <t>省エネ適判_取下げ届</t>
  </si>
  <si>
    <t>省エネ適判_追加説明書</t>
  </si>
  <si>
    <t>連絡メモ</t>
  </si>
  <si>
    <t>委任状_建築主押印あり</t>
  </si>
  <si>
    <t>委任状_建築主押印なし</t>
  </si>
  <si>
    <t>確認申請又は計画通知
年月日番号（受付番号）</t>
  </si>
  <si>
    <t>⑤ 建築主等変更届は、変更前の欄に記載された建築主の氏名（建築主様が法人の場合はその法人名）が、変更後に残らない</t>
  </si>
  <si>
    <t xml:space="preserve">   場合は、変更前の欄に記載された建築主の委任状の提出が必要になります。</t>
  </si>
  <si>
    <t>文字切れ修正、申請する区別のチェックボックスリンク先修正</t>
  </si>
  <si>
    <t>受付連絡票</t>
  </si>
  <si>
    <t>確認申請書</t>
  </si>
  <si>
    <t>建築計画概要書</t>
  </si>
  <si>
    <t>物件名</t>
  </si>
  <si>
    <t>:</t>
  </si>
  <si>
    <t>【請求書】</t>
  </si>
  <si>
    <t>請求書の宛名・ご送付先をご記入ください。</t>
  </si>
  <si>
    <t>・ご請求先</t>
  </si>
  <si>
    <t>（例　：　「○○株式会社」、もしくは「○○株式会社○○支店」等　）</t>
  </si>
  <si>
    <t>送付先</t>
  </si>
  <si>
    <t>部署名</t>
  </si>
  <si>
    <t>担当者氏名</t>
  </si>
  <si>
    <t>E-mail</t>
  </si>
  <si>
    <t>※請求比率</t>
  </si>
  <si>
    <t>・ご請求先2　※ご請求先が複数になる(手数料を按分する)場合はご記入ください。</t>
  </si>
  <si>
    <t>・ご請求先3　※ご請求先が複数になる(手数料を按分する)場合はご記入ください。</t>
  </si>
  <si>
    <t>【引受承諾書・引受証】</t>
  </si>
  <si>
    <t>引受承諾書は契約書に代わる書類となります。</t>
  </si>
  <si>
    <t>請求書のご送付先と同じ場合は記入不要です。</t>
  </si>
  <si>
    <t>電子申請</t>
  </si>
  <si>
    <t>紙面交付　 ※記載されている送付先に郵送いたします。</t>
  </si>
  <si>
    <t>確認済証の交付に関する連絡について</t>
  </si>
  <si>
    <t>確認済証に関する連絡先をご記入いただくか、名刺を添付してください。</t>
  </si>
  <si>
    <t>確認済証交付後、記載されている(添付いただいた名刺の)連絡先にTELまたはE-mailにてご連絡いたします。</t>
  </si>
  <si>
    <t>※電子申請の際は、電子申請システムのチャットエリア画面にて交付のご連絡をいたします。</t>
  </si>
  <si>
    <t>　(当社では電子交付は行っておりません。)</t>
  </si>
  <si>
    <t>【連絡先】</t>
  </si>
  <si>
    <t>※中間・完了検査・仮使用認定申請書をご提出の際は、こちらの検査受付連絡票もあわせてご提出ください。</t>
  </si>
  <si>
    <t>検査受付連絡票</t>
  </si>
  <si>
    <t xml:space="preserve">  完了検査</t>
  </si>
  <si>
    <r>
      <t xml:space="preserve">  </t>
    </r>
    <r>
      <rPr>
        <b/>
        <sz val="12"/>
        <color theme="1"/>
        <rFont val="HG丸ｺﾞｼｯｸM-PRO"/>
        <family val="3"/>
        <charset val="128"/>
      </rPr>
      <t>仮使用認定</t>
    </r>
  </si>
  <si>
    <t>建確</t>
  </si>
  <si>
    <t>記入者：</t>
  </si>
  <si>
    <t>　※【受取者連絡先】には適合判定通知書の本証及び判定申請図書の副本をお受取り</t>
  </si>
  <si>
    <t>　 又は送付をご希望される方の連絡先をご記入願います。</t>
  </si>
  <si>
    <t>●検査当日の集合場所（案内図に記載されている場合は記入不要です。）</t>
  </si>
  <si>
    <t>現場</t>
  </si>
  <si>
    <t>現場事務所</t>
  </si>
  <si>
    <t>その他（　　　　　　　　　　　）</t>
  </si>
  <si>
    <t>　　　　　　　　　　　　　　　　　　　　　　　　　　　　　　　　　　　　　)</t>
  </si>
  <si>
    <t>(メモ：</t>
  </si>
  <si>
    <t>●検査当日の緊急連絡先（案内図に記載されている場合は記入不要です。）</t>
  </si>
  <si>
    <t>現場事務所電話番号：</t>
  </si>
  <si>
    <t>所属・お名前：</t>
  </si>
  <si>
    <t>電話番号：</t>
  </si>
  <si>
    <r>
      <t>●完了検査の場合、建物名称の変更の有無</t>
    </r>
    <r>
      <rPr>
        <b/>
        <sz val="10"/>
        <color theme="1"/>
        <rFont val="HG丸ｺﾞｼｯｸM-PRO"/>
        <family val="3"/>
        <charset val="128"/>
      </rPr>
      <t>（検査済証に記載する建物名称）</t>
    </r>
  </si>
  <si>
    <t>変更なし</t>
  </si>
  <si>
    <t>変更あり</t>
  </si>
  <si>
    <t>（竣工名：</t>
  </si>
  <si>
    <t>中間検査合格証・検査済証・仮使用認定通知書の交付に関して</t>
  </si>
  <si>
    <t>【中間検査】</t>
  </si>
  <si>
    <t>中間検査合格証の受領方法をご記入ください</t>
  </si>
  <si>
    <t>来社にて受領</t>
  </si>
  <si>
    <t>申請書第二面代理者に送付</t>
  </si>
  <si>
    <t>その他（下記連絡先(送付先)をご記入いただくか、別紙添付(名刺･メモ等)でお知らせください。）</t>
  </si>
  <si>
    <t>【完了検査・仮使用認定】</t>
  </si>
  <si>
    <t>検査済証・仮使用認定通知書に関する連絡先をご記入いただくか、連絡先の方の名刺を添付してください。</t>
  </si>
  <si>
    <t>検査済証・仮使用認定通知書を交付後、記載されている(添付いただいた名刺の)連絡先にTELまたはE-mailにて</t>
  </si>
  <si>
    <t>ご連絡いたします。</t>
  </si>
  <si>
    <t>(当社では電子交付は行っておりません。)</t>
  </si>
  <si>
    <t>【連絡先(送付先)】</t>
  </si>
  <si>
    <t>第二号様式（第一条の三、第三条、第三条の三関係）（Ａ4）</t>
  </si>
  <si>
    <t>確認申請書（建築物）</t>
  </si>
  <si>
    <t>　建築基準法第6条第1項又は第6条の2第1項の規定による確認を申請します。この申請書及び添付図書に記載の事項は、事実に相違ありません。</t>
  </si>
  <si>
    <t>設計者氏名</t>
  </si>
  <si>
    <t>※消防関係同意欄</t>
  </si>
  <si>
    <t>※確認番号欄</t>
  </si>
  <si>
    <t>第四号様式（第一条の三、第三条、第三条の三関係）（Ａ4）</t>
  </si>
  <si>
    <t>計画変更確認申請書（建築物）</t>
  </si>
  <si>
    <t>　建築基準法第6条第1項又は第6条の2第1項の規定による計画の変更の確認を申請します。この申請書及び添付図書に記載の事項は、事実に相違ありません。</t>
  </si>
  <si>
    <t>【計画を変更する建築物の直前の確認】</t>
  </si>
  <si>
    <t>【確認済証番号】　　　　</t>
  </si>
  <si>
    <t>【確認済証交付年月日】　</t>
  </si>
  <si>
    <t>【計画変更の概要】</t>
  </si>
  <si>
    <t>　①　数字は算用数字を用いてください。</t>
  </si>
  <si>
    <t>　②　※印のある欄は記入しないでください。</t>
  </si>
  <si>
    <t>建築主等の概要</t>
  </si>
  <si>
    <t>【1.建築主】</t>
  </si>
  <si>
    <t>【2.代理者】</t>
  </si>
  <si>
    <t>(</t>
  </si>
  <si>
    <t>)建築士　　　(</t>
  </si>
  <si>
    <t>)登録第</t>
  </si>
  <si>
    <t>)建築士事務所(</t>
  </si>
  <si>
    <t>)知事登録第</t>
  </si>
  <si>
    <t>【3.設計者】</t>
  </si>
  <si>
    <t>【ﾄ.作成又は確認した設計図書】</t>
  </si>
  <si>
    <t>上記設計者のうち、</t>
  </si>
  <si>
    <t>【ﾛ.資格】構造設計一級建築士交付第</t>
  </si>
  <si>
    <t>【ﾛ.資格】設備設計一級建築士交付第</t>
  </si>
  <si>
    <t>（その他の建築設備の設計に関し意見を聴いた者）</t>
  </si>
  <si>
    <t>【5.工事監理者】</t>
  </si>
  <si>
    <t>【ﾄ.工事と照合する設計図書】</t>
  </si>
  <si>
    <t>【6.工事施工者】</t>
  </si>
  <si>
    <t>【ﾛ.営業所名】</t>
  </si>
  <si>
    <t>建設業の許可　(</t>
  </si>
  <si>
    <t>)</t>
  </si>
  <si>
    <t>【ﾆ.所在地】　</t>
  </si>
  <si>
    <t>【7.構造計算適合性判定の申請】</t>
  </si>
  <si>
    <t>申請済</t>
  </si>
  <si>
    <t>未申請</t>
  </si>
  <si>
    <t>申請不要</t>
  </si>
  <si>
    <t>【8.建築物エネルギー消費性能確保計画の提出】</t>
  </si>
  <si>
    <t>提出済</t>
  </si>
  <si>
    <t>未提出</t>
  </si>
  <si>
    <t>提出不要</t>
  </si>
  <si>
    <t>【9.備考】</t>
  </si>
  <si>
    <t>建築物の名称：</t>
  </si>
  <si>
    <t>ページ上部へ</t>
  </si>
  <si>
    <t>建築物及びその敷地に関する事項</t>
  </si>
  <si>
    <t>【1.地名地番】</t>
  </si>
  <si>
    <t>【2.住居表示】</t>
  </si>
  <si>
    <t>【3.都市計画区域及び準都市計画区域の内外の別等】</t>
  </si>
  <si>
    <t xml:space="preserve">準都市計画区域内  </t>
  </si>
  <si>
    <t>都市計画区域及び準都市計画区域外</t>
  </si>
  <si>
    <t>【4.防火地域】</t>
  </si>
  <si>
    <t>【5.その他の区域、地域、地区又は街区】</t>
  </si>
  <si>
    <t>【6.道路】敷地が２ｍ以上接している道路のうち幅員が最大なものについて記載</t>
  </si>
  <si>
    <t>【ｲ.幅員】　</t>
  </si>
  <si>
    <t>ｍ</t>
  </si>
  <si>
    <t>【ﾛ.敷地と接している部分の長さ】</t>
  </si>
  <si>
    <t>【7.敷地面積】　</t>
  </si>
  <si>
    <t>【ｲ.敷地面積】(1)(</t>
  </si>
  <si>
    <t>　㎡)(</t>
  </si>
  <si>
    <t>　㎡）</t>
  </si>
  <si>
    <t xml:space="preserve">              (2)(</t>
  </si>
  <si>
    <t>【ﾛ.用途地域等】 (</t>
  </si>
  <si>
    <t>)(</t>
  </si>
  <si>
    <t>　　）</t>
  </si>
  <si>
    <t>【ﾊ.建築基準法第５２条第１項及び第２項の規定による建築物の容積率】</t>
  </si>
  <si>
    <t xml:space="preserve">                 (</t>
  </si>
  <si>
    <t>　％)(</t>
  </si>
  <si>
    <t>　％）</t>
  </si>
  <si>
    <t>【ﾆ.建築基準法第５３条第１項の規定による建築物の建蔽率】</t>
  </si>
  <si>
    <t>【ﾎ.敷地面積の合計】</t>
  </si>
  <si>
    <t>(1)</t>
  </si>
  <si>
    <t>(2)</t>
  </si>
  <si>
    <t>【ﾍ.敷地に建築可能な延べ面積を敷地面積で除した数値】</t>
  </si>
  <si>
    <t>％</t>
  </si>
  <si>
    <t>【ﾄ.敷地に建築可能な建築面積を敷地面積で除した数値】</t>
  </si>
  <si>
    <t>【ﾁ.備考】</t>
  </si>
  <si>
    <t>【8.主要用途】</t>
  </si>
  <si>
    <t>（区分</t>
  </si>
  <si>
    <t>【9.工事種別】</t>
  </si>
  <si>
    <t>【10.建築面積】　　　　　　　   （</t>
  </si>
  <si>
    <t>　申請部分</t>
  </si>
  <si>
    <t xml:space="preserve"> 　)(申請以外の部分</t>
  </si>
  <si>
    <t>　)(</t>
  </si>
  <si>
    <t>　合計</t>
  </si>
  <si>
    <t>　）</t>
  </si>
  <si>
    <t>【ｲ.建築物全体】</t>
  </si>
  <si>
    <t xml:space="preserve"> ㎡)(</t>
  </si>
  <si>
    <t>㎡)(</t>
  </si>
  <si>
    <t>㎡）</t>
  </si>
  <si>
    <t>【ﾛ.建蔽率の算定の基礎となる建築面積】</t>
  </si>
  <si>
    <t xml:space="preserve">【ﾊ.建蔽率】  </t>
  </si>
  <si>
    <t>【11.延べ面積】　　　　　　　   （</t>
  </si>
  <si>
    <t>【ｲ.建築物全体】　　　　　　（</t>
  </si>
  <si>
    <t>【ﾛ.地階の住宅又は老人ホーム等の部分】</t>
  </si>
  <si>
    <t>　　　　　　　　　　　　　　（</t>
  </si>
  <si>
    <t>【ﾊ.エレベーターの昇降路の部分】</t>
  </si>
  <si>
    <t>【ﾆ.共同住宅又は老人ホーム等の共用の廊下等の部分】</t>
  </si>
  <si>
    <t>【ﾎ.認定機械室等の部分】</t>
  </si>
  <si>
    <t>【ﾍ.自動車車庫等の部分】</t>
  </si>
  <si>
    <t>【ﾄ.備蓄倉庫の部分】</t>
  </si>
  <si>
    <t>【ﾁ.蓄電池の設置部分】</t>
  </si>
  <si>
    <t>【ﾘ.自家発電設備の設置部分】</t>
  </si>
  <si>
    <t>【ﾇ.貯水槽の設置部分】</t>
  </si>
  <si>
    <t>【ﾙ.宅配ボックスの設置部分】</t>
  </si>
  <si>
    <t>【ｦ.その他の不算入部分】</t>
  </si>
  <si>
    <t>【ﾜ.住宅の部分】</t>
  </si>
  <si>
    <t>【ｶ.老人ホーム等の部分】</t>
  </si>
  <si>
    <t>【ﾖ.延べ面積】</t>
  </si>
  <si>
    <t>【ﾀ.容積率】</t>
  </si>
  <si>
    <t>【12.建築物の数】</t>
  </si>
  <si>
    <t>【ｲ.申請に係る建築物の数】</t>
  </si>
  <si>
    <t>【ﾛ.同一敷地内の他の建築物の数】</t>
  </si>
  <si>
    <t>【13.建築物の高さ等】</t>
  </si>
  <si>
    <t>(申請に係る建築物 )</t>
  </si>
  <si>
    <t xml:space="preserve">(　 他の建築物 </t>
  </si>
  <si>
    <t xml:space="preserve">【ｲ.最高の高さ】 </t>
  </si>
  <si>
    <t>ｍ)</t>
  </si>
  <si>
    <t>【ﾛ.階数】</t>
  </si>
  <si>
    <t>地上</t>
  </si>
  <si>
    <t>【ﾊ.構造】敷地内の建築物の主たる構造について記載</t>
  </si>
  <si>
    <t>【ﾆ.建築基準法第５６条第７項の規定による特例の適用の有無】</t>
  </si>
  <si>
    <t>有</t>
  </si>
  <si>
    <t>無</t>
  </si>
  <si>
    <t>【ﾎ.適用があるときは、特例の区分】</t>
  </si>
  <si>
    <t xml:space="preserve">道路高さ制限不適用 </t>
  </si>
  <si>
    <t>【14.許可・認定等】</t>
  </si>
  <si>
    <t>★主な許可等</t>
  </si>
  <si>
    <t>←手入力もできます</t>
  </si>
  <si>
    <t>【15.工事着手予定年月日】</t>
  </si>
  <si>
    <t>【16.工事完了予定年月日】</t>
  </si>
  <si>
    <t xml:space="preserve">【17.特定工程工事終了予定年月日】  </t>
  </si>
  <si>
    <t>（第</t>
  </si>
  <si>
    <t>回）</t>
  </si>
  <si>
    <t>【18．建築基準法施行令第43条第１項及び第46条第４項等に係る経過措置の適用】</t>
  </si>
  <si>
    <t>【イ．適用の有無】</t>
  </si>
  <si>
    <t>【ロ．適用があるときは、その区分】</t>
  </si>
  <si>
    <t>建築基準法施行令第43条第１項及び第46条第４項</t>
  </si>
  <si>
    <t>【19.その他必要な事項】</t>
  </si>
  <si>
    <t>【20.備考】</t>
  </si>
  <si>
    <t>(第四面）</t>
  </si>
  <si>
    <t>建築物別概要</t>
  </si>
  <si>
    <t>【1.番号】</t>
  </si>
  <si>
    <t>【2.用途】</t>
  </si>
  <si>
    <t>【3.工事種別】</t>
  </si>
  <si>
    <t>【4.構造】</t>
  </si>
  <si>
    <t>木造（</t>
  </si>
  <si>
    <t>軸組工法</t>
  </si>
  <si>
    <t>枠組壁工法　）</t>
  </si>
  <si>
    <t>ＲＣ造</t>
  </si>
  <si>
    <t>Ｓ造　</t>
  </si>
  <si>
    <t>ＳＲＣ造</t>
  </si>
  <si>
    <t>造</t>
  </si>
  <si>
    <t>【5.主要構造部】</t>
  </si>
  <si>
    <t>耐火構造（防火上及び避難上支障がない主要構造部を有しない場合）</t>
  </si>
  <si>
    <t>耐火構造（防火上及び避難上支障がない主要構造部を有する場合）</t>
  </si>
  <si>
    <t>建築基準法施行令第108条の４第１項第１号イ及びロに掲げる基準に適合する構造</t>
  </si>
  <si>
    <t>準耐火構造</t>
  </si>
  <si>
    <t>準耐火構造と同等の準耐火性能を有する構造 (ロ－１)</t>
  </si>
  <si>
    <t>準耐火構造と同等の準耐火性能を有する構造 (ロ－２)</t>
  </si>
  <si>
    <t>【6.建築基準法第21条及び第27条の規定の適用】</t>
  </si>
  <si>
    <t>建築基準法施行令第109条の５第１号に掲げる基準に適合する構造</t>
  </si>
  <si>
    <t>建築基準法第21条第１項ただし書に該当する建築物</t>
  </si>
  <si>
    <t>建築基準法施行令第109条の７第１項第１号に掲げる基準に適合する構造</t>
  </si>
  <si>
    <t>建築基準法施行令第110条第１号に掲げる基準に適合する構造</t>
  </si>
  <si>
    <t>建築基準法第21条又は第27条の規定の適用を受けない</t>
  </si>
  <si>
    <t>【7.建築基準法第61条の規定の適用】</t>
  </si>
  <si>
    <t>準耐火建築物</t>
  </si>
  <si>
    <t>延焼防止建築物</t>
  </si>
  <si>
    <t>準延焼防止建築物</t>
  </si>
  <si>
    <t>建築基準法第61条の規定の適用を受けない</t>
  </si>
  <si>
    <t>【8.階数】</t>
  </si>
  <si>
    <t>【ｲ.地階を除く階数】</t>
  </si>
  <si>
    <t>【ﾛ.地階の階数】</t>
  </si>
  <si>
    <t>【ﾊ.昇降機塔等の階の数】</t>
  </si>
  <si>
    <t>【ﾆ.地階の倉庫等の階の数】</t>
  </si>
  <si>
    <t>【9.高さ】</t>
  </si>
  <si>
    <t>【ｲ.最高の高さ】</t>
  </si>
  <si>
    <t>【ﾛ.最高の軒の高さ】</t>
  </si>
  <si>
    <t>【10.建築設備の種類】</t>
  </si>
  <si>
    <t>電気</t>
  </si>
  <si>
    <t>ガス</t>
  </si>
  <si>
    <t>給水</t>
  </si>
  <si>
    <t>排水</t>
  </si>
  <si>
    <t>換気</t>
  </si>
  <si>
    <t>暖房</t>
  </si>
  <si>
    <t>冷房</t>
  </si>
  <si>
    <t>消火</t>
  </si>
  <si>
    <t>排煙</t>
  </si>
  <si>
    <t>合併浄化槽(</t>
  </si>
  <si>
    <t>人槽）</t>
  </si>
  <si>
    <t>【11.確認の特例】</t>
  </si>
  <si>
    <t>【ｲ.建築基準法第６条の３第１項ただし書き又は法第１８条第５項ただし書きの規定による審査</t>
  </si>
  <si>
    <t>の特例の適用の有無】</t>
  </si>
  <si>
    <t>【ﾛ.適用があるときは、特例の区分】</t>
  </si>
  <si>
    <t>建築基準法第６条の３第１項第１号に掲げる確認審査又は同法第18条第４項第１号に掲げる審査</t>
  </si>
  <si>
    <t>建築基準法第６条の３第１項第２号に掲げる確認審査又は同法第18条第４項第２号に掲げる審査</t>
  </si>
  <si>
    <t>（構造設計を行った構造設計一級建築士又は構造関係規定に適合することを確認した</t>
  </si>
  <si>
    <t>構造設計一級建築士）</t>
  </si>
  <si>
    <t>(1)氏名</t>
  </si>
  <si>
    <t>(2)資格　構造設計一級建築士交付　第</t>
  </si>
  <si>
    <t>【ﾊ.建築基準法第６条の４第１項の規定による確認の特例の適用の有無】</t>
  </si>
  <si>
    <t>【ﾆ.適用があるときは、建築基準法施行令第１０条各号に掲げる建築物の区分】</t>
  </si>
  <si>
    <t>【ﾎ.認定型式の認定番号】</t>
  </si>
  <si>
    <t>【ﾍ.適合する一連の規定の区分】</t>
  </si>
  <si>
    <t>建築基準法施行令第136条の2の11第1号イ</t>
  </si>
  <si>
    <t>建築基準法施行令第136条の2の11第1号ロ</t>
  </si>
  <si>
    <t>【ﾄ.認証型式部材等の認定番号】</t>
  </si>
  <si>
    <t>【12.床面積】</t>
  </si>
  <si>
    <t>　（</t>
  </si>
  <si>
    <t>【ｲ.階別】</t>
  </si>
  <si>
    <t>階）</t>
  </si>
  <si>
    <t>【ﾛ.合計】</t>
  </si>
  <si>
    <t>【13.屋根】</t>
  </si>
  <si>
    <t>【14.外壁】</t>
  </si>
  <si>
    <t>【15.軒裏】</t>
  </si>
  <si>
    <t>【16.居室の床の高さ】</t>
  </si>
  <si>
    <t>ｍｍ</t>
  </si>
  <si>
    <t>【17.便所の種類】</t>
  </si>
  <si>
    <t>その他(</t>
  </si>
  <si>
    <t>【18.その他必要な事項】</t>
  </si>
  <si>
    <t>住宅用火災警報器</t>
  </si>
  <si>
    <t>【19.備考】</t>
  </si>
  <si>
    <t>（第五面）</t>
  </si>
  <si>
    <t>建築物の階別概要</t>
  </si>
  <si>
    <t>【2.階】</t>
  </si>
  <si>
    <t>【3.柱の小径】</t>
  </si>
  <si>
    <t>mm</t>
  </si>
  <si>
    <t>【4.横架材間の垂直距離】</t>
  </si>
  <si>
    <t>【5.階の高さ】</t>
  </si>
  <si>
    <t>【6.天井】</t>
  </si>
  <si>
    <t>【ｲ.居室の天井の高さ】</t>
  </si>
  <si>
    <t>【ﾛ.建築基準法施行令第39条第3項に規定する特定天井】</t>
  </si>
  <si>
    <t>【7.用途別床面積】</t>
  </si>
  <si>
    <t>（ 用途の区分</t>
  </si>
  <si>
    <t>（ 具体的な用途の名称</t>
  </si>
  <si>
    <t>（     床面積</t>
  </si>
  <si>
    <t>【ｲ.】</t>
  </si>
  <si>
    <t>【ﾛ.】</t>
  </si>
  <si>
    <t>【ﾊ.】</t>
  </si>
  <si>
    <t>【ﾆ.】</t>
  </si>
  <si>
    <t>【ﾎ.】</t>
  </si>
  <si>
    <t>【ﾍ.】</t>
  </si>
  <si>
    <t>【8.その他必要な事項】</t>
  </si>
  <si>
    <t>（第六面）</t>
  </si>
  <si>
    <t>建築物独立部分別概要</t>
  </si>
  <si>
    <t>【2.延べ面積】</t>
  </si>
  <si>
    <t>【3.建築物の高さ等】</t>
  </si>
  <si>
    <t>【ｲ.最高の高さ等】</t>
  </si>
  <si>
    <t>【ﾊ.階数】</t>
  </si>
  <si>
    <t>【ﾆ.構造】</t>
  </si>
  <si>
    <t>【4.特定構造計算基準又は特定増改築構造計算基準の別】</t>
  </si>
  <si>
    <t>特定構造計算基準</t>
  </si>
  <si>
    <t>特定増改築構造計算基準</t>
  </si>
  <si>
    <t>【5.構造計算の区分】</t>
  </si>
  <si>
    <t>建築基準法施行令第８１条第１項各号に掲げる基準に従った構造計算</t>
  </si>
  <si>
    <t>建築基準法施行令第８１条第２項第１号イに掲げる構造計算</t>
  </si>
  <si>
    <t>建築基準法施行令第８１条第２項第１号ロに掲げる構造計算</t>
  </si>
  <si>
    <t>建築基準法施行令第８１条第２項第２号イに掲げる構造計算</t>
  </si>
  <si>
    <t>建築基準法施行令第８１条第３項に掲げる構造計算</t>
  </si>
  <si>
    <t>【6.構造計算に用いたプログラム】</t>
  </si>
  <si>
    <t>【ｲ.名称】</t>
  </si>
  <si>
    <t>【ﾛ.区分】</t>
  </si>
  <si>
    <t>建築基準法第20条第1項第2号イ又は第3号イの認定を受けたプログラム</t>
  </si>
  <si>
    <t>（大臣認定番号</t>
  </si>
  <si>
    <t>その他プログラム</t>
  </si>
  <si>
    <t>【7.建築基準法施行令第１３７条の２各号に定める基準の区分】</t>
  </si>
  <si>
    <t>【8.備考】</t>
  </si>
  <si>
    <t>建築計画概要書 （第一面）</t>
  </si>
  <si>
    <t>【ﾛ.氏　　　名】</t>
  </si>
  <si>
    <t>【ﾆ.住　　　所】</t>
  </si>
  <si>
    <t>【ｲ.資　　　格】</t>
  </si>
  <si>
    <t>【ﾎ.所 在 地】</t>
  </si>
  <si>
    <t>　　（代表となる設計者）</t>
  </si>
  <si>
    <t>　　（その他の設計者）</t>
  </si>
  <si>
    <t>　（構造設計一級建築士又は設備設計一級建築士である旨の表示をした者）</t>
  </si>
  <si>
    <t>　上記の設計者のうち、</t>
  </si>
  <si>
    <t>□建築士法第20条の２第１項の表示をした者</t>
  </si>
  <si>
    <t>【ｲ.氏　　　名】</t>
  </si>
  <si>
    <t>【ﾛ.資　　　格】</t>
  </si>
  <si>
    <t>構造設計一級建築士交付第</t>
  </si>
  <si>
    <t>□建築士法第20条の２第３項の表示をした者</t>
  </si>
  <si>
    <t>□建築士法第20条の３第１項の表示をした者</t>
  </si>
  <si>
    <t>設備設計一級建築士交付第</t>
  </si>
  <si>
    <t>□建築士法第20条の３第３項の表示をした者</t>
  </si>
  <si>
    <t>　　（代表となる建築設備の設計に関し意見を聴いた者）</t>
  </si>
  <si>
    <r>
      <t xml:space="preserve">【ﾛ.勤 </t>
    </r>
    <r>
      <rPr>
        <sz val="6"/>
        <color theme="1"/>
        <rFont val="ＭＳ Ｐ明朝"/>
        <family val="1"/>
        <charset val="128"/>
      </rPr>
      <t xml:space="preserve"> </t>
    </r>
    <r>
      <rPr>
        <sz val="9"/>
        <color theme="1"/>
        <rFont val="ＭＳ Ｐ明朝"/>
        <family val="1"/>
        <charset val="128"/>
      </rPr>
      <t xml:space="preserve">務 </t>
    </r>
    <r>
      <rPr>
        <sz val="6"/>
        <color theme="1"/>
        <rFont val="ＭＳ Ｐ明朝"/>
        <family val="1"/>
        <charset val="128"/>
      </rPr>
      <t xml:space="preserve"> </t>
    </r>
    <r>
      <rPr>
        <sz val="9"/>
        <color theme="1"/>
        <rFont val="ＭＳ Ｐ明朝"/>
        <family val="1"/>
        <charset val="128"/>
      </rPr>
      <t>先】</t>
    </r>
  </si>
  <si>
    <t>【ﾆ.所 在 地】</t>
  </si>
  <si>
    <t>　　（その他の建築設備の設計に関し意見を聴いた者）</t>
  </si>
  <si>
    <t>　　（代表となる工事監理者）</t>
  </si>
  <si>
    <t>　　（その他の工事監理者）</t>
  </si>
  <si>
    <t>【7.備　　　　考】</t>
  </si>
  <si>
    <t>建築計画概要書　（第二面）</t>
  </si>
  <si>
    <t xml:space="preserve">準都市計画区域内 </t>
  </si>
  <si>
    <t>【6.道　　　路】</t>
  </si>
  <si>
    <t>【ｲ.幅　　　員】</t>
  </si>
  <si>
    <t>【7.敷地面積】</t>
  </si>
  <si>
    <t>【ｲ.敷地面積】</t>
  </si>
  <si>
    <t>）　（</t>
  </si>
  <si>
    <t>【ﾛ.用途地域等】</t>
  </si>
  <si>
    <t>【ﾊ.建築基準法第 52 条第 1 項及び第 2 項の規定による建築物の容積率】</t>
  </si>
  <si>
    <t>【ﾆ.建築基準法第 53 条第 1 項の規定による建築物の建蔽率】</t>
  </si>
  <si>
    <t>【ﾁ.備　　考】</t>
  </si>
  <si>
    <t>【10.建築面積】</t>
  </si>
  <si>
    <t>【ｲ.建築面積】</t>
  </si>
  <si>
    <t>【ﾊ.建蔽率】</t>
  </si>
  <si>
    <t>【11.延べ面積】</t>
  </si>
  <si>
    <r>
      <t>【ﾊ.</t>
    </r>
    <r>
      <rPr>
        <sz val="8"/>
        <color theme="1"/>
        <rFont val="ＭＳ Ｐ明朝"/>
        <family val="1"/>
        <charset val="128"/>
      </rPr>
      <t>エレベーターの昇降路の部分</t>
    </r>
    <r>
      <rPr>
        <sz val="9"/>
        <color theme="1"/>
        <rFont val="ＭＳ Ｐ明朝"/>
        <family val="1"/>
        <charset val="128"/>
      </rPr>
      <t>】</t>
    </r>
  </si>
  <si>
    <t>【ﾙ.住宅の部分】</t>
  </si>
  <si>
    <t>【ｦ.老人ホーム等の部分】</t>
  </si>
  <si>
    <t>【ﾜ.延べ面積】　</t>
  </si>
  <si>
    <t>【ｶ.容積率】</t>
  </si>
  <si>
    <t>【ﾛ.階　　　数】</t>
  </si>
  <si>
    <t>【ﾊ.構　　　造】</t>
  </si>
  <si>
    <t>【ﾆ.建築基準法第 56 条第 7 項の規定による特例の適用の有無】</t>
  </si>
  <si>
    <t>【17.特定工程工事終了予定年月日】</t>
  </si>
  <si>
    <t>【18.建築基準法第12条第１項の規定による調査の要否】</t>
  </si>
  <si>
    <t>要</t>
  </si>
  <si>
    <t>否</t>
  </si>
  <si>
    <t>【19.建築基準法第12条第３項の規定による検査を要する防火設備の有無】</t>
  </si>
  <si>
    <t>【20.その他必要な事項】</t>
  </si>
  <si>
    <t>建築計画概要書（第三面）</t>
  </si>
  <si>
    <t>付近見取図</t>
  </si>
  <si>
    <t>配置図</t>
  </si>
  <si>
    <t>(注意)</t>
  </si>
  <si>
    <t>1．第一面及び第二面関係</t>
  </si>
  <si>
    <t>　これらは第二号様式の第二面及び第三面の写しに代えることができます。この場合には、最上段に「建築計画概要書(第一面)」及び「建築計画概要書(第二面)」と明示してください。</t>
  </si>
  <si>
    <t>　第一面の5欄及び6欄は、それぞれ工事監理者又は工事施工者が未定のときは、後で定まってから工事着手前に届け出てください。この場合には、特定行政庁が届出があった旨を明示した上で記入します。</t>
  </si>
  <si>
    <t>2．第三面関係</t>
  </si>
  <si>
    <t>　付近見取図には、方位、道路及び目標となる地物を明示してください。</t>
  </si>
  <si>
    <t>　配置図には、縮尺、方位、敷地境界線、敷地内における建築物の位置、申請に係る建築物と他の建築物との別並びに敷地の接する道路の位置及び幅員を明示してください。</t>
  </si>
  <si>
    <t>ＦＡＸ</t>
  </si>
  <si>
    <t>第UHEC建確          　 号</t>
  </si>
  <si>
    <t>**wskakunin_P2_HENKOU_GAIYOU</t>
  </si>
  <si>
    <t>cst_wskakunin_P2_HENKOU_GAIYOU</t>
  </si>
  <si>
    <t>建築基準法施行令第43条第１項及び第46条第４項等に係る経過措置の適用</t>
  </si>
  <si>
    <t>適用の有無</t>
  </si>
  <si>
    <t>第43条第１項及び第46条第４項</t>
  </si>
  <si>
    <t>調査の要否</t>
  </si>
  <si>
    <t>**wskakunin_MOKUZOU_KEIKA_FLAG</t>
  </si>
  <si>
    <t>**wskakunin_MOKUZOU_KEIKA_HASIRA_FLAG</t>
  </si>
  <si>
    <t>**wskakunin_MOKUZOU_KEIKA_ETC_FLAG</t>
  </si>
  <si>
    <t>**wskakunin_KITEI_CHOUSA_FLAG</t>
  </si>
  <si>
    <t>cst_wskakunin_MOKUZOU_KEIKA_FLAG</t>
  </si>
  <si>
    <t>cst_wskakunin_MOKUZOU_KEIKA_FLAG_ari</t>
  </si>
  <si>
    <t>cst_wskakunin_MOKUZOU_KEIKA_FLAG_nashi</t>
  </si>
  <si>
    <t>cst_wskakunin_MOKUZOU_KEIKA_HASIRA_FLAG</t>
  </si>
  <si>
    <t>cst_wskakunin_MOKUZOU_KEIKA_ETC_FLAG</t>
  </si>
  <si>
    <t>cst_wskakunin_KITEI_CHOUSA_FLAG</t>
  </si>
  <si>
    <t>cst_wskakunin_KITEI_CHOUSA_FLAG_box_on</t>
  </si>
  <si>
    <t>cst_wskakunin_KITEI_CHOUSA_FLAG_box_off</t>
  </si>
  <si>
    <t>確認申請第一面</t>
  </si>
  <si>
    <t>計変第一面</t>
  </si>
  <si>
    <t>第二面</t>
  </si>
  <si>
    <t>第三面_2504</t>
  </si>
  <si>
    <t>第四面_2504</t>
  </si>
  <si>
    <t>第五面</t>
  </si>
  <si>
    <t>第六面</t>
  </si>
  <si>
    <t>建築概要一面</t>
  </si>
  <si>
    <t>概要二面</t>
  </si>
  <si>
    <t>概要三面</t>
  </si>
  <si>
    <t>受付連絡表、申請書、概要書　追加</t>
  </si>
  <si>
    <t>受付連絡表　改ページ位置変更、仮使用一面手数料欄変更</t>
  </si>
  <si>
    <t>5678</t>
  </si>
  <si>
    <t>櫻井　誠一</t>
  </si>
  <si>
    <t>市川　治</t>
  </si>
  <si>
    <t>5555</t>
  </si>
  <si>
    <t>株式会社ユーイック不動産 代表取締役社長 野崎　豊</t>
  </si>
  <si>
    <t>東京都港区虎ノ門１－１－１</t>
  </si>
  <si>
    <t>港区虎ノ門１－１－１</t>
  </si>
  <si>
    <t>テスト新築工事</t>
  </si>
  <si>
    <t>ｵｷｬｸｻﾏﾖｳ　ﾃﾞﾓｼﾝﾁｸｺｳｼﾞ</t>
  </si>
  <si>
    <t>東京都港区虎ノ門1-1-21</t>
  </si>
  <si>
    <t>一級建築士国土交通大臣登録第111111号</t>
  </si>
  <si>
    <t>一級建築士事務所東京都知事登録第11111号</t>
  </si>
  <si>
    <t>一級建築士事務所　UHEC</t>
  </si>
  <si>
    <t>11111</t>
  </si>
  <si>
    <t>111111</t>
  </si>
  <si>
    <t>藤田　ゆき子</t>
  </si>
  <si>
    <t>03-3504-2386</t>
  </si>
  <si>
    <t>国土交通大臣</t>
  </si>
  <si>
    <t>105-0001</t>
  </si>
  <si>
    <t>一級建築士国土交通大臣登録第12121212号</t>
  </si>
  <si>
    <t>全ての設計図書</t>
  </si>
  <si>
    <t>12121212</t>
  </si>
  <si>
    <t>髙橋　一郎</t>
  </si>
  <si>
    <t>株式会社　都市居住評価センター 代表取締役社長　野崎　豊</t>
  </si>
  <si>
    <t>第UHEC建確R070030号</t>
  </si>
  <si>
    <t>株式会社ユーイック不動産</t>
  </si>
  <si>
    <t>ｶﾌﾞｼｷｶﾞｲｼｬﾕｰｲｯｸﾌﾄﾞｳｻﾝ</t>
  </si>
  <si>
    <t>野崎　豊</t>
  </si>
  <si>
    <t>ﾉｻﾞｷ　ﾕﾀｶ</t>
  </si>
  <si>
    <t>代表取締役社長</t>
  </si>
  <si>
    <t>ﾀﾞｲﾋｮｳﾄﾘｼﾏﾘﾔｸｼｬﾁｮｳ</t>
  </si>
  <si>
    <t>意匠図一式</t>
  </si>
  <si>
    <t>一級建築士国土交通大臣登録第1234556号</t>
  </si>
  <si>
    <t>意匠図</t>
  </si>
  <si>
    <t>1234556</t>
  </si>
  <si>
    <t>橋上　眞光</t>
  </si>
  <si>
    <t>一級建築士国土交通大臣登録第9876543号</t>
  </si>
  <si>
    <t>構造図一式</t>
  </si>
  <si>
    <t>9876543</t>
  </si>
  <si>
    <t>一級建築士国土交通大臣登録第555788号</t>
  </si>
  <si>
    <t>設備図一式</t>
  </si>
  <si>
    <t>555788</t>
  </si>
  <si>
    <t>東京都港区虎ノ門1-1-</t>
  </si>
  <si>
    <t>株式会社UHEC</t>
  </si>
  <si>
    <t>国土交通大臣第(特-7)1111号</t>
  </si>
  <si>
    <t>(特-7)1111</t>
  </si>
  <si>
    <t>請求書
宛名</t>
    <rPh sb="0" eb="3">
      <t>セイキュウショ</t>
    </rPh>
    <phoneticPr fontId="122"/>
  </si>
  <si>
    <t>請求書
宛名</t>
    <rPh sb="2" eb="3">
      <t>ショ</t>
    </rPh>
    <phoneticPr fontId="122"/>
  </si>
  <si>
    <t>KK-A78</t>
    <phoneticPr fontId="122"/>
  </si>
  <si>
    <t>※引受承諾書・引受証の電子交付は、電子申請の場合に限ります</t>
    <rPh sb="1" eb="3">
      <t>ヒキウケ</t>
    </rPh>
    <rPh sb="3" eb="6">
      <t>ショウダクショ</t>
    </rPh>
    <rPh sb="7" eb="10">
      <t>ヒキウケショウ</t>
    </rPh>
    <rPh sb="11" eb="13">
      <t>デンシ</t>
    </rPh>
    <rPh sb="13" eb="15">
      <t>コウフ</t>
    </rPh>
    <rPh sb="17" eb="19">
      <t>デンシ</t>
    </rPh>
    <rPh sb="19" eb="21">
      <t>シンセイ</t>
    </rPh>
    <rPh sb="22" eb="24">
      <t>バアイ</t>
    </rPh>
    <rPh sb="25" eb="26">
      <t>カギ</t>
    </rPh>
    <phoneticPr fontId="122"/>
  </si>
  <si>
    <r>
      <t>電子交付 　※電子申請システムの</t>
    </r>
    <r>
      <rPr>
        <u/>
        <sz val="11"/>
        <color theme="1"/>
        <rFont val="HG丸ｺﾞｼｯｸM-PRO"/>
        <family val="3"/>
        <charset val="128"/>
      </rPr>
      <t>チャットエリア画面にアップロード</t>
    </r>
    <r>
      <rPr>
        <sz val="11"/>
        <color theme="1"/>
        <rFont val="HG丸ｺﾞｼｯｸM-PRO"/>
        <family val="3"/>
        <charset val="128"/>
      </rPr>
      <t>いたします。</t>
    </r>
    <phoneticPr fontId="122"/>
  </si>
  <si>
    <t>※確認済証・中間検査合格証・検査済証等は紙面交付となります</t>
    <rPh sb="1" eb="3">
      <t>カクニン</t>
    </rPh>
    <rPh sb="3" eb="5">
      <t>スミショウ</t>
    </rPh>
    <rPh sb="6" eb="8">
      <t>チュウカン</t>
    </rPh>
    <rPh sb="8" eb="10">
      <t>ケンサ</t>
    </rPh>
    <rPh sb="10" eb="12">
      <t>ゴウカク</t>
    </rPh>
    <rPh sb="12" eb="13">
      <t>ショウ</t>
    </rPh>
    <rPh sb="14" eb="16">
      <t>ケンサ</t>
    </rPh>
    <rPh sb="16" eb="18">
      <t>スミショウ</t>
    </rPh>
    <rPh sb="18" eb="19">
      <t>トウ</t>
    </rPh>
    <rPh sb="20" eb="22">
      <t>シメン</t>
    </rPh>
    <rPh sb="22" eb="24">
      <t>コウフ</t>
    </rPh>
    <phoneticPr fontId="122"/>
  </si>
  <si>
    <t>※確認済証・中間検査合格証・検査済証等は紙面交付となります</t>
    <phoneticPr fontId="122"/>
  </si>
  <si>
    <t>申請の際に、次の事項をご記入のうえご提出ください。</t>
    <phoneticPr fontId="122"/>
  </si>
  <si>
    <t>E-mail</t>
    <phoneticPr fontId="122"/>
  </si>
  <si>
    <t>【確認申請 本申請希望日：　　月　　日】</t>
    <rPh sb="1" eb="3">
      <t>カクニン</t>
    </rPh>
    <rPh sb="3" eb="5">
      <t>シンセイ</t>
    </rPh>
    <rPh sb="6" eb="9">
      <t>ホンシンセイ</t>
    </rPh>
    <rPh sb="9" eb="11">
      <t>キボウ</t>
    </rPh>
    <rPh sb="11" eb="12">
      <t>ヒ</t>
    </rPh>
    <rPh sb="15" eb="16">
      <t>ガツ</t>
    </rPh>
    <rPh sb="18" eb="19">
      <t>ニチ</t>
    </rPh>
    <phoneticPr fontId="122"/>
  </si>
  <si>
    <t>【確認済証交付希望日：　　月　　日】</t>
    <rPh sb="7" eb="9">
      <t>キボウ</t>
    </rPh>
    <phoneticPr fontId="122"/>
  </si>
  <si>
    <t>有</t>
    <rPh sb="0" eb="1">
      <t>ア</t>
    </rPh>
    <phoneticPr fontId="122"/>
  </si>
  <si>
    <t>【事前相談】</t>
    <rPh sb="1" eb="3">
      <t>ジゼン</t>
    </rPh>
    <rPh sb="3" eb="5">
      <t>ソウダン</t>
    </rPh>
    <phoneticPr fontId="122"/>
  </si>
  <si>
    <t>無</t>
    <rPh sb="0" eb="1">
      <t>ナ</t>
    </rPh>
    <phoneticPr fontId="122"/>
  </si>
  <si>
    <t>　　※上記希望日は、交付日をお約束するものではありません。</t>
    <rPh sb="5" eb="7">
      <t>キボウ</t>
    </rPh>
    <rPh sb="10" eb="13">
      <t>コウフビ</t>
    </rPh>
    <phoneticPr fontId="122"/>
  </si>
  <si>
    <t>UHEC担当者名：</t>
    <rPh sb="4" eb="7">
      <t>タントウシャ</t>
    </rPh>
    <rPh sb="7" eb="8">
      <t>メイ</t>
    </rPh>
    <phoneticPr fontId="122"/>
  </si>
  <si>
    <t>UHEC　20260820版</t>
    <rPh sb="13" eb="14">
      <t>バン</t>
    </rPh>
    <phoneticPr fontId="1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</si>
</sst>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Red]&quot;¥&quot;\-#,##0"/>
    <numFmt numFmtId="176" formatCode="yyyy/m/d;@"/>
    <numFmt numFmtId="177" formatCode="#,##0.00_ "/>
    <numFmt numFmtId="178" formatCode="#,##0.000_ "/>
    <numFmt numFmtId="179" formatCode="0000"/>
    <numFmt numFmtId="180" formatCode="#,##0_ "/>
    <numFmt numFmtId="181" formatCode="[$-411]ggge&quot;年&quot;m&quot;月&quot;d&quot;日&quot;;@"/>
    <numFmt numFmtId="182" formatCode="#,##0.00_);[Red]\(#,##0.00\)"/>
    <numFmt numFmtId="183" formatCode="yyyy/mm/dd"/>
    <numFmt numFmtId="184" formatCode="[$-411]ggge&quot;年&quot;mm&quot;月&quot;dd&quot;日 ( &quot;aaa&quot; )&quot;;@"/>
    <numFmt numFmtId="185" formatCode="[$-F800]dddd\,\ mmmm\ dd\,\ yyyy"/>
    <numFmt numFmtId="186" formatCode="ggg"/>
    <numFmt numFmtId="187" formatCode="e"/>
    <numFmt numFmtId="188" formatCode="m"/>
    <numFmt numFmtId="189" formatCode="d"/>
    <numFmt numFmtId="190" formatCode="0_);[Red]\(0\)"/>
    <numFmt numFmtId="191" formatCode="#,##0_);[Red]\(#,##0\)"/>
    <numFmt numFmtId="192" formatCode="yyyy"/>
    <numFmt numFmtId="193" formatCode="[$]ggge&quot;年&quot;m&quot;月&quot;d&quot;日&quot;;@"/>
    <numFmt numFmtId="194" formatCode="0_ "/>
    <numFmt numFmtId="195" formatCode="[$-411]ggg\ \ e&quot;   年  &quot;m&quot;  月  &quot;d&quot;  日&quot;;"/>
    <numFmt numFmtId="196" formatCode="m/d;@"/>
    <numFmt numFmtId="197" formatCode="[$-411]ggg"/>
    <numFmt numFmtId="198" formatCode="0.000"/>
    <numFmt numFmtId="199" formatCode="0.00_ "/>
    <numFmt numFmtId="200" formatCode="0.00;\-0.00;0.00"/>
    <numFmt numFmtId="201" formatCode="0.000_ "/>
    <numFmt numFmtId="202" formatCode="[$-411]ggg\ e&quot; 年 &quot;mm&quot; 月 &quot;dd&quot; 日&quot;;@"/>
  </numFmts>
  <fonts count="124">
    <font>
      <sz val="11"/>
      <color theme="1"/>
      <name val="ＭＳ Ｐゴシック"/>
      <charset val="128"/>
    </font>
    <font>
      <sz val="11"/>
      <color theme="1"/>
      <name val="ＭＳ Ｐゴシック"/>
      <family val="3"/>
      <charset val="128"/>
      <scheme val="minor"/>
    </font>
    <font>
      <sz val="11"/>
      <color indexed="8"/>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11"/>
      <color theme="1"/>
      <name val="ＭＳ 明朝"/>
      <family val="1"/>
      <charset val="128"/>
    </font>
    <font>
      <sz val="10"/>
      <color theme="1"/>
      <name val="ＭＳ 明朝"/>
      <family val="1"/>
      <charset val="128"/>
    </font>
    <font>
      <sz val="9"/>
      <color indexed="10"/>
      <name val="ＭＳ Ｐゴシック"/>
      <family val="3"/>
      <charset val="128"/>
    </font>
    <font>
      <sz val="10.5"/>
      <color theme="1"/>
      <name val="ＭＳ 明朝"/>
      <family val="1"/>
      <charset val="128"/>
    </font>
    <font>
      <sz val="9"/>
      <color indexed="8"/>
      <name val="ＭＳ Ｐゴシック"/>
      <family val="3"/>
      <charset val="128"/>
    </font>
    <font>
      <sz val="10"/>
      <color rgb="FFFF0000"/>
      <name val="ＭＳ Ｐゴシック"/>
      <family val="3"/>
      <charset val="128"/>
    </font>
    <font>
      <u/>
      <sz val="11"/>
      <color theme="10"/>
      <name val="ＭＳ Ｐゴシック"/>
      <family val="3"/>
      <charset val="128"/>
      <scheme val="minor"/>
    </font>
    <font>
      <sz val="9"/>
      <color indexed="9"/>
      <name val="ＭＳ Ｐゴシック"/>
      <family val="3"/>
      <charset val="128"/>
    </font>
    <font>
      <b/>
      <sz val="18"/>
      <color indexed="56"/>
      <name val="ＭＳ Ｐゴシック"/>
      <family val="3"/>
      <charset val="128"/>
    </font>
    <font>
      <b/>
      <sz val="9"/>
      <color indexed="9"/>
      <name val="ＭＳ Ｐゴシック"/>
      <family val="3"/>
      <charset val="128"/>
    </font>
    <font>
      <sz val="9"/>
      <color indexed="60"/>
      <name val="ＭＳ Ｐゴシック"/>
      <family val="3"/>
      <charset val="128"/>
    </font>
    <font>
      <sz val="9"/>
      <color indexed="52"/>
      <name val="ＭＳ Ｐゴシック"/>
      <family val="3"/>
      <charset val="128"/>
    </font>
    <font>
      <sz val="9"/>
      <color indexed="20"/>
      <name val="ＭＳ Ｐゴシック"/>
      <family val="3"/>
      <charset val="128"/>
    </font>
    <font>
      <b/>
      <sz val="9"/>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9"/>
      <color indexed="8"/>
      <name val="ＭＳ Ｐゴシック"/>
      <family val="3"/>
      <charset val="128"/>
    </font>
    <font>
      <b/>
      <sz val="9"/>
      <color indexed="63"/>
      <name val="ＭＳ Ｐゴシック"/>
      <family val="3"/>
      <charset val="128"/>
    </font>
    <font>
      <i/>
      <sz val="9"/>
      <color indexed="23"/>
      <name val="ＭＳ Ｐゴシック"/>
      <family val="3"/>
      <charset val="128"/>
    </font>
    <font>
      <sz val="9"/>
      <color indexed="62"/>
      <name val="ＭＳ Ｐゴシック"/>
      <family val="3"/>
      <charset val="128"/>
    </font>
    <font>
      <sz val="9"/>
      <color indexed="17"/>
      <name val="ＭＳ Ｐゴシック"/>
      <family val="3"/>
      <charset val="128"/>
    </font>
    <font>
      <sz val="10"/>
      <color indexed="8"/>
      <name val="ＭＳ Ｐゴシック"/>
      <family val="3"/>
      <charset val="128"/>
    </font>
    <font>
      <sz val="11"/>
      <color theme="1"/>
      <name val="ＭＳ Ｐゴシック"/>
      <family val="3"/>
      <charset val="128"/>
    </font>
    <font>
      <sz val="11"/>
      <color theme="1"/>
      <name val="ＭＳ Ｐゴシック"/>
      <family val="3"/>
      <charset val="128"/>
      <scheme val="minor"/>
    </font>
    <font>
      <sz val="12"/>
      <color theme="1"/>
      <name val="ＭＳ Ｐゴシック"/>
      <family val="3"/>
      <charset val="128"/>
    </font>
    <font>
      <sz val="12"/>
      <color theme="1"/>
      <name val="ＭＳ 明朝"/>
      <family val="1"/>
      <charset val="128"/>
    </font>
    <font>
      <sz val="10.5"/>
      <color theme="1"/>
      <name val="游ゴシック"/>
      <family val="3"/>
      <charset val="128"/>
    </font>
    <font>
      <sz val="9"/>
      <color theme="1"/>
      <name val="ＭＳ 明朝"/>
      <family val="1"/>
      <charset val="128"/>
    </font>
    <font>
      <sz val="11"/>
      <color theme="1"/>
      <name val="ＭＳ Ｐ明朝"/>
      <family val="1"/>
      <charset val="128"/>
    </font>
    <font>
      <b/>
      <sz val="11"/>
      <color theme="1"/>
      <name val="ＭＳ 明朝"/>
      <family val="1"/>
      <charset val="128"/>
    </font>
    <font>
      <sz val="10.5"/>
      <color theme="1"/>
      <name val="Century"/>
      <family val="1"/>
    </font>
    <font>
      <sz val="10.5"/>
      <color theme="1"/>
      <name val="ＭＳ Ｐ明朝"/>
      <family val="1"/>
      <charset val="128"/>
    </font>
    <font>
      <sz val="10.5"/>
      <color rgb="FFFF0000"/>
      <name val="ＭＳ Ｐ明朝"/>
      <family val="1"/>
      <charset val="128"/>
    </font>
    <font>
      <sz val="10"/>
      <color theme="1"/>
      <name val="ＭＳ Ｐ明朝"/>
      <family val="1"/>
      <charset val="128"/>
    </font>
    <font>
      <sz val="9"/>
      <color theme="1"/>
      <name val="ＭＳ Ｐ明朝"/>
      <family val="1"/>
      <charset val="128"/>
    </font>
    <font>
      <sz val="10.5"/>
      <color theme="1"/>
      <name val="ＭＳ Ｐゴシック"/>
      <family val="3"/>
      <charset val="128"/>
    </font>
    <font>
      <sz val="9"/>
      <color rgb="FFFF0000"/>
      <name val="ＭＳ Ｐ明朝"/>
      <family val="1"/>
      <charset val="128"/>
    </font>
    <font>
      <sz val="14"/>
      <color theme="1"/>
      <name val="ＭＳ Ｐ明朝"/>
      <family val="1"/>
      <charset val="128"/>
    </font>
    <font>
      <sz val="9"/>
      <color indexed="81"/>
      <name val="MS P ゴシック"/>
      <charset val="128"/>
    </font>
    <font>
      <sz val="8"/>
      <color theme="1"/>
      <name val="ＭＳ Ｐゴシック"/>
      <family val="3"/>
      <charset val="128"/>
    </font>
    <font>
      <sz val="16"/>
      <color theme="1"/>
      <name val="ＭＳ Ｐ明朝"/>
      <family val="1"/>
      <charset val="128"/>
    </font>
    <font>
      <b/>
      <sz val="9"/>
      <color indexed="81"/>
      <name val="MS P ゴシック"/>
      <charset val="128"/>
    </font>
    <font>
      <sz val="10.5"/>
      <color indexed="10"/>
      <name val="ＭＳ Ｐ明朝"/>
      <family val="1"/>
      <charset val="128"/>
    </font>
    <font>
      <sz val="8"/>
      <color theme="1"/>
      <name val="ＭＳ Ｐ明朝"/>
      <family val="1"/>
      <charset val="128"/>
    </font>
    <font>
      <sz val="6"/>
      <color theme="1"/>
      <name val="ＭＳ Ｐ明朝"/>
      <family val="1"/>
      <charset val="128"/>
    </font>
    <font>
      <sz val="10.5"/>
      <color theme="0" tint="-0.249977111117893"/>
      <name val="ＭＳ Ｐ明朝"/>
      <family val="1"/>
      <charset val="128"/>
    </font>
    <font>
      <sz val="12"/>
      <color theme="1"/>
      <name val="ＭＳ Ｐ明朝"/>
      <family val="1"/>
      <charset val="128"/>
    </font>
    <font>
      <sz val="12"/>
      <color rgb="FFFF0000"/>
      <name val="ＭＳ Ｐ明朝"/>
      <family val="1"/>
      <charset val="128"/>
    </font>
    <font>
      <sz val="10"/>
      <color rgb="FFFF0000"/>
      <name val="ＭＳ Ｐ明朝"/>
      <family val="1"/>
      <charset val="128"/>
    </font>
    <font>
      <b/>
      <sz val="10.5"/>
      <color indexed="10"/>
      <name val="ＭＳ Ｐ明朝"/>
      <family val="1"/>
      <charset val="128"/>
    </font>
    <font>
      <sz val="11"/>
      <color rgb="FFFF0000"/>
      <name val="ＭＳ 明朝"/>
      <family val="1"/>
      <charset val="128"/>
    </font>
    <font>
      <sz val="60"/>
      <color theme="1"/>
      <name val="ＭＳ 明朝"/>
      <family val="1"/>
      <charset val="128"/>
    </font>
    <font>
      <sz val="10.5"/>
      <color indexed="12"/>
      <name val="ＭＳ 明朝"/>
      <family val="1"/>
      <charset val="128"/>
    </font>
    <font>
      <sz val="13"/>
      <color theme="1"/>
      <name val="ＭＳ 明朝"/>
      <family val="1"/>
      <charset val="128"/>
    </font>
    <font>
      <sz val="12"/>
      <color theme="1"/>
      <name val="Osaka"/>
      <charset val="128"/>
    </font>
    <font>
      <u/>
      <sz val="11"/>
      <color theme="10"/>
      <name val="ＭＳ Ｐゴシック"/>
      <family val="3"/>
      <charset val="128"/>
    </font>
    <font>
      <b/>
      <sz val="12"/>
      <color theme="1"/>
      <name val="ＭＳ 明朝"/>
      <family val="1"/>
      <charset val="128"/>
    </font>
    <font>
      <b/>
      <sz val="10"/>
      <color theme="1"/>
      <name val="ＭＳ 明朝"/>
      <family val="1"/>
      <charset val="128"/>
    </font>
    <font>
      <b/>
      <sz val="20"/>
      <color theme="1"/>
      <name val="ＭＳ ゴシック"/>
      <family val="3"/>
      <charset val="128"/>
    </font>
    <font>
      <b/>
      <sz val="14"/>
      <color indexed="81"/>
      <name val="ＭＳ Ｐゴシック"/>
      <family val="3"/>
      <charset val="128"/>
    </font>
    <font>
      <b/>
      <sz val="9"/>
      <color indexed="10"/>
      <name val="ＭＳ Ｐ明朝"/>
      <family val="1"/>
      <charset val="128"/>
    </font>
    <font>
      <b/>
      <sz val="10.5"/>
      <color rgb="FFFF0000"/>
      <name val="ＭＳ Ｐ明朝"/>
      <family val="1"/>
      <charset val="128"/>
    </font>
    <font>
      <sz val="10.5"/>
      <color indexed="10"/>
      <name val="ＭＳ 明朝"/>
      <family val="1"/>
      <charset val="128"/>
    </font>
    <font>
      <sz val="8"/>
      <color theme="1"/>
      <name val="ＭＳ 明朝"/>
      <family val="1"/>
      <charset val="128"/>
    </font>
    <font>
      <sz val="10.5"/>
      <color indexed="13"/>
      <name val="ＭＳ 明朝"/>
      <family val="1"/>
      <charset val="128"/>
    </font>
    <font>
      <b/>
      <sz val="10.5"/>
      <color indexed="10"/>
      <name val="ＭＳ 明朝"/>
      <family val="1"/>
      <charset val="128"/>
    </font>
    <font>
      <b/>
      <sz val="10.5"/>
      <color theme="1"/>
      <name val="ＭＳ 明朝"/>
      <family val="1"/>
      <charset val="128"/>
    </font>
    <font>
      <b/>
      <sz val="14"/>
      <color theme="1"/>
      <name val="ＭＳ 明朝"/>
      <family val="1"/>
      <charset val="128"/>
    </font>
    <font>
      <sz val="9"/>
      <color indexed="10"/>
      <name val="ＭＳ Ｐ明朝"/>
      <family val="1"/>
      <charset val="128"/>
    </font>
    <font>
      <sz val="9"/>
      <color indexed="12"/>
      <name val="ＭＳ Ｐ明朝"/>
      <family val="1"/>
      <charset val="128"/>
    </font>
    <font>
      <b/>
      <sz val="10.5"/>
      <color theme="1"/>
      <name val="ＭＳ Ｐ明朝"/>
      <family val="1"/>
      <charset val="128"/>
    </font>
    <font>
      <sz val="14"/>
      <color theme="1"/>
      <name val="ＭＳ 明朝"/>
      <family val="1"/>
      <charset val="128"/>
    </font>
    <font>
      <sz val="8"/>
      <color rgb="FFFF0000"/>
      <name val="ＭＳ Ｐ明朝"/>
      <family val="1"/>
      <charset val="128"/>
    </font>
    <font>
      <b/>
      <sz val="20"/>
      <color theme="1"/>
      <name val="HG丸ｺﾞｼｯｸM-PRO"/>
      <family val="3"/>
      <charset val="128"/>
    </font>
    <font>
      <sz val="11"/>
      <color theme="1"/>
      <name val="HG丸ｺﾞｼｯｸM-PRO"/>
      <family val="3"/>
      <charset val="128"/>
    </font>
    <font>
      <b/>
      <sz val="10"/>
      <color theme="1"/>
      <name val="HG丸ｺﾞｼｯｸM-PRO"/>
      <family val="3"/>
      <charset val="128"/>
    </font>
    <font>
      <sz val="18"/>
      <color theme="1"/>
      <name val="HG丸ｺﾞｼｯｸM-PRO"/>
      <family val="3"/>
      <charset val="128"/>
    </font>
    <font>
      <b/>
      <sz val="11"/>
      <color theme="1"/>
      <name val="HG丸ｺﾞｼｯｸM-PRO"/>
      <family val="3"/>
      <charset val="128"/>
    </font>
    <font>
      <b/>
      <sz val="12"/>
      <color theme="1"/>
      <name val="HG丸ｺﾞｼｯｸM-PRO"/>
      <family val="3"/>
      <charset val="128"/>
    </font>
    <font>
      <sz val="14"/>
      <color theme="1"/>
      <name val="HG丸ｺﾞｼｯｸM-PRO"/>
      <family val="3"/>
      <charset val="128"/>
    </font>
    <font>
      <b/>
      <sz val="13"/>
      <color theme="1"/>
      <name val="HG丸ｺﾞｼｯｸM-PRO"/>
      <family val="3"/>
      <charset val="128"/>
    </font>
    <font>
      <b/>
      <sz val="10.5"/>
      <color theme="1"/>
      <name val="HG丸ｺﾞｼｯｸM-PRO"/>
      <family val="3"/>
      <charset val="128"/>
    </font>
    <font>
      <sz val="13"/>
      <color theme="1"/>
      <name val="HG丸ｺﾞｼｯｸM-PRO"/>
      <family val="3"/>
      <charset val="128"/>
    </font>
    <font>
      <sz val="10.5"/>
      <color theme="1"/>
      <name val="HG丸ｺﾞｼｯｸM-PRO"/>
      <family val="3"/>
      <charset val="128"/>
    </font>
    <font>
      <sz val="12"/>
      <color theme="1"/>
      <name val="HG丸ｺﾞｼｯｸM-PRO"/>
      <family val="3"/>
      <charset val="128"/>
    </font>
    <font>
      <b/>
      <u/>
      <sz val="11"/>
      <color indexed="10"/>
      <name val="HG丸ｺﾞｼｯｸM-PRO"/>
      <family val="3"/>
      <charset val="128"/>
    </font>
    <font>
      <sz val="9"/>
      <color theme="1"/>
      <name val="HG丸ｺﾞｼｯｸM-PRO"/>
      <family val="3"/>
      <charset val="128"/>
    </font>
    <font>
      <sz val="10"/>
      <color theme="1"/>
      <name val="HG丸ｺﾞｼｯｸM-PRO"/>
      <family val="3"/>
      <charset val="128"/>
    </font>
    <font>
      <b/>
      <sz val="16"/>
      <color theme="1"/>
      <name val="HG丸ｺﾞｼｯｸM-PRO"/>
      <family val="3"/>
      <charset val="128"/>
    </font>
    <font>
      <b/>
      <sz val="18"/>
      <color theme="1"/>
      <name val="HG丸ｺﾞｼｯｸM-PRO"/>
      <family val="3"/>
      <charset val="128"/>
    </font>
    <font>
      <sz val="11"/>
      <color rgb="FFFF0000"/>
      <name val="HG丸ｺﾞｼｯｸM-PRO"/>
      <family val="3"/>
      <charset val="128"/>
    </font>
    <font>
      <sz val="16"/>
      <color theme="1"/>
      <name val="HG丸ｺﾞｼｯｸM-PRO"/>
      <family val="3"/>
      <charset val="128"/>
    </font>
    <font>
      <b/>
      <sz val="18"/>
      <color theme="1"/>
      <name val="ＭＳ Ｐゴシック"/>
      <family val="3"/>
      <charset val="128"/>
      <scheme val="minor"/>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2"/>
      <color rgb="FFFF0000"/>
      <name val="HG丸ｺﾞｼｯｸM-PRO"/>
      <family val="3"/>
      <charset val="128"/>
    </font>
    <font>
      <b/>
      <sz val="14"/>
      <color theme="1"/>
      <name val="HG丸ｺﾞｼｯｸM-PRO"/>
      <family val="3"/>
      <charset val="128"/>
    </font>
    <font>
      <u/>
      <sz val="11"/>
      <color theme="1"/>
      <name val="HG丸ｺﾞｼｯｸM-PRO"/>
      <family val="3"/>
      <charset val="128"/>
    </font>
    <font>
      <sz val="10.5"/>
      <color indexed="8"/>
      <name val="ＭＳ 明朝"/>
      <family val="1"/>
      <charset val="128"/>
    </font>
    <font>
      <sz val="11"/>
      <color indexed="8"/>
      <name val="ＭＳ 明朝"/>
      <family val="1"/>
      <charset val="128"/>
    </font>
    <font>
      <sz val="10"/>
      <color indexed="8"/>
      <name val="ＭＳ 明朝"/>
      <family val="1"/>
      <charset val="128"/>
    </font>
    <font>
      <sz val="10.5"/>
      <color indexed="8"/>
      <name val="ＭＳ Ｐゴシック"/>
      <family val="3"/>
      <charset val="128"/>
    </font>
    <font>
      <sz val="10.5"/>
      <color indexed="10"/>
      <name val="ＭＳ Ｐゴシック"/>
      <family val="3"/>
      <charset val="128"/>
    </font>
    <font>
      <b/>
      <sz val="10.5"/>
      <color indexed="10"/>
      <name val="ＭＳ Ｐゴシック"/>
      <family val="3"/>
      <charset val="128"/>
    </font>
    <font>
      <b/>
      <sz val="10.5"/>
      <color indexed="30"/>
      <name val="ＭＳ 明朝"/>
      <family val="1"/>
      <charset val="128"/>
    </font>
    <font>
      <sz val="10.5"/>
      <color indexed="8"/>
      <name val="ＭＳ Ｐ明朝"/>
      <family val="1"/>
      <charset val="128"/>
    </font>
    <font>
      <u/>
      <sz val="10.5"/>
      <color indexed="12"/>
      <name val="ＭＳ Ｐゴシック"/>
      <family val="3"/>
      <charset val="128"/>
    </font>
    <font>
      <b/>
      <sz val="10"/>
      <color indexed="10"/>
      <name val="ＭＳ Ｐゴシック"/>
      <family val="3"/>
      <charset val="128"/>
    </font>
    <font>
      <sz val="9"/>
      <color indexed="8"/>
      <name val="ＭＳ Ｐ明朝"/>
      <family val="1"/>
      <charset val="128"/>
    </font>
    <font>
      <sz val="7.5"/>
      <color theme="1"/>
      <name val="ＭＳ Ｐ明朝"/>
      <family val="1"/>
      <charset val="128"/>
    </font>
    <font>
      <b/>
      <sz val="9"/>
      <color indexed="81"/>
      <name val="ＭＳ Ｐゴシック"/>
      <family val="3"/>
      <charset val="128"/>
    </font>
    <font>
      <sz val="9"/>
      <color indexed="81"/>
      <name val="ＭＳ Ｐゴシック"/>
      <family val="3"/>
      <charset val="128"/>
    </font>
    <font>
      <sz val="12"/>
      <color indexed="81"/>
      <name val="ＭＳ Ｐゴシック"/>
      <family val="3"/>
      <charset val="128"/>
      <scheme val="minor"/>
    </font>
    <font>
      <sz val="9"/>
      <color indexed="81"/>
      <name val="ＭＳ Ｐ明朝"/>
      <family val="1"/>
      <charset val="128"/>
    </font>
    <font>
      <sz val="6"/>
      <name val="ＭＳ Ｐゴシック"/>
      <family val="3"/>
      <charset val="128"/>
    </font>
    <font>
      <sz val="11"/>
      <color rgb="FFFF0000"/>
      <name val="ＭＳ Ｐ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4"/>
        <bgColor indexed="64"/>
      </patternFill>
    </fill>
    <fill>
      <patternFill patternType="solid">
        <fgColor indexed="52"/>
        <bgColor indexed="64"/>
      </patternFill>
    </fill>
    <fill>
      <patternFill patternType="solid">
        <fgColor indexed="50"/>
        <bgColor indexed="64"/>
      </patternFill>
    </fill>
    <fill>
      <patternFill patternType="solid">
        <fgColor indexed="29"/>
        <bgColor indexed="64"/>
      </patternFill>
    </fill>
    <fill>
      <patternFill patternType="solid">
        <fgColor rgb="FFCCFFCC"/>
        <bgColor indexed="64"/>
      </patternFill>
    </fill>
    <fill>
      <patternFill patternType="solid">
        <fgColor rgb="FFCCFFFF"/>
        <bgColor indexed="64"/>
      </patternFill>
    </fill>
    <fill>
      <patternFill patternType="solid">
        <fgColor rgb="FFFF99CC"/>
        <bgColor indexed="64"/>
      </patternFill>
    </fill>
    <fill>
      <patternFill patternType="solid">
        <fgColor rgb="FFFFFF99"/>
        <bgColor indexed="64"/>
      </patternFill>
    </fill>
    <fill>
      <patternFill patternType="solid">
        <fgColor rgb="FF00FF00"/>
        <bgColor indexed="64"/>
      </patternFill>
    </fill>
    <fill>
      <patternFill patternType="solid">
        <fgColor rgb="FF99CCFF"/>
        <bgColor indexed="64"/>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5" tint="0.79998168889431442"/>
        <bgColor indexed="64"/>
      </patternFill>
    </fill>
    <fill>
      <patternFill patternType="lightGray">
        <fgColor indexed="15"/>
      </patternFill>
    </fill>
    <fill>
      <patternFill patternType="solid">
        <fgColor rgb="FFFFFFCC"/>
        <bgColor indexed="64"/>
      </patternFill>
    </fill>
    <fill>
      <patternFill patternType="solid">
        <fgColor rgb="FF99CC00"/>
        <bgColor indexed="64"/>
      </patternFill>
    </fill>
    <fill>
      <patternFill patternType="none"/>
    </fill>
    <fill>
      <patternFill patternType="solid">
        <fgColor rgb="FF92D050"/>
        <bgColor indexed="64"/>
      </patternFill>
    </fill>
  </fills>
  <borders count="1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top/>
      <bottom style="hair">
        <color auto="1"/>
      </bottom>
      <diagonal/>
    </border>
    <border>
      <left/>
      <right style="thin">
        <color indexed="64"/>
      </right>
      <top style="thin">
        <color indexed="64"/>
      </top>
      <bottom style="thin">
        <color indexed="64"/>
      </bottom>
      <diagonal/>
    </border>
    <border>
      <left style="thin">
        <color rgb="FF0000FF"/>
      </left>
      <right style="thin">
        <color rgb="FF0000FF"/>
      </right>
      <top style="thin">
        <color rgb="FF0000FF"/>
      </top>
      <bottom/>
      <diagonal/>
    </border>
    <border>
      <left style="thin">
        <color rgb="FF0000FF"/>
      </left>
      <right style="thin">
        <color rgb="FF0000FF"/>
      </right>
      <top/>
      <bottom/>
      <diagonal/>
    </border>
    <border>
      <left style="thin">
        <color rgb="FF0000FF"/>
      </left>
      <right style="thin">
        <color rgb="FF0000FF"/>
      </right>
      <top/>
      <bottom style="thin">
        <color rgb="FF0000FF"/>
      </bottom>
      <diagonal/>
    </border>
    <border>
      <left style="hair">
        <color auto="1"/>
      </left>
      <right style="hair">
        <color auto="1"/>
      </right>
      <top style="hair">
        <color auto="1"/>
      </top>
      <bottom style="hair">
        <color auto="1"/>
      </bottom>
      <diagonal/>
    </border>
    <border>
      <left style="thin">
        <color rgb="FF0000FF"/>
      </left>
      <right style="hair">
        <color auto="1"/>
      </right>
      <top style="hair">
        <color auto="1"/>
      </top>
      <bottom/>
      <diagonal/>
    </border>
    <border>
      <left style="thin">
        <color rgb="FF0000FF"/>
      </left>
      <right style="hair">
        <color auto="1"/>
      </right>
      <top/>
      <bottom/>
      <diagonal/>
    </border>
    <border>
      <left style="thin">
        <color rgb="FF0000FF"/>
      </left>
      <right style="hair">
        <color auto="1"/>
      </right>
      <top/>
      <bottom style="hair">
        <color auto="1"/>
      </bottom>
      <diagonal/>
    </border>
    <border>
      <left style="hair">
        <color auto="1"/>
      </left>
      <right style="hair">
        <color auto="1"/>
      </right>
      <top style="hair">
        <color auto="1"/>
      </top>
      <bottom style="thin">
        <color rgb="FF0000FF"/>
      </bottom>
      <diagonal/>
    </border>
    <border>
      <left/>
      <right style="thin">
        <color auto="1"/>
      </right>
      <top/>
      <bottom style="hair">
        <color indexed="64"/>
      </bottom>
      <diagonal/>
    </border>
    <border>
      <left style="hair">
        <color auto="1"/>
      </left>
      <right style="hair">
        <color auto="1"/>
      </right>
      <top style="hair">
        <color auto="1"/>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hair">
        <color auto="1"/>
      </right>
      <top style="thin">
        <color auto="1"/>
      </top>
      <bottom/>
      <diagonal/>
    </border>
    <border>
      <left style="thin">
        <color auto="1"/>
      </left>
      <right style="hair">
        <color auto="1"/>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diagonal/>
    </border>
    <border>
      <left style="double">
        <color auto="1"/>
      </left>
      <right/>
      <top style="thin">
        <color auto="1"/>
      </top>
      <bottom/>
      <diagonal/>
    </border>
    <border>
      <left/>
      <right style="double">
        <color auto="1"/>
      </right>
      <top/>
      <bottom style="thin">
        <color auto="1"/>
      </bottom>
      <diagonal/>
    </border>
    <border>
      <left style="double">
        <color auto="1"/>
      </left>
      <right/>
      <top/>
      <bottom style="thin">
        <color auto="1"/>
      </bottom>
      <diagonal/>
    </border>
    <border>
      <left/>
      <right style="double">
        <color auto="1"/>
      </right>
      <top/>
      <bottom/>
      <diagonal/>
    </border>
    <border>
      <left style="double">
        <color auto="1"/>
      </left>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diagonal/>
    </border>
    <border>
      <left style="dotted">
        <color indexed="64"/>
      </left>
      <right/>
      <top/>
      <bottom style="thin">
        <color indexed="64"/>
      </bottom>
      <diagonal/>
    </border>
    <border>
      <left style="dotted">
        <color indexed="64"/>
      </left>
      <right/>
      <top/>
      <bottom/>
      <diagonal/>
    </border>
    <border>
      <left/>
      <right/>
      <top style="medium">
        <color indexed="64"/>
      </top>
      <bottom style="medium">
        <color indexed="64"/>
      </bottom>
      <diagonal/>
    </border>
    <border>
      <left style="thin">
        <color indexed="64"/>
      </left>
      <right style="hair">
        <color indexed="64"/>
      </right>
      <top style="double">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medium">
        <color indexed="64"/>
      </bottom>
      <diagonal/>
    </border>
    <border>
      <left style="medium">
        <color indexed="64"/>
      </left>
      <right style="thin">
        <color indexed="64"/>
      </right>
      <top style="medium">
        <color indexed="64"/>
      </top>
      <bottom style="double">
        <color indexed="64"/>
      </bottom>
      <diagonal/>
    </border>
    <border>
      <left/>
      <right/>
      <top style="medium">
        <color indexed="64"/>
      </top>
      <bottom/>
      <diagonal/>
    </border>
    <border>
      <left style="thin">
        <color indexed="64"/>
      </left>
      <right style="hair">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tint="-0.24994659260841701"/>
      </bottom>
      <diagonal/>
    </border>
    <border>
      <left/>
      <right/>
      <top/>
      <bottom style="thin">
        <color theme="0" tint="-0.249977111117893"/>
      </bottom>
      <diagonal/>
    </border>
    <border>
      <left style="thin">
        <color indexed="64"/>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right/>
      <top style="mediumDashDot">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diagonal/>
    </border>
    <border>
      <left style="hair">
        <color auto="1"/>
      </left>
      <right style="medium">
        <color indexed="64"/>
      </right>
      <top style="hair">
        <color auto="1"/>
      </top>
      <bottom style="hair">
        <color auto="1"/>
      </bottom>
      <diagonal/>
    </border>
  </borders>
  <cellStyleXfs count="181">
    <xf numFmtId="0" fontId="0" fillId="0" borderId="0">
      <alignment vertical="center"/>
    </xf>
    <xf numFmtId="0" fontId="1" fillId="0" borderId="0">
      <alignment vertical="center"/>
    </xf>
    <xf numFmtId="0" fontId="12" fillId="0" borderId="0" applyNumberFormat="0" applyAlignment="0" applyProtection="0">
      <alignment vertical="center"/>
    </xf>
    <xf numFmtId="0" fontId="3" fillId="0" borderId="0">
      <alignment vertical="center"/>
    </xf>
    <xf numFmtId="0" fontId="5" fillId="0" borderId="0">
      <alignment vertical="center"/>
    </xf>
    <xf numFmtId="0" fontId="10" fillId="2" borderId="0" applyNumberFormat="0" applyAlignment="0" applyProtection="0">
      <alignment vertical="center"/>
    </xf>
    <xf numFmtId="0" fontId="10" fillId="3" borderId="0" applyNumberFormat="0" applyAlignment="0" applyProtection="0">
      <alignment vertical="center"/>
    </xf>
    <xf numFmtId="0" fontId="10" fillId="4" borderId="0" applyNumberFormat="0" applyAlignment="0" applyProtection="0">
      <alignment vertical="center"/>
    </xf>
    <xf numFmtId="0" fontId="10" fillId="5" borderId="0" applyNumberFormat="0" applyAlignment="0" applyProtection="0">
      <alignment vertical="center"/>
    </xf>
    <xf numFmtId="0" fontId="10" fillId="6" borderId="0" applyNumberFormat="0" applyAlignment="0" applyProtection="0">
      <alignment vertical="center"/>
    </xf>
    <xf numFmtId="0" fontId="10" fillId="7" borderId="0" applyNumberFormat="0" applyAlignment="0" applyProtection="0">
      <alignment vertical="center"/>
    </xf>
    <xf numFmtId="0" fontId="10" fillId="8" borderId="0" applyNumberFormat="0" applyAlignment="0" applyProtection="0">
      <alignment vertical="center"/>
    </xf>
    <xf numFmtId="0" fontId="10" fillId="9" borderId="0" applyNumberFormat="0" applyAlignment="0" applyProtection="0">
      <alignment vertical="center"/>
    </xf>
    <xf numFmtId="0" fontId="10" fillId="10" borderId="0" applyNumberFormat="0" applyAlignment="0" applyProtection="0">
      <alignment vertical="center"/>
    </xf>
    <xf numFmtId="0" fontId="10" fillId="5" borderId="0" applyNumberFormat="0" applyAlignment="0" applyProtection="0">
      <alignment vertical="center"/>
    </xf>
    <xf numFmtId="0" fontId="10" fillId="8" borderId="0" applyNumberFormat="0" applyAlignment="0" applyProtection="0">
      <alignment vertical="center"/>
    </xf>
    <xf numFmtId="0" fontId="10" fillId="11" borderId="0" applyNumberFormat="0" applyAlignment="0" applyProtection="0">
      <alignment vertical="center"/>
    </xf>
    <xf numFmtId="0" fontId="13" fillId="12" borderId="0" applyNumberFormat="0" applyAlignment="0" applyProtection="0">
      <alignment vertical="center"/>
    </xf>
    <xf numFmtId="0" fontId="13" fillId="9" borderId="0" applyNumberFormat="0" applyAlignment="0" applyProtection="0">
      <alignment vertical="center"/>
    </xf>
    <xf numFmtId="0" fontId="13" fillId="10" borderId="0" applyNumberFormat="0" applyAlignment="0" applyProtection="0">
      <alignment vertical="center"/>
    </xf>
    <xf numFmtId="0" fontId="13" fillId="13" borderId="0" applyNumberFormat="0" applyAlignment="0" applyProtection="0">
      <alignment vertical="center"/>
    </xf>
    <xf numFmtId="0" fontId="13" fillId="14" borderId="0" applyNumberFormat="0" applyAlignment="0" applyProtection="0">
      <alignment vertical="center"/>
    </xf>
    <xf numFmtId="0" fontId="13" fillId="15" borderId="0" applyNumberFormat="0" applyAlignment="0" applyProtection="0">
      <alignment vertical="center"/>
    </xf>
    <xf numFmtId="0" fontId="13" fillId="16" borderId="0" applyNumberFormat="0" applyAlignment="0" applyProtection="0">
      <alignment vertical="center"/>
    </xf>
    <xf numFmtId="0" fontId="13" fillId="17" borderId="0" applyNumberFormat="0" applyAlignment="0" applyProtection="0">
      <alignment vertical="center"/>
    </xf>
    <xf numFmtId="0" fontId="13" fillId="18" borderId="0" applyNumberFormat="0" applyAlignment="0" applyProtection="0">
      <alignment vertical="center"/>
    </xf>
    <xf numFmtId="0" fontId="13" fillId="13" borderId="0" applyNumberFormat="0" applyAlignment="0" applyProtection="0">
      <alignment vertical="center"/>
    </xf>
    <xf numFmtId="0" fontId="13" fillId="14" borderId="0" applyNumberFormat="0" applyAlignment="0" applyProtection="0">
      <alignment vertical="center"/>
    </xf>
    <xf numFmtId="0" fontId="13" fillId="19" borderId="0" applyNumberFormat="0" applyAlignment="0" applyProtection="0">
      <alignment vertical="center"/>
    </xf>
    <xf numFmtId="0" fontId="14" fillId="0" borderId="0" applyNumberFormat="0" applyAlignment="0" applyProtection="0">
      <alignment vertical="center"/>
    </xf>
    <xf numFmtId="0" fontId="15" fillId="20" borderId="1" applyNumberFormat="0" applyAlignment="0" applyProtection="0">
      <alignment vertical="center"/>
    </xf>
    <xf numFmtId="0" fontId="16" fillId="21" borderId="0" applyNumberFormat="0" applyAlignment="0" applyProtection="0">
      <alignment vertical="center"/>
    </xf>
    <xf numFmtId="9" fontId="3" fillId="0" borderId="0" applyFont="0" applyAlignment="0" applyProtection="0"/>
    <xf numFmtId="0" fontId="10" fillId="22" borderId="2" applyNumberFormat="0" applyFont="0" applyAlignment="0" applyProtection="0">
      <alignment vertical="center"/>
    </xf>
    <xf numFmtId="0" fontId="17" fillId="0" borderId="3" applyNumberFormat="0" applyAlignment="0" applyProtection="0">
      <alignment vertical="center"/>
    </xf>
    <xf numFmtId="0" fontId="18" fillId="3" borderId="0" applyNumberFormat="0" applyAlignment="0" applyProtection="0">
      <alignment vertical="center"/>
    </xf>
    <xf numFmtId="0" fontId="19" fillId="23" borderId="4" applyNumberFormat="0" applyAlignment="0" applyProtection="0">
      <alignment vertical="center"/>
    </xf>
    <xf numFmtId="0" fontId="8" fillId="0" borderId="0" applyNumberFormat="0" applyAlignment="0" applyProtection="0">
      <alignment vertical="center"/>
    </xf>
    <xf numFmtId="38" fontId="3" fillId="0" borderId="0" applyFont="0" applyAlignment="0" applyProtection="0"/>
    <xf numFmtId="0" fontId="20" fillId="0" borderId="5" applyNumberFormat="0" applyAlignment="0" applyProtection="0">
      <alignment vertical="center"/>
    </xf>
    <xf numFmtId="0" fontId="21" fillId="0" borderId="6" applyNumberFormat="0" applyAlignment="0" applyProtection="0">
      <alignment vertical="center"/>
    </xf>
    <xf numFmtId="0" fontId="22" fillId="0" borderId="7" applyNumberFormat="0" applyAlignment="0" applyProtection="0">
      <alignment vertical="center"/>
    </xf>
    <xf numFmtId="0" fontId="22" fillId="0" borderId="0" applyNumberFormat="0" applyAlignment="0" applyProtection="0">
      <alignment vertical="center"/>
    </xf>
    <xf numFmtId="0" fontId="23" fillId="0" borderId="8" applyNumberFormat="0" applyAlignment="0" applyProtection="0">
      <alignment vertical="center"/>
    </xf>
    <xf numFmtId="0" fontId="24" fillId="23" borderId="9" applyNumberFormat="0" applyAlignment="0" applyProtection="0">
      <alignment vertical="center"/>
    </xf>
    <xf numFmtId="0" fontId="25" fillId="0" borderId="0" applyNumberFormat="0" applyAlignment="0" applyProtection="0">
      <alignment vertical="center"/>
    </xf>
    <xf numFmtId="6" fontId="5" fillId="0" borderId="0" applyFont="0" applyAlignment="0" applyProtection="0">
      <alignment vertical="center"/>
    </xf>
    <xf numFmtId="6" fontId="3" fillId="0" borderId="0" applyFont="0" applyAlignment="0" applyProtection="0"/>
    <xf numFmtId="0" fontId="26" fillId="7" borderId="4" applyNumberFormat="0" applyAlignment="0" applyProtection="0">
      <alignment vertical="center"/>
    </xf>
    <xf numFmtId="0" fontId="6" fillId="0" borderId="0"/>
    <xf numFmtId="0" fontId="3" fillId="0" borderId="0">
      <alignment vertical="center"/>
    </xf>
    <xf numFmtId="0" fontId="3" fillId="0" borderId="0"/>
    <xf numFmtId="0" fontId="3" fillId="0" borderId="0"/>
    <xf numFmtId="0" fontId="3" fillId="0" borderId="0">
      <alignment vertical="center"/>
    </xf>
    <xf numFmtId="0" fontId="27" fillId="4" borderId="0" applyNumberFormat="0" applyAlignment="0" applyProtection="0">
      <alignment vertical="center"/>
    </xf>
    <xf numFmtId="0" fontId="10" fillId="0" borderId="0">
      <alignment vertical="center"/>
    </xf>
    <xf numFmtId="0" fontId="3" fillId="0" borderId="0">
      <alignment vertical="center"/>
    </xf>
    <xf numFmtId="0" fontId="6" fillId="0" borderId="0"/>
    <xf numFmtId="0" fontId="3" fillId="0" borderId="0"/>
    <xf numFmtId="9" fontId="3" fillId="0" borderId="0" applyFont="0" applyAlignment="0" applyProtection="0"/>
    <xf numFmtId="9" fontId="3" fillId="0" borderId="0" applyFont="0" applyAlignment="0" applyProtection="0">
      <alignment vertical="center"/>
    </xf>
    <xf numFmtId="6" fontId="2" fillId="0" borderId="0" applyFont="0" applyAlignment="0" applyProtection="0">
      <alignment vertical="center"/>
    </xf>
    <xf numFmtId="6" fontId="2" fillId="0" borderId="0" applyFont="0" applyAlignment="0" applyProtection="0">
      <alignment vertical="center"/>
    </xf>
    <xf numFmtId="6" fontId="2" fillId="0" borderId="0" applyFont="0" applyAlignment="0" applyProtection="0">
      <alignment vertical="center"/>
    </xf>
    <xf numFmtId="6" fontId="2" fillId="0" borderId="0" applyFont="0" applyAlignment="0" applyProtection="0">
      <alignment vertical="center"/>
    </xf>
    <xf numFmtId="6" fontId="2" fillId="0" borderId="0" applyFont="0" applyAlignment="0" applyProtection="0">
      <alignment vertical="center"/>
    </xf>
    <xf numFmtId="6" fontId="3" fillId="0" borderId="0" applyFont="0" applyAlignment="0" applyProtection="0"/>
    <xf numFmtId="6" fontId="2" fillId="0" borderId="0" applyFont="0" applyAlignment="0" applyProtection="0">
      <alignment vertical="center"/>
    </xf>
    <xf numFmtId="6" fontId="3" fillId="0" borderId="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6" fillId="0" borderId="0"/>
    <xf numFmtId="0" fontId="3" fillId="0" borderId="0">
      <alignment vertical="center"/>
    </xf>
    <xf numFmtId="0" fontId="3" fillId="0" borderId="0">
      <alignment vertical="center"/>
    </xf>
    <xf numFmtId="0" fontId="3" fillId="0" borderId="0">
      <alignment vertical="center"/>
    </xf>
    <xf numFmtId="0" fontId="10" fillId="0" borderId="0">
      <alignment vertical="center"/>
    </xf>
    <xf numFmtId="0" fontId="6" fillId="0" borderId="0"/>
    <xf numFmtId="0" fontId="5" fillId="0" borderId="0">
      <alignment vertical="center"/>
    </xf>
    <xf numFmtId="0" fontId="3" fillId="0" borderId="0"/>
    <xf numFmtId="0" fontId="3" fillId="0" borderId="0"/>
    <xf numFmtId="9" fontId="29" fillId="0" borderId="0">
      <alignment vertical="center"/>
    </xf>
    <xf numFmtId="0" fontId="1" fillId="0" borderId="0">
      <alignment vertical="center"/>
    </xf>
    <xf numFmtId="0" fontId="1" fillId="0" borderId="0">
      <alignment vertical="center"/>
    </xf>
    <xf numFmtId="0" fontId="30"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7" fillId="0" borderId="0" applyFont="0" applyAlignment="0" applyProtection="0">
      <alignment vertical="center"/>
    </xf>
    <xf numFmtId="0" fontId="3" fillId="0" borderId="0"/>
    <xf numFmtId="0" fontId="3" fillId="0" borderId="0"/>
    <xf numFmtId="0" fontId="3" fillId="0" borderId="0"/>
    <xf numFmtId="0" fontId="3" fillId="0" borderId="0"/>
    <xf numFmtId="0" fontId="3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1"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9" fontId="3" fillId="0" borderId="0">
      <alignment vertical="center"/>
    </xf>
    <xf numFmtId="0" fontId="3" fillId="0" borderId="0">
      <alignment vertical="center"/>
    </xf>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61" fillId="0" borderId="0"/>
    <xf numFmtId="0" fontId="61" fillId="0" borderId="0"/>
    <xf numFmtId="0" fontId="61" fillId="0" borderId="0"/>
    <xf numFmtId="0" fontId="3" fillId="0" borderId="0"/>
    <xf numFmtId="0" fontId="62" fillId="0" borderId="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alignment vertical="center"/>
    </xf>
    <xf numFmtId="0" fontId="62" fillId="0" borderId="0"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45" borderId="0" applyAlignment="0"/>
  </cellStyleXfs>
  <cellXfs count="2192">
    <xf numFmtId="0" fontId="0" fillId="0" borderId="0" xfId="0" applyNumberFormat="1" applyFont="1" applyFill="1" applyBorder="1" applyAlignment="1" applyProtection="1">
      <alignment vertical="center"/>
    </xf>
    <xf numFmtId="0" fontId="4" fillId="24" borderId="10" xfId="0" applyNumberFormat="1" applyFont="1" applyFill="1" applyBorder="1" applyAlignment="1" applyProtection="1">
      <alignment vertical="center" wrapText="1"/>
    </xf>
    <xf numFmtId="0" fontId="4" fillId="25" borderId="10" xfId="0" applyNumberFormat="1" applyFont="1" applyFill="1" applyBorder="1" applyAlignment="1" applyProtection="1">
      <alignment vertical="center" wrapText="1"/>
    </xf>
    <xf numFmtId="49" fontId="0" fillId="0" borderId="0" xfId="0" applyNumberFormat="1" applyFont="1" applyFill="1" applyBorder="1" applyAlignment="1" applyProtection="1">
      <alignment vertical="center"/>
    </xf>
    <xf numFmtId="0" fontId="0" fillId="26" borderId="0" xfId="0" applyNumberFormat="1" applyFont="1" applyFill="1" applyBorder="1" applyAlignment="1" applyProtection="1">
      <alignment vertical="center"/>
    </xf>
    <xf numFmtId="0" fontId="0" fillId="27" borderId="0" xfId="0" applyNumberFormat="1" applyFont="1" applyFill="1" applyBorder="1" applyAlignment="1" applyProtection="1">
      <alignment vertical="center"/>
    </xf>
    <xf numFmtId="0" fontId="0" fillId="28" borderId="0" xfId="0" applyNumberFormat="1" applyFont="1" applyFill="1" applyBorder="1" applyAlignment="1" applyProtection="1">
      <alignment vertical="center"/>
    </xf>
    <xf numFmtId="0" fontId="4" fillId="24" borderId="11" xfId="0" applyNumberFormat="1" applyFont="1" applyFill="1" applyBorder="1" applyAlignment="1" applyProtection="1">
      <alignment vertical="center" wrapText="1"/>
    </xf>
    <xf numFmtId="0" fontId="4" fillId="24" borderId="12" xfId="0" applyNumberFormat="1" applyFont="1" applyFill="1" applyBorder="1" applyAlignment="1" applyProtection="1">
      <alignment vertical="center" wrapText="1"/>
    </xf>
    <xf numFmtId="0" fontId="4" fillId="25" borderId="11" xfId="0" applyNumberFormat="1" applyFont="1" applyFill="1" applyBorder="1" applyAlignment="1" applyProtection="1">
      <alignment vertical="center" wrapText="1"/>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horizontal="left" vertical="center"/>
    </xf>
    <xf numFmtId="0" fontId="1" fillId="0" borderId="0" xfId="1" applyNumberFormat="1" applyFont="1" applyFill="1" applyBorder="1" applyAlignment="1" applyProtection="1">
      <alignment vertical="center"/>
    </xf>
    <xf numFmtId="0" fontId="12" fillId="0" borderId="0" xfId="2" applyNumberFormat="1" applyFont="1" applyFill="1" applyBorder="1" applyAlignment="1" applyProtection="1">
      <alignment vertical="center"/>
    </xf>
    <xf numFmtId="0" fontId="7" fillId="0" borderId="0" xfId="1" applyNumberFormat="1" applyFont="1" applyFill="1" applyBorder="1" applyAlignment="1" applyProtection="1">
      <alignment vertical="center"/>
      <protection locked="0"/>
    </xf>
    <xf numFmtId="0" fontId="12" fillId="0" borderId="0" xfId="2" applyNumberFormat="1" applyFont="1" applyFill="1" applyBorder="1" applyAlignment="1" applyProtection="1">
      <alignment horizontal="center" vertical="center"/>
    </xf>
    <xf numFmtId="0" fontId="0" fillId="0" borderId="0" xfId="1" applyNumberFormat="1" applyFont="1" applyFill="1" applyBorder="1" applyAlignment="1" applyProtection="1">
      <alignment vertical="center"/>
      <protection locked="0"/>
    </xf>
    <xf numFmtId="49" fontId="1" fillId="0" borderId="0" xfId="1" applyNumberFormat="1" applyFont="1" applyFill="1" applyBorder="1" applyAlignment="1" applyProtection="1">
      <alignment vertical="center"/>
    </xf>
    <xf numFmtId="0" fontId="9" fillId="0" borderId="0" xfId="1" applyNumberFormat="1" applyFont="1" applyFill="1" applyBorder="1" applyAlignment="1" applyProtection="1">
      <alignment vertical="center"/>
    </xf>
    <xf numFmtId="0" fontId="1" fillId="0" borderId="0" xfId="1" applyNumberFormat="1" applyFont="1" applyFill="1" applyBorder="1" applyAlignment="1" applyProtection="1">
      <alignment horizontal="center" vertical="center"/>
    </xf>
    <xf numFmtId="0" fontId="4" fillId="0" borderId="13" xfId="3" applyNumberFormat="1" applyFont="1" applyFill="1" applyBorder="1" applyAlignment="1" applyProtection="1">
      <alignment vertical="center"/>
      <protection locked="0"/>
    </xf>
    <xf numFmtId="0" fontId="4" fillId="24" borderId="0" xfId="0" applyNumberFormat="1" applyFont="1" applyFill="1" applyBorder="1" applyAlignment="1" applyProtection="1">
      <alignment vertical="center" wrapText="1"/>
    </xf>
    <xf numFmtId="0" fontId="4" fillId="24" borderId="14" xfId="0" applyNumberFormat="1" applyFont="1" applyFill="1" applyBorder="1" applyAlignment="1" applyProtection="1">
      <alignment vertical="center" wrapText="1"/>
    </xf>
    <xf numFmtId="0" fontId="4" fillId="24" borderId="15" xfId="0" applyNumberFormat="1" applyFont="1" applyFill="1" applyBorder="1" applyAlignment="1" applyProtection="1">
      <alignment vertical="center" wrapText="1"/>
    </xf>
    <xf numFmtId="0" fontId="4" fillId="24" borderId="10" xfId="0" applyNumberFormat="1" applyFont="1" applyFill="1" applyBorder="1" applyAlignment="1" applyProtection="1">
      <alignment vertical="center" shrinkToFit="1"/>
    </xf>
    <xf numFmtId="0" fontId="4" fillId="24" borderId="12" xfId="0" applyNumberFormat="1" applyFont="1" applyFill="1" applyBorder="1" applyAlignment="1" applyProtection="1">
      <alignment vertical="center" shrinkToFit="1"/>
    </xf>
    <xf numFmtId="0" fontId="4" fillId="29" borderId="0" xfId="0" applyNumberFormat="1" applyFont="1" applyFill="1" applyBorder="1" applyAlignment="1" applyProtection="1">
      <alignment vertical="center" wrapText="1"/>
    </xf>
    <xf numFmtId="0" fontId="28"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wrapText="1"/>
    </xf>
    <xf numFmtId="49" fontId="4" fillId="29" borderId="11" xfId="0" applyNumberFormat="1" applyFont="1" applyFill="1" applyBorder="1" applyAlignment="1" applyProtection="1">
      <alignment horizontal="left" vertical="center"/>
    </xf>
    <xf numFmtId="49" fontId="4" fillId="29" borderId="15" xfId="0" applyNumberFormat="1" applyFont="1" applyFill="1" applyBorder="1" applyAlignment="1" applyProtection="1">
      <alignment horizontal="left" vertical="center"/>
    </xf>
    <xf numFmtId="49" fontId="4" fillId="29" borderId="11" xfId="0" applyNumberFormat="1" applyFont="1" applyFill="1" applyBorder="1" applyAlignment="1" applyProtection="1">
      <alignment horizontal="left" vertical="top"/>
    </xf>
    <xf numFmtId="49" fontId="4" fillId="29" borderId="16" xfId="0" applyNumberFormat="1" applyFont="1" applyFill="1" applyBorder="1" applyAlignment="1" applyProtection="1">
      <alignment horizontal="left" vertical="center"/>
    </xf>
    <xf numFmtId="49" fontId="4" fillId="29" borderId="17" xfId="0" applyNumberFormat="1" applyFont="1" applyFill="1" applyBorder="1" applyAlignment="1" applyProtection="1">
      <alignment horizontal="left" vertical="center"/>
    </xf>
    <xf numFmtId="0" fontId="4" fillId="29" borderId="18" xfId="0" applyNumberFormat="1" applyFont="1" applyFill="1" applyBorder="1" applyAlignment="1" applyProtection="1">
      <alignment vertical="center"/>
    </xf>
    <xf numFmtId="0" fontId="4" fillId="24" borderId="18" xfId="0" applyNumberFormat="1" applyFont="1" applyFill="1" applyBorder="1" applyAlignment="1" applyProtection="1">
      <alignment vertical="center" wrapText="1"/>
    </xf>
    <xf numFmtId="0" fontId="4" fillId="29" borderId="0" xfId="0" applyNumberFormat="1" applyFont="1" applyFill="1" applyBorder="1" applyAlignment="1" applyProtection="1">
      <alignment vertical="center"/>
    </xf>
    <xf numFmtId="0" fontId="4" fillId="24" borderId="16" xfId="0" applyNumberFormat="1" applyFont="1" applyFill="1" applyBorder="1" applyAlignment="1" applyProtection="1">
      <alignment vertical="center" wrapText="1"/>
    </xf>
    <xf numFmtId="0" fontId="4" fillId="29" borderId="10" xfId="0" applyNumberFormat="1" applyFont="1" applyFill="1" applyBorder="1" applyAlignment="1" applyProtection="1">
      <alignment vertical="center" wrapText="1"/>
    </xf>
    <xf numFmtId="0" fontId="4" fillId="29" borderId="14" xfId="0" applyNumberFormat="1" applyFont="1" applyFill="1" applyBorder="1" applyAlignment="1" applyProtection="1">
      <alignment vertical="center" wrapText="1"/>
    </xf>
    <xf numFmtId="0" fontId="4" fillId="29" borderId="10" xfId="0" applyNumberFormat="1" applyFont="1" applyFill="1" applyBorder="1" applyAlignment="1" applyProtection="1">
      <alignment vertical="center"/>
    </xf>
    <xf numFmtId="0" fontId="4" fillId="29" borderId="14" xfId="0" applyNumberFormat="1" applyFont="1" applyFill="1" applyBorder="1" applyAlignment="1" applyProtection="1">
      <alignment vertical="center"/>
    </xf>
    <xf numFmtId="0" fontId="4" fillId="29" borderId="11" xfId="0" applyNumberFormat="1" applyFont="1" applyFill="1" applyBorder="1" applyAlignment="1" applyProtection="1">
      <alignment vertical="center"/>
    </xf>
    <xf numFmtId="0" fontId="4" fillId="29" borderId="12" xfId="0" applyNumberFormat="1" applyFont="1" applyFill="1" applyBorder="1" applyAlignment="1" applyProtection="1">
      <alignment vertical="center"/>
    </xf>
    <xf numFmtId="0" fontId="4" fillId="30" borderId="10" xfId="0" applyNumberFormat="1" applyFont="1" applyFill="1" applyBorder="1" applyAlignment="1" applyProtection="1">
      <alignment vertical="center" wrapText="1"/>
    </xf>
    <xf numFmtId="0" fontId="4" fillId="30" borderId="14" xfId="0" applyNumberFormat="1" applyFont="1" applyFill="1" applyBorder="1" applyAlignment="1" applyProtection="1">
      <alignment vertical="center" wrapText="1"/>
    </xf>
    <xf numFmtId="0" fontId="4" fillId="30" borderId="18" xfId="0" applyNumberFormat="1" applyFont="1" applyFill="1" applyBorder="1" applyAlignment="1" applyProtection="1">
      <alignment vertical="center" wrapText="1"/>
    </xf>
    <xf numFmtId="0" fontId="4" fillId="30" borderId="19" xfId="0" applyNumberFormat="1" applyFont="1" applyFill="1" applyBorder="1" applyAlignment="1" applyProtection="1">
      <alignment vertical="center" wrapText="1"/>
    </xf>
    <xf numFmtId="0" fontId="4" fillId="30" borderId="2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left" vertical="center" wrapText="1"/>
    </xf>
    <xf numFmtId="0" fontId="4" fillId="29" borderId="21" xfId="0" applyNumberFormat="1" applyFont="1" applyFill="1" applyBorder="1" applyAlignment="1" applyProtection="1">
      <alignment vertical="center" wrapText="1"/>
    </xf>
    <xf numFmtId="0" fontId="4" fillId="30" borderId="17" xfId="0" applyNumberFormat="1" applyFont="1" applyFill="1" applyBorder="1" applyAlignment="1" applyProtection="1">
      <alignment vertical="center" wrapText="1"/>
    </xf>
    <xf numFmtId="0" fontId="4" fillId="24" borderId="0" xfId="0" applyNumberFormat="1" applyFont="1" applyFill="1" applyBorder="1" applyAlignment="1" applyProtection="1">
      <alignment vertical="center"/>
    </xf>
    <xf numFmtId="0" fontId="4" fillId="30" borderId="11" xfId="0" applyNumberFormat="1" applyFont="1" applyFill="1" applyBorder="1" applyAlignment="1" applyProtection="1">
      <alignment vertical="center"/>
    </xf>
    <xf numFmtId="0" fontId="4" fillId="30" borderId="12" xfId="0" applyNumberFormat="1" applyFont="1" applyFill="1" applyBorder="1" applyAlignment="1" applyProtection="1">
      <alignment vertical="center"/>
    </xf>
    <xf numFmtId="0" fontId="4" fillId="29" borderId="22" xfId="0" applyNumberFormat="1" applyFont="1" applyFill="1" applyBorder="1" applyAlignment="1" applyProtection="1">
      <alignment vertical="center"/>
    </xf>
    <xf numFmtId="0" fontId="4" fillId="30" borderId="16" xfId="0" applyNumberFormat="1" applyFont="1" applyFill="1" applyBorder="1" applyAlignment="1" applyProtection="1">
      <alignment horizontal="left" vertical="center"/>
    </xf>
    <xf numFmtId="0" fontId="5" fillId="31" borderId="0" xfId="0" applyNumberFormat="1" applyFont="1" applyFill="1" applyBorder="1" applyAlignment="1" applyProtection="1">
      <alignment horizontal="left" vertical="center"/>
    </xf>
    <xf numFmtId="0" fontId="4" fillId="29" borderId="15" xfId="0" applyNumberFormat="1" applyFont="1" applyFill="1" applyBorder="1" applyAlignment="1" applyProtection="1">
      <alignment vertical="center"/>
    </xf>
    <xf numFmtId="0" fontId="4" fillId="24" borderId="23" xfId="0" applyNumberFormat="1" applyFont="1" applyFill="1" applyBorder="1" applyAlignment="1" applyProtection="1">
      <alignment vertical="center" wrapText="1"/>
    </xf>
    <xf numFmtId="0" fontId="4" fillId="24" borderId="24" xfId="0" applyNumberFormat="1" applyFont="1" applyFill="1" applyBorder="1" applyAlignment="1" applyProtection="1">
      <alignment vertical="center" wrapText="1"/>
    </xf>
    <xf numFmtId="0" fontId="4" fillId="24" borderId="17" xfId="0" applyNumberFormat="1" applyFont="1" applyFill="1" applyBorder="1" applyAlignment="1" applyProtection="1">
      <alignment vertical="center" wrapText="1"/>
    </xf>
    <xf numFmtId="0" fontId="4" fillId="24" borderId="25" xfId="0" applyNumberFormat="1" applyFont="1" applyFill="1" applyBorder="1" applyAlignment="1" applyProtection="1">
      <alignment vertical="center" wrapText="1"/>
    </xf>
    <xf numFmtId="0" fontId="4" fillId="24" borderId="26" xfId="0" applyNumberFormat="1" applyFont="1" applyFill="1" applyBorder="1" applyAlignment="1" applyProtection="1">
      <alignment vertical="center" wrapText="1"/>
    </xf>
    <xf numFmtId="0" fontId="4" fillId="24" borderId="27" xfId="0" applyNumberFormat="1" applyFont="1" applyFill="1" applyBorder="1" applyAlignment="1" applyProtection="1">
      <alignment vertical="center" wrapText="1"/>
    </xf>
    <xf numFmtId="49" fontId="4" fillId="29" borderId="26" xfId="0" applyNumberFormat="1" applyFont="1" applyFill="1" applyBorder="1" applyAlignment="1" applyProtection="1">
      <alignment vertical="center"/>
    </xf>
    <xf numFmtId="0" fontId="4" fillId="29" borderId="26" xfId="0" applyNumberFormat="1" applyFont="1" applyFill="1" applyBorder="1" applyAlignment="1" applyProtection="1">
      <alignment vertical="center"/>
    </xf>
    <xf numFmtId="0" fontId="4" fillId="29" borderId="27" xfId="0" applyNumberFormat="1" applyFont="1" applyFill="1" applyBorder="1" applyAlignment="1" applyProtection="1">
      <alignment vertical="center"/>
    </xf>
    <xf numFmtId="0" fontId="4" fillId="30" borderId="26" xfId="0" applyNumberFormat="1" applyFont="1" applyFill="1" applyBorder="1" applyAlignment="1" applyProtection="1">
      <alignment vertical="center" wrapText="1"/>
    </xf>
    <xf numFmtId="0" fontId="4" fillId="29" borderId="26" xfId="0" applyNumberFormat="1" applyFont="1" applyFill="1" applyBorder="1" applyAlignment="1" applyProtection="1">
      <alignment vertical="center" wrapText="1"/>
    </xf>
    <xf numFmtId="49" fontId="4" fillId="29" borderId="26" xfId="0" applyNumberFormat="1" applyFont="1" applyFill="1" applyBorder="1" applyAlignment="1" applyProtection="1">
      <alignment horizontal="left" vertical="top"/>
    </xf>
    <xf numFmtId="49" fontId="4" fillId="29" borderId="26" xfId="0" applyNumberFormat="1" applyFont="1" applyFill="1" applyBorder="1" applyAlignment="1" applyProtection="1">
      <alignment horizontal="left" vertical="center"/>
    </xf>
    <xf numFmtId="0" fontId="28" fillId="29" borderId="27" xfId="0" applyNumberFormat="1" applyFont="1" applyFill="1" applyBorder="1" applyAlignment="1" applyProtection="1">
      <alignment vertical="center"/>
    </xf>
    <xf numFmtId="0" fontId="4" fillId="29" borderId="28" xfId="0" applyNumberFormat="1" applyFont="1" applyFill="1" applyBorder="1" applyAlignment="1" applyProtection="1">
      <alignment vertical="center"/>
    </xf>
    <xf numFmtId="0" fontId="4" fillId="24" borderId="26" xfId="0" applyNumberFormat="1" applyFont="1" applyFill="1" applyBorder="1" applyAlignment="1" applyProtection="1">
      <alignment vertical="center" shrinkToFit="1"/>
    </xf>
    <xf numFmtId="0" fontId="4" fillId="29" borderId="11" xfId="0" applyNumberFormat="1" applyFont="1" applyFill="1" applyBorder="1" applyAlignment="1" applyProtection="1">
      <alignment vertical="center" wrapText="1"/>
    </xf>
    <xf numFmtId="0" fontId="4" fillId="29" borderId="12" xfId="0" applyNumberFormat="1" applyFont="1" applyFill="1" applyBorder="1" applyAlignment="1" applyProtection="1">
      <alignment vertical="center" wrapText="1"/>
    </xf>
    <xf numFmtId="0" fontId="4" fillId="29" borderId="27" xfId="0" applyNumberFormat="1" applyFont="1" applyFill="1" applyBorder="1" applyAlignment="1" applyProtection="1">
      <alignment vertical="center" wrapText="1"/>
    </xf>
    <xf numFmtId="0" fontId="4" fillId="24" borderId="29" xfId="0" applyNumberFormat="1" applyFont="1" applyFill="1" applyBorder="1" applyAlignment="1" applyProtection="1">
      <alignment vertical="center" wrapText="1"/>
    </xf>
    <xf numFmtId="0" fontId="4" fillId="24" borderId="10" xfId="0" applyNumberFormat="1" applyFont="1" applyFill="1" applyBorder="1" applyAlignment="1" applyProtection="1">
      <alignment vertical="center"/>
    </xf>
    <xf numFmtId="0" fontId="4" fillId="29" borderId="23" xfId="0" applyNumberFormat="1" applyFont="1" applyFill="1" applyBorder="1" applyAlignment="1" applyProtection="1">
      <alignment vertical="center"/>
    </xf>
    <xf numFmtId="49" fontId="4" fillId="24" borderId="11" xfId="0" applyNumberFormat="1" applyFont="1" applyFill="1" applyBorder="1" applyAlignment="1" applyProtection="1">
      <alignment vertical="center"/>
    </xf>
    <xf numFmtId="49" fontId="4" fillId="24" borderId="11" xfId="0" applyNumberFormat="1" applyFont="1" applyFill="1" applyBorder="1" applyAlignment="1" applyProtection="1">
      <alignment vertical="center" shrinkToFit="1"/>
    </xf>
    <xf numFmtId="49" fontId="4" fillId="24" borderId="12" xfId="0" applyNumberFormat="1" applyFont="1" applyFill="1" applyBorder="1" applyAlignment="1" applyProtection="1">
      <alignment vertical="center" shrinkToFit="1"/>
    </xf>
    <xf numFmtId="49" fontId="4" fillId="24" borderId="16" xfId="0" applyNumberFormat="1" applyFont="1" applyFill="1" applyBorder="1" applyAlignment="1" applyProtection="1">
      <alignment vertical="center"/>
    </xf>
    <xf numFmtId="49" fontId="4" fillId="24" borderId="25" xfId="0" applyNumberFormat="1" applyFont="1" applyFill="1" applyBorder="1" applyAlignment="1" applyProtection="1">
      <alignment vertical="center" shrinkToFit="1"/>
    </xf>
    <xf numFmtId="49" fontId="4" fillId="24" borderId="29" xfId="0" applyNumberFormat="1" applyFont="1" applyFill="1" applyBorder="1" applyAlignment="1" applyProtection="1">
      <alignment vertical="center" shrinkToFit="1"/>
    </xf>
    <xf numFmtId="49" fontId="4" fillId="24" borderId="30" xfId="0" applyNumberFormat="1" applyFont="1" applyFill="1" applyBorder="1" applyAlignment="1" applyProtection="1">
      <alignment vertical="center" shrinkToFit="1"/>
    </xf>
    <xf numFmtId="0" fontId="4" fillId="24" borderId="14" xfId="0" applyNumberFormat="1" applyFont="1" applyFill="1" applyBorder="1" applyAlignment="1" applyProtection="1">
      <alignment vertical="center" shrinkToFit="1"/>
    </xf>
    <xf numFmtId="0" fontId="4" fillId="24" borderId="22" xfId="0" applyNumberFormat="1" applyFont="1" applyFill="1" applyBorder="1" applyAlignment="1" applyProtection="1">
      <alignment vertical="center" shrinkToFit="1"/>
    </xf>
    <xf numFmtId="0" fontId="4" fillId="29" borderId="10" xfId="0" applyNumberFormat="1" applyFont="1" applyFill="1" applyBorder="1" applyAlignment="1" applyProtection="1">
      <alignment vertical="center" shrinkToFit="1"/>
    </xf>
    <xf numFmtId="0" fontId="4" fillId="29" borderId="14" xfId="0" applyNumberFormat="1" applyFont="1" applyFill="1" applyBorder="1" applyAlignment="1" applyProtection="1">
      <alignment vertical="center" shrinkToFit="1"/>
    </xf>
    <xf numFmtId="176" fontId="4" fillId="0" borderId="0" xfId="0" applyNumberFormat="1" applyFont="1" applyFill="1" applyBorder="1" applyAlignment="1" applyProtection="1">
      <alignment horizontal="left" vertical="center"/>
    </xf>
    <xf numFmtId="0" fontId="7" fillId="29" borderId="24" xfId="1" applyNumberFormat="1" applyFont="1" applyFill="1" applyBorder="1" applyAlignment="1" applyProtection="1">
      <alignment vertical="center"/>
      <protection locked="0"/>
    </xf>
    <xf numFmtId="0" fontId="7" fillId="29" borderId="0" xfId="1" applyNumberFormat="1" applyFont="1" applyFill="1" applyBorder="1" applyAlignment="1" applyProtection="1">
      <alignment vertical="center"/>
      <protection locked="0"/>
    </xf>
    <xf numFmtId="0" fontId="7" fillId="29" borderId="11" xfId="1" applyNumberFormat="1" applyFont="1" applyFill="1" applyBorder="1" applyAlignment="1" applyProtection="1">
      <alignment vertical="center"/>
      <protection locked="0"/>
    </xf>
    <xf numFmtId="0" fontId="4" fillId="29" borderId="31" xfId="0" applyNumberFormat="1" applyFont="1" applyFill="1" applyBorder="1" applyAlignment="1" applyProtection="1">
      <alignment vertical="center"/>
    </xf>
    <xf numFmtId="49" fontId="4" fillId="0" borderId="0" xfId="0" applyNumberFormat="1" applyFont="1" applyFill="1" applyBorder="1" applyAlignment="1" applyProtection="1">
      <alignment vertical="center"/>
    </xf>
    <xf numFmtId="0" fontId="4" fillId="29" borderId="32" xfId="0" applyNumberFormat="1" applyFont="1" applyFill="1" applyBorder="1" applyAlignment="1" applyProtection="1">
      <alignment vertical="center"/>
    </xf>
    <xf numFmtId="177" fontId="4" fillId="0" borderId="0" xfId="0" applyNumberFormat="1" applyFont="1" applyFill="1" applyBorder="1" applyAlignment="1" applyProtection="1">
      <alignment vertical="center"/>
    </xf>
    <xf numFmtId="177" fontId="4" fillId="0" borderId="0" xfId="0" applyNumberFormat="1" applyFont="1" applyFill="1" applyBorder="1" applyAlignment="1" applyProtection="1">
      <alignment horizontal="left" vertical="center"/>
    </xf>
    <xf numFmtId="0" fontId="4" fillId="29" borderId="24" xfId="0" applyNumberFormat="1" applyFont="1" applyFill="1" applyBorder="1" applyAlignment="1" applyProtection="1">
      <alignment vertical="center"/>
    </xf>
    <xf numFmtId="0" fontId="4" fillId="29" borderId="17" xfId="0" applyNumberFormat="1" applyFont="1" applyFill="1" applyBorder="1" applyAlignment="1" applyProtection="1">
      <alignment vertical="center"/>
    </xf>
    <xf numFmtId="0" fontId="4" fillId="30" borderId="14" xfId="0" applyNumberFormat="1" applyFont="1" applyFill="1" applyBorder="1" applyAlignment="1" applyProtection="1">
      <alignment vertical="center"/>
    </xf>
    <xf numFmtId="0" fontId="4" fillId="30" borderId="11" xfId="0" applyNumberFormat="1" applyFont="1" applyFill="1" applyBorder="1" applyAlignment="1" applyProtection="1">
      <alignment vertical="center" wrapText="1"/>
    </xf>
    <xf numFmtId="0" fontId="4" fillId="30" borderId="26" xfId="0" applyNumberFormat="1" applyFont="1" applyFill="1" applyBorder="1" applyAlignment="1" applyProtection="1">
      <alignment vertical="center"/>
    </xf>
    <xf numFmtId="0" fontId="4" fillId="30" borderId="27" xfId="0" applyNumberFormat="1" applyFont="1" applyFill="1" applyBorder="1" applyAlignment="1" applyProtection="1">
      <alignment vertical="center" wrapText="1"/>
    </xf>
    <xf numFmtId="0" fontId="4" fillId="29" borderId="26" xfId="0" applyNumberFormat="1" applyFont="1" applyFill="1" applyBorder="1" applyAlignment="1" applyProtection="1">
      <alignment horizontal="left" vertical="center"/>
    </xf>
    <xf numFmtId="0" fontId="4" fillId="30" borderId="0" xfId="0" applyNumberFormat="1" applyFont="1" applyFill="1" applyBorder="1" applyAlignment="1" applyProtection="1">
      <alignment vertical="center"/>
    </xf>
    <xf numFmtId="0" fontId="4" fillId="30" borderId="12" xfId="0" applyNumberFormat="1" applyFont="1" applyFill="1" applyBorder="1" applyAlignment="1" applyProtection="1">
      <alignment vertical="center" wrapText="1"/>
    </xf>
    <xf numFmtId="0" fontId="4" fillId="24" borderId="22"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center" vertical="center"/>
    </xf>
    <xf numFmtId="0" fontId="4" fillId="0" borderId="33" xfId="0" applyNumberFormat="1" applyFont="1" applyFill="1" applyBorder="1" applyAlignment="1" applyProtection="1">
      <alignment horizontal="left" vertical="center"/>
    </xf>
    <xf numFmtId="0" fontId="4" fillId="0" borderId="34" xfId="0" applyNumberFormat="1" applyFont="1" applyFill="1" applyBorder="1" applyAlignment="1" applyProtection="1">
      <alignment horizontal="left" vertical="center"/>
    </xf>
    <xf numFmtId="0" fontId="4" fillId="0" borderId="35" xfId="0" applyNumberFormat="1" applyFont="1" applyFill="1" applyBorder="1" applyAlignment="1" applyProtection="1">
      <alignment vertical="center"/>
    </xf>
    <xf numFmtId="0" fontId="4" fillId="32" borderId="36" xfId="0" applyNumberFormat="1" applyFont="1" applyFill="1" applyBorder="1" applyAlignment="1" applyProtection="1">
      <alignment horizontal="left" vertical="center" wrapText="1"/>
    </xf>
    <xf numFmtId="0" fontId="4" fillId="0" borderId="37" xfId="0" applyNumberFormat="1" applyFont="1" applyFill="1" applyBorder="1" applyAlignment="1" applyProtection="1">
      <alignment horizontal="left" vertical="center" wrapText="1"/>
    </xf>
    <xf numFmtId="0" fontId="4" fillId="0" borderId="38" xfId="0" applyNumberFormat="1" applyFont="1" applyFill="1" applyBorder="1" applyAlignment="1" applyProtection="1">
      <alignment horizontal="left" vertical="center" wrapText="1"/>
    </xf>
    <xf numFmtId="0" fontId="4" fillId="0" borderId="39" xfId="0" applyNumberFormat="1" applyFont="1" applyFill="1" applyBorder="1" applyAlignment="1" applyProtection="1">
      <alignment horizontal="left" vertical="center" wrapText="1"/>
    </xf>
    <xf numFmtId="0" fontId="4" fillId="0" borderId="40" xfId="0" applyNumberFormat="1" applyFont="1" applyFill="1" applyBorder="1" applyAlignment="1" applyProtection="1">
      <alignment horizontal="left" vertical="center"/>
    </xf>
    <xf numFmtId="0" fontId="4" fillId="0" borderId="35" xfId="0" applyNumberFormat="1" applyFont="1" applyFill="1" applyBorder="1" applyAlignment="1" applyProtection="1">
      <alignment horizontal="left" vertical="center"/>
    </xf>
    <xf numFmtId="0" fontId="4" fillId="0" borderId="37" xfId="0" applyNumberFormat="1" applyFont="1" applyFill="1" applyBorder="1" applyAlignment="1" applyProtection="1">
      <alignment vertical="center"/>
    </xf>
    <xf numFmtId="0" fontId="4" fillId="0" borderId="38" xfId="0" applyNumberFormat="1" applyFont="1" applyFill="1" applyBorder="1" applyAlignment="1" applyProtection="1">
      <alignment vertical="center"/>
    </xf>
    <xf numFmtId="0" fontId="4" fillId="0" borderId="39" xfId="0" applyNumberFormat="1" applyFont="1" applyFill="1" applyBorder="1" applyAlignment="1" applyProtection="1">
      <alignment vertical="center"/>
    </xf>
    <xf numFmtId="0" fontId="4" fillId="30" borderId="12" xfId="0" applyNumberFormat="1" applyFont="1" applyFill="1" applyBorder="1" applyAlignment="1" applyProtection="1">
      <alignment vertical="center"/>
    </xf>
    <xf numFmtId="0" fontId="4" fillId="30" borderId="27" xfId="0" applyNumberFormat="1" applyFont="1" applyFill="1" applyBorder="1" applyAlignment="1" applyProtection="1">
      <alignment vertical="center" wrapText="1"/>
    </xf>
    <xf numFmtId="0" fontId="4" fillId="0" borderId="21" xfId="0" applyNumberFormat="1" applyFont="1" applyFill="1" applyBorder="1" applyAlignment="1" applyProtection="1">
      <alignment vertical="center" wrapText="1"/>
    </xf>
    <xf numFmtId="0" fontId="4" fillId="0" borderId="32" xfId="0" applyNumberFormat="1" applyFont="1" applyFill="1" applyBorder="1" applyAlignment="1" applyProtection="1">
      <alignment vertical="center" wrapText="1"/>
    </xf>
    <xf numFmtId="0" fontId="4" fillId="29" borderId="12" xfId="0" applyNumberFormat="1" applyFont="1" applyFill="1" applyBorder="1" applyAlignment="1" applyProtection="1">
      <alignment vertical="center" wrapText="1"/>
    </xf>
    <xf numFmtId="0" fontId="4" fillId="29" borderId="26" xfId="0" applyNumberFormat="1" applyFont="1" applyFill="1" applyBorder="1" applyAlignment="1" applyProtection="1">
      <alignment horizontal="left" vertical="center" wrapText="1"/>
    </xf>
    <xf numFmtId="0" fontId="4" fillId="25" borderId="14" xfId="0" applyNumberFormat="1" applyFont="1" applyFill="1" applyBorder="1" applyAlignment="1" applyProtection="1">
      <alignment horizontal="right" vertical="center" wrapText="1"/>
    </xf>
    <xf numFmtId="0" fontId="4" fillId="25" borderId="26" xfId="0" applyNumberFormat="1" applyFont="1" applyFill="1" applyBorder="1" applyAlignment="1" applyProtection="1">
      <alignment horizontal="left" vertical="center" wrapText="1"/>
    </xf>
    <xf numFmtId="0" fontId="4" fillId="29" borderId="27" xfId="0" applyNumberFormat="1" applyFont="1" applyFill="1" applyBorder="1" applyAlignment="1" applyProtection="1">
      <alignment horizontal="left" vertical="center" wrapText="1"/>
    </xf>
    <xf numFmtId="0" fontId="4" fillId="24" borderId="15" xfId="0" applyNumberFormat="1" applyFont="1" applyFill="1" applyBorder="1" applyAlignment="1" applyProtection="1">
      <alignment vertical="center" wrapText="1"/>
    </xf>
    <xf numFmtId="0" fontId="4" fillId="24" borderId="12" xfId="0" applyNumberFormat="1" applyFont="1" applyFill="1" applyBorder="1" applyAlignment="1" applyProtection="1">
      <alignment vertical="center" wrapText="1"/>
    </xf>
    <xf numFmtId="0" fontId="4" fillId="24" borderId="17" xfId="0" applyNumberFormat="1" applyFont="1" applyFill="1" applyBorder="1" applyAlignment="1" applyProtection="1">
      <alignment vertical="center" wrapText="1"/>
    </xf>
    <xf numFmtId="0" fontId="4" fillId="24" borderId="27" xfId="0" applyNumberFormat="1" applyFont="1" applyFill="1" applyBorder="1" applyAlignment="1" applyProtection="1">
      <alignment vertical="center" wrapText="1"/>
    </xf>
    <xf numFmtId="0" fontId="4" fillId="24" borderId="15" xfId="0" applyNumberFormat="1" applyFont="1" applyFill="1" applyBorder="1" applyAlignment="1" applyProtection="1">
      <alignment vertical="center" shrinkToFit="1"/>
    </xf>
    <xf numFmtId="0" fontId="4" fillId="24" borderId="17" xfId="0" applyNumberFormat="1" applyFont="1" applyFill="1" applyBorder="1" applyAlignment="1" applyProtection="1">
      <alignment vertical="center" shrinkToFit="1"/>
    </xf>
    <xf numFmtId="0" fontId="4" fillId="24" borderId="18" xfId="0" applyNumberFormat="1" applyFont="1" applyFill="1" applyBorder="1" applyAlignment="1" applyProtection="1">
      <alignment vertical="center" shrinkToFit="1"/>
    </xf>
    <xf numFmtId="49" fontId="4" fillId="24" borderId="25" xfId="0" applyNumberFormat="1" applyFont="1" applyFill="1" applyBorder="1" applyAlignment="1" applyProtection="1">
      <alignment vertical="center"/>
    </xf>
    <xf numFmtId="0" fontId="4" fillId="29" borderId="18" xfId="0" applyNumberFormat="1" applyFont="1" applyFill="1" applyBorder="1" applyAlignment="1" applyProtection="1">
      <alignment vertical="center" wrapText="1"/>
    </xf>
    <xf numFmtId="49" fontId="4" fillId="29" borderId="18" xfId="0" applyNumberFormat="1" applyFont="1" applyFill="1" applyBorder="1" applyAlignment="1" applyProtection="1">
      <alignment vertical="center" wrapText="1"/>
    </xf>
    <xf numFmtId="0" fontId="4" fillId="24" borderId="18" xfId="0" applyNumberFormat="1" applyFont="1" applyFill="1" applyBorder="1" applyAlignment="1" applyProtection="1">
      <alignment vertical="center" wrapText="1"/>
    </xf>
    <xf numFmtId="0" fontId="4" fillId="29" borderId="20" xfId="0" applyNumberFormat="1" applyFont="1" applyFill="1" applyBorder="1" applyAlignment="1" applyProtection="1">
      <alignment vertical="center" wrapText="1"/>
    </xf>
    <xf numFmtId="0" fontId="4" fillId="29" borderId="0" xfId="0" applyNumberFormat="1" applyFont="1" applyFill="1" applyBorder="1" applyAlignment="1" applyProtection="1">
      <alignment horizontal="left" vertical="center"/>
    </xf>
    <xf numFmtId="0" fontId="4" fillId="29" borderId="15"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49" fontId="4" fillId="32" borderId="10" xfId="0" applyNumberFormat="1" applyFont="1" applyFill="1" applyBorder="1" applyAlignment="1" applyProtection="1">
      <alignment horizontal="left" vertical="center"/>
    </xf>
    <xf numFmtId="0" fontId="4" fillId="32" borderId="14" xfId="0" applyNumberFormat="1" applyFont="1" applyFill="1" applyBorder="1" applyAlignment="1" applyProtection="1">
      <alignment vertical="center"/>
    </xf>
    <xf numFmtId="49" fontId="4" fillId="32" borderId="11" xfId="0" applyNumberFormat="1" applyFont="1" applyFill="1" applyBorder="1" applyAlignment="1" applyProtection="1">
      <alignment horizontal="left" vertical="center"/>
    </xf>
    <xf numFmtId="49" fontId="4" fillId="32" borderId="12" xfId="0" applyNumberFormat="1" applyFont="1" applyFill="1" applyBorder="1" applyAlignment="1" applyProtection="1">
      <alignment horizontal="left" vertical="center"/>
    </xf>
    <xf numFmtId="0" fontId="4" fillId="32" borderId="26" xfId="0" applyNumberFormat="1" applyFont="1" applyFill="1" applyBorder="1" applyAlignment="1" applyProtection="1">
      <alignment vertical="center"/>
    </xf>
    <xf numFmtId="0" fontId="4" fillId="32" borderId="27" xfId="0" applyNumberFormat="1" applyFont="1" applyFill="1" applyBorder="1" applyAlignment="1" applyProtection="1">
      <alignment vertical="center"/>
    </xf>
    <xf numFmtId="0" fontId="4" fillId="33" borderId="23" xfId="0" applyNumberFormat="1" applyFont="1" applyFill="1" applyBorder="1" applyAlignment="1" applyProtection="1">
      <alignment vertical="center"/>
    </xf>
    <xf numFmtId="0" fontId="4" fillId="33" borderId="24" xfId="0" applyNumberFormat="1" applyFont="1" applyFill="1" applyBorder="1" applyAlignment="1" applyProtection="1">
      <alignment vertical="center"/>
    </xf>
    <xf numFmtId="49" fontId="4" fillId="32" borderId="16" xfId="0" applyNumberFormat="1" applyFont="1" applyFill="1" applyBorder="1" applyAlignment="1" applyProtection="1">
      <alignment vertical="center" wrapText="1"/>
    </xf>
    <xf numFmtId="49" fontId="4" fillId="32" borderId="17" xfId="0" applyNumberFormat="1" applyFont="1" applyFill="1" applyBorder="1" applyAlignment="1" applyProtection="1">
      <alignment vertical="center" wrapText="1"/>
    </xf>
    <xf numFmtId="49" fontId="4" fillId="32" borderId="25" xfId="0" applyNumberFormat="1" applyFont="1" applyFill="1" applyBorder="1" applyAlignment="1" applyProtection="1">
      <alignment vertical="center" wrapText="1"/>
    </xf>
    <xf numFmtId="49" fontId="4" fillId="32" borderId="41" xfId="0" applyNumberFormat="1" applyFont="1" applyFill="1" applyBorder="1" applyAlignment="1" applyProtection="1">
      <alignment vertical="center" wrapText="1"/>
    </xf>
    <xf numFmtId="0" fontId="4" fillId="32" borderId="16" xfId="0" applyNumberFormat="1" applyFont="1" applyFill="1" applyBorder="1" applyAlignment="1" applyProtection="1">
      <alignment vertical="center" wrapText="1"/>
    </xf>
    <xf numFmtId="0" fontId="4" fillId="32" borderId="17" xfId="0" applyNumberFormat="1" applyFont="1" applyFill="1" applyBorder="1" applyAlignment="1" applyProtection="1">
      <alignment vertical="center" wrapText="1"/>
    </xf>
    <xf numFmtId="0" fontId="4" fillId="32" borderId="25" xfId="0" applyNumberFormat="1" applyFont="1" applyFill="1" applyBorder="1" applyAlignment="1" applyProtection="1">
      <alignment vertical="center" wrapText="1"/>
    </xf>
    <xf numFmtId="0" fontId="4" fillId="32" borderId="41" xfId="0" applyNumberFormat="1" applyFont="1" applyFill="1" applyBorder="1" applyAlignment="1" applyProtection="1">
      <alignment vertical="center" wrapText="1"/>
    </xf>
    <xf numFmtId="49" fontId="4" fillId="32" borderId="11" xfId="0" applyNumberFormat="1" applyFont="1" applyFill="1" applyBorder="1" applyAlignment="1" applyProtection="1">
      <alignment vertical="center"/>
    </xf>
    <xf numFmtId="49" fontId="4" fillId="32" borderId="15" xfId="0" applyNumberFormat="1" applyFont="1" applyFill="1" applyBorder="1" applyAlignment="1" applyProtection="1">
      <alignment vertical="center" wrapText="1"/>
    </xf>
    <xf numFmtId="0" fontId="4" fillId="32" borderId="12" xfId="0" applyNumberFormat="1" applyFont="1" applyFill="1" applyBorder="1" applyAlignment="1" applyProtection="1">
      <alignment vertical="center" wrapText="1"/>
    </xf>
    <xf numFmtId="0" fontId="4" fillId="29" borderId="12" xfId="0" applyNumberFormat="1" applyFont="1" applyFill="1" applyBorder="1" applyAlignment="1" applyProtection="1">
      <alignment vertical="center"/>
    </xf>
    <xf numFmtId="0" fontId="4" fillId="29" borderId="22" xfId="0" applyNumberFormat="1" applyFont="1" applyFill="1" applyBorder="1" applyAlignment="1" applyProtection="1">
      <alignment vertical="center"/>
    </xf>
    <xf numFmtId="0" fontId="4" fillId="29" borderId="21" xfId="0" applyNumberFormat="1" applyFont="1" applyFill="1" applyBorder="1" applyAlignment="1" applyProtection="1">
      <alignment vertical="center"/>
    </xf>
    <xf numFmtId="0" fontId="4" fillId="29" borderId="16" xfId="0" applyNumberFormat="1" applyFont="1" applyFill="1" applyBorder="1" applyAlignment="1" applyProtection="1">
      <alignment vertical="center"/>
    </xf>
    <xf numFmtId="0" fontId="4" fillId="29" borderId="17" xfId="0" applyNumberFormat="1" applyFont="1" applyFill="1" applyBorder="1" applyAlignment="1" applyProtection="1">
      <alignment vertical="center"/>
    </xf>
    <xf numFmtId="0" fontId="4" fillId="29" borderId="25" xfId="0" applyNumberFormat="1" applyFont="1" applyFill="1" applyBorder="1" applyAlignment="1" applyProtection="1">
      <alignment vertical="center"/>
    </xf>
    <xf numFmtId="49" fontId="4" fillId="29" borderId="10" xfId="0" applyNumberFormat="1" applyFont="1" applyFill="1" applyBorder="1" applyAlignment="1" applyProtection="1">
      <alignment horizontal="left" vertical="center"/>
    </xf>
    <xf numFmtId="0" fontId="4" fillId="29" borderId="12" xfId="0" applyNumberFormat="1" applyFont="1" applyFill="1" applyBorder="1" applyAlignment="1" applyProtection="1">
      <alignment horizontal="left" vertical="center"/>
    </xf>
    <xf numFmtId="0" fontId="4" fillId="29" borderId="14" xfId="0" applyNumberFormat="1" applyFont="1" applyFill="1" applyBorder="1" applyAlignment="1" applyProtection="1">
      <alignment horizontal="left" vertical="center"/>
    </xf>
    <xf numFmtId="0" fontId="4" fillId="29" borderId="27" xfId="0" applyNumberFormat="1" applyFont="1" applyFill="1" applyBorder="1" applyAlignment="1" applyProtection="1">
      <alignment vertical="center"/>
    </xf>
    <xf numFmtId="49" fontId="4" fillId="29" borderId="23" xfId="0" applyNumberFormat="1" applyFont="1" applyFill="1" applyBorder="1" applyAlignment="1" applyProtection="1">
      <alignment vertical="center"/>
    </xf>
    <xf numFmtId="0" fontId="4" fillId="32" borderId="18" xfId="0" applyNumberFormat="1" applyFont="1" applyFill="1" applyBorder="1" applyAlignment="1" applyProtection="1">
      <alignment vertical="center"/>
    </xf>
    <xf numFmtId="0" fontId="4" fillId="0" borderId="42" xfId="0" applyNumberFormat="1" applyFont="1" applyFill="1" applyBorder="1" applyAlignment="1" applyProtection="1">
      <alignment vertical="center"/>
    </xf>
    <xf numFmtId="0" fontId="4" fillId="0" borderId="43" xfId="0" applyNumberFormat="1" applyFont="1" applyFill="1" applyBorder="1" applyAlignment="1" applyProtection="1">
      <alignment vertical="center"/>
    </xf>
    <xf numFmtId="0" fontId="4" fillId="0" borderId="44" xfId="0" applyNumberFormat="1" applyFont="1" applyFill="1" applyBorder="1" applyAlignment="1" applyProtection="1">
      <alignment vertical="center"/>
    </xf>
    <xf numFmtId="0" fontId="4" fillId="0" borderId="36" xfId="0" applyNumberFormat="1" applyFont="1" applyFill="1" applyBorder="1" applyAlignment="1" applyProtection="1">
      <alignment horizontal="center" vertical="center"/>
    </xf>
    <xf numFmtId="0" fontId="4" fillId="0" borderId="22" xfId="0" applyNumberFormat="1" applyFont="1" applyFill="1" applyBorder="1" applyAlignment="1" applyProtection="1">
      <alignment vertical="center"/>
    </xf>
    <xf numFmtId="0" fontId="4" fillId="0" borderId="12" xfId="0" applyNumberFormat="1" applyFont="1" applyFill="1" applyBorder="1" applyAlignment="1" applyProtection="1">
      <alignment vertical="center"/>
    </xf>
    <xf numFmtId="0" fontId="4" fillId="29" borderId="27" xfId="0" applyNumberFormat="1" applyFont="1" applyFill="1" applyBorder="1" applyAlignment="1" applyProtection="1">
      <alignment vertical="center"/>
    </xf>
    <xf numFmtId="183" fontId="4" fillId="0" borderId="0" xfId="0" applyNumberFormat="1" applyFont="1" applyFill="1" applyBorder="1" applyAlignment="1" applyProtection="1">
      <alignment vertical="center"/>
    </xf>
    <xf numFmtId="0" fontId="4" fillId="29" borderId="45" xfId="0" applyNumberFormat="1" applyFont="1" applyFill="1" applyBorder="1" applyAlignment="1" applyProtection="1">
      <alignment vertical="center"/>
    </xf>
    <xf numFmtId="49" fontId="4" fillId="29" borderId="16" xfId="0" applyNumberFormat="1" applyFont="1" applyFill="1" applyBorder="1" applyAlignment="1" applyProtection="1">
      <alignment vertical="center"/>
    </xf>
    <xf numFmtId="49" fontId="4" fillId="29" borderId="11" xfId="0" applyNumberFormat="1" applyFont="1" applyFill="1" applyBorder="1" applyAlignment="1" applyProtection="1">
      <alignment vertical="center"/>
    </xf>
    <xf numFmtId="49" fontId="4" fillId="29" borderId="25" xfId="0" applyNumberFormat="1" applyFont="1" applyFill="1" applyBorder="1" applyAlignment="1" applyProtection="1">
      <alignment vertical="center"/>
    </xf>
    <xf numFmtId="49" fontId="4" fillId="29" borderId="12" xfId="0" applyNumberFormat="1" applyFont="1" applyFill="1" applyBorder="1" applyAlignment="1" applyProtection="1">
      <alignment vertical="center"/>
    </xf>
    <xf numFmtId="0" fontId="5" fillId="29" borderId="0" xfId="0" applyNumberFormat="1" applyFont="1" applyFill="1" applyBorder="1" applyAlignment="1" applyProtection="1">
      <alignment vertical="center"/>
    </xf>
    <xf numFmtId="0" fontId="5" fillId="31" borderId="0" xfId="0" applyNumberFormat="1" applyFont="1" applyFill="1" applyBorder="1" applyAlignment="1" applyProtection="1">
      <alignment vertical="center"/>
    </xf>
    <xf numFmtId="49" fontId="4" fillId="24" borderId="12" xfId="0" applyNumberFormat="1" applyFont="1" applyFill="1" applyBorder="1" applyAlignment="1" applyProtection="1">
      <alignment vertical="center" shrinkToFit="1"/>
    </xf>
    <xf numFmtId="184" fontId="4" fillId="0" borderId="0" xfId="0" applyNumberFormat="1" applyFont="1" applyFill="1" applyBorder="1" applyAlignment="1" applyProtection="1">
      <alignment horizontal="center" vertical="center"/>
    </xf>
    <xf numFmtId="0" fontId="4" fillId="30" borderId="18" xfId="0" applyNumberFormat="1" applyFont="1" applyFill="1" applyBorder="1" applyAlignment="1" applyProtection="1">
      <alignment vertical="center" wrapText="1"/>
    </xf>
    <xf numFmtId="178" fontId="4" fillId="0" borderId="0" xfId="0" applyNumberFormat="1" applyFont="1" applyFill="1" applyBorder="1" applyAlignment="1" applyProtection="1">
      <alignment horizontal="left" vertical="center"/>
    </xf>
    <xf numFmtId="49" fontId="4" fillId="30" borderId="11" xfId="0" applyNumberFormat="1" applyFont="1" applyFill="1" applyBorder="1" applyAlignment="1" applyProtection="1">
      <alignment vertical="center" wrapText="1"/>
    </xf>
    <xf numFmtId="0" fontId="4" fillId="0" borderId="0" xfId="1" applyNumberFormat="1" applyFont="1" applyFill="1" applyBorder="1" applyAlignment="1" applyProtection="1">
      <alignment vertical="center"/>
      <protection locked="0"/>
    </xf>
    <xf numFmtId="49" fontId="4" fillId="0" borderId="0" xfId="1" applyNumberFormat="1" applyFont="1" applyFill="1" applyBorder="1" applyAlignment="1" applyProtection="1">
      <alignment vertical="center"/>
      <protection locked="0"/>
    </xf>
    <xf numFmtId="0" fontId="4" fillId="24" borderId="22" xfId="0" applyNumberFormat="1" applyFont="1" applyFill="1" applyBorder="1" applyAlignment="1" applyProtection="1">
      <alignment vertical="center" shrinkToFit="1"/>
    </xf>
    <xf numFmtId="49" fontId="4" fillId="29" borderId="17" xfId="0" applyNumberFormat="1" applyFont="1" applyFill="1" applyBorder="1" applyAlignment="1" applyProtection="1">
      <alignment horizontal="left" vertical="center"/>
    </xf>
    <xf numFmtId="0" fontId="28" fillId="29" borderId="12" xfId="0" applyNumberFormat="1" applyFont="1" applyFill="1" applyBorder="1" applyAlignment="1" applyProtection="1">
      <alignment vertical="center"/>
    </xf>
    <xf numFmtId="0" fontId="4" fillId="33" borderId="11" xfId="0" applyNumberFormat="1" applyFont="1" applyFill="1" applyBorder="1" applyAlignment="1" applyProtection="1">
      <alignment vertical="center" wrapText="1"/>
    </xf>
    <xf numFmtId="0" fontId="4" fillId="33" borderId="15" xfId="0" applyNumberFormat="1" applyFont="1" applyFill="1" applyBorder="1" applyAlignment="1" applyProtection="1">
      <alignment vertical="center" wrapText="1"/>
    </xf>
    <xf numFmtId="0" fontId="4" fillId="0" borderId="11" xfId="0" applyNumberFormat="1" applyFont="1" applyFill="1" applyBorder="1" applyAlignment="1" applyProtection="1">
      <alignment vertical="center" wrapText="1"/>
    </xf>
    <xf numFmtId="0" fontId="4" fillId="0" borderId="15" xfId="0" applyNumberFormat="1" applyFont="1" applyFill="1" applyBorder="1" applyAlignment="1" applyProtection="1">
      <alignment vertical="center" wrapText="1"/>
    </xf>
    <xf numFmtId="0" fontId="0" fillId="0" borderId="0" xfId="0" applyNumberFormat="1" applyFont="1" applyFill="1" applyBorder="1" applyAlignment="1" applyProtection="1">
      <alignment horizontal="left" vertical="center"/>
    </xf>
    <xf numFmtId="0" fontId="4" fillId="29" borderId="11" xfId="0" applyNumberFormat="1" applyFont="1" applyFill="1" applyBorder="1" applyAlignment="1" applyProtection="1">
      <alignment vertical="center" wrapText="1"/>
    </xf>
    <xf numFmtId="0" fontId="4" fillId="29" borderId="15" xfId="0" applyNumberFormat="1" applyFont="1" applyFill="1" applyBorder="1" applyAlignment="1" applyProtection="1">
      <alignment horizontal="left" vertical="center" wrapText="1"/>
    </xf>
    <xf numFmtId="176" fontId="0" fillId="0" borderId="0" xfId="0" applyNumberFormat="1" applyFont="1" applyFill="1" applyBorder="1" applyAlignment="1" applyProtection="1">
      <alignment horizontal="left" vertical="center"/>
    </xf>
    <xf numFmtId="0" fontId="4" fillId="24" borderId="11" xfId="0" applyNumberFormat="1" applyFont="1" applyFill="1" applyBorder="1" applyAlignment="1" applyProtection="1">
      <alignment vertical="center" wrapText="1"/>
    </xf>
    <xf numFmtId="0" fontId="4" fillId="32" borderId="46" xfId="0" applyNumberFormat="1" applyFont="1" applyFill="1" applyBorder="1" applyAlignment="1" applyProtection="1">
      <alignment vertical="center" wrapText="1"/>
    </xf>
    <xf numFmtId="0" fontId="4" fillId="32" borderId="13" xfId="0" applyNumberFormat="1" applyFont="1" applyFill="1" applyBorder="1" applyAlignment="1" applyProtection="1">
      <alignment vertical="center" wrapText="1"/>
    </xf>
    <xf numFmtId="0" fontId="4" fillId="29" borderId="11" xfId="0" applyNumberFormat="1" applyFont="1" applyFill="1" applyBorder="1" applyAlignment="1" applyProtection="1">
      <alignment vertical="center"/>
    </xf>
    <xf numFmtId="0" fontId="4" fillId="29" borderId="13" xfId="0" applyNumberFormat="1" applyFont="1" applyFill="1" applyBorder="1" applyAlignment="1" applyProtection="1">
      <alignment vertical="center"/>
    </xf>
    <xf numFmtId="0" fontId="4" fillId="29" borderId="46" xfId="0" applyNumberFormat="1" applyFont="1" applyFill="1" applyBorder="1" applyAlignment="1" applyProtection="1">
      <alignment vertical="center" wrapText="1"/>
    </xf>
    <xf numFmtId="49" fontId="4" fillId="32" borderId="11" xfId="0" applyNumberFormat="1" applyFont="1" applyFill="1" applyBorder="1" applyAlignment="1" applyProtection="1">
      <alignment vertical="center"/>
    </xf>
    <xf numFmtId="0" fontId="4" fillId="32" borderId="13" xfId="0" applyNumberFormat="1" applyFont="1" applyFill="1" applyBorder="1" applyAlignment="1" applyProtection="1">
      <alignment vertical="center"/>
    </xf>
    <xf numFmtId="0" fontId="4" fillId="32" borderId="32" xfId="0" applyNumberFormat="1" applyFont="1" applyFill="1" applyBorder="1" applyAlignment="1" applyProtection="1">
      <alignment vertical="center" wrapText="1"/>
    </xf>
    <xf numFmtId="0" fontId="4" fillId="29" borderId="47" xfId="0" applyNumberFormat="1" applyFont="1" applyFill="1" applyBorder="1" applyAlignment="1" applyProtection="1">
      <alignment horizontal="left" vertical="center" wrapText="1"/>
    </xf>
    <xf numFmtId="0" fontId="4" fillId="32" borderId="11" xfId="0" applyNumberFormat="1" applyFont="1" applyFill="1" applyBorder="1" applyAlignment="1" applyProtection="1">
      <alignment vertical="center"/>
    </xf>
    <xf numFmtId="0" fontId="4" fillId="32" borderId="15" xfId="0" applyNumberFormat="1" applyFont="1" applyFill="1" applyBorder="1" applyAlignment="1" applyProtection="1">
      <alignment vertical="center" wrapText="1"/>
    </xf>
    <xf numFmtId="49" fontId="4" fillId="29" borderId="11" xfId="0" applyNumberFormat="1" applyFont="1" applyFill="1" applyBorder="1" applyAlignment="1" applyProtection="1">
      <alignment horizontal="left" vertical="center"/>
    </xf>
    <xf numFmtId="0" fontId="4" fillId="32" borderId="11" xfId="0" applyNumberFormat="1" applyFont="1" applyFill="1" applyBorder="1" applyAlignment="1" applyProtection="1">
      <alignment vertical="center" wrapText="1"/>
    </xf>
    <xf numFmtId="181" fontId="4" fillId="29" borderId="0" xfId="0" applyNumberFormat="1" applyFont="1" applyFill="1" applyBorder="1" applyAlignment="1" applyProtection="1">
      <alignment horizontal="left" vertical="center"/>
    </xf>
    <xf numFmtId="49" fontId="4" fillId="29" borderId="0" xfId="0" applyNumberFormat="1" applyFont="1" applyFill="1" applyBorder="1" applyAlignment="1" applyProtection="1">
      <alignment horizontal="left" vertical="center"/>
    </xf>
    <xf numFmtId="49" fontId="4" fillId="29" borderId="0" xfId="0" applyNumberFormat="1" applyFont="1" applyFill="1" applyBorder="1" applyAlignment="1" applyProtection="1">
      <alignment vertical="center"/>
    </xf>
    <xf numFmtId="176" fontId="4" fillId="29" borderId="0" xfId="0" applyNumberFormat="1" applyFont="1" applyFill="1" applyBorder="1" applyAlignment="1" applyProtection="1">
      <alignment horizontal="left" vertical="center"/>
    </xf>
    <xf numFmtId="0" fontId="4" fillId="32" borderId="0" xfId="0" applyNumberFormat="1" applyFont="1" applyFill="1" applyBorder="1" applyAlignment="1" applyProtection="1">
      <alignment horizontal="left" vertical="center"/>
    </xf>
    <xf numFmtId="0" fontId="0" fillId="32" borderId="0" xfId="0" applyNumberFormat="1" applyFont="1" applyFill="1" applyBorder="1" applyAlignment="1" applyProtection="1">
      <alignment horizontal="left" vertical="center"/>
    </xf>
    <xf numFmtId="181" fontId="4" fillId="32" borderId="0" xfId="0" applyNumberFormat="1" applyFont="1" applyFill="1" applyBorder="1" applyAlignment="1" applyProtection="1">
      <alignment horizontal="left" vertical="center"/>
    </xf>
    <xf numFmtId="0" fontId="4" fillId="30" borderId="0" xfId="0" applyNumberFormat="1" applyFont="1" applyFill="1" applyBorder="1" applyAlignment="1" applyProtection="1">
      <alignment horizontal="left" vertical="center"/>
    </xf>
    <xf numFmtId="0" fontId="4" fillId="29" borderId="0" xfId="0" applyNumberFormat="1" applyFont="1" applyFill="1" applyBorder="1" applyAlignment="1" applyProtection="1">
      <alignment horizontal="left" vertical="center" wrapText="1"/>
    </xf>
    <xf numFmtId="49" fontId="4" fillId="30" borderId="0" xfId="0" applyNumberFormat="1" applyFont="1" applyFill="1" applyBorder="1" applyAlignment="1" applyProtection="1">
      <alignment horizontal="left" vertical="center"/>
    </xf>
    <xf numFmtId="49" fontId="4" fillId="29" borderId="0" xfId="1" applyNumberFormat="1" applyFont="1" applyFill="1" applyBorder="1" applyAlignment="1" applyProtection="1">
      <alignment vertical="center"/>
      <protection locked="0"/>
    </xf>
    <xf numFmtId="49" fontId="7" fillId="29" borderId="0" xfId="1" applyNumberFormat="1" applyFont="1" applyFill="1" applyBorder="1" applyAlignment="1" applyProtection="1">
      <alignment vertical="center"/>
      <protection locked="0"/>
    </xf>
    <xf numFmtId="0" fontId="28" fillId="29" borderId="0" xfId="0" applyNumberFormat="1" applyFont="1" applyFill="1" applyBorder="1" applyAlignment="1" applyProtection="1">
      <alignment vertical="center"/>
    </xf>
    <xf numFmtId="0" fontId="4" fillId="29" borderId="0" xfId="1" applyNumberFormat="1" applyFont="1" applyFill="1" applyBorder="1" applyAlignment="1" applyProtection="1">
      <alignment vertical="center"/>
      <protection locked="0"/>
    </xf>
    <xf numFmtId="49" fontId="4" fillId="29" borderId="0" xfId="0" applyNumberFormat="1" applyFont="1" applyFill="1" applyBorder="1" applyAlignment="1" applyProtection="1">
      <alignment horizontal="left" vertical="top"/>
    </xf>
    <xf numFmtId="0" fontId="4" fillId="29" borderId="0" xfId="0" applyNumberFormat="1" applyFont="1" applyFill="1" applyBorder="1" applyAlignment="1" applyProtection="1">
      <alignment horizontal="left" vertical="top"/>
    </xf>
    <xf numFmtId="178" fontId="4" fillId="30" borderId="0" xfId="0" applyNumberFormat="1" applyFont="1" applyFill="1" applyBorder="1" applyAlignment="1" applyProtection="1">
      <alignment horizontal="left" vertical="center"/>
    </xf>
    <xf numFmtId="179" fontId="4" fillId="30" borderId="0" xfId="0" applyNumberFormat="1" applyFont="1" applyFill="1" applyBorder="1" applyAlignment="1" applyProtection="1">
      <alignment horizontal="left" vertical="center"/>
    </xf>
    <xf numFmtId="178" fontId="4" fillId="29" borderId="0" xfId="0" applyNumberFormat="1" applyFont="1" applyFill="1" applyBorder="1" applyAlignment="1" applyProtection="1">
      <alignment horizontal="left" vertical="center"/>
    </xf>
    <xf numFmtId="177" fontId="4" fillId="29" borderId="0" xfId="0" applyNumberFormat="1" applyFont="1" applyFill="1" applyBorder="1" applyAlignment="1" applyProtection="1">
      <alignment horizontal="left" vertical="center"/>
    </xf>
    <xf numFmtId="182" fontId="4" fillId="29" borderId="0" xfId="0" applyNumberFormat="1" applyFont="1" applyFill="1" applyBorder="1" applyAlignment="1" applyProtection="1">
      <alignment horizontal="left" vertical="center"/>
    </xf>
    <xf numFmtId="185" fontId="4" fillId="29" borderId="0" xfId="0" applyNumberFormat="1" applyFont="1" applyFill="1" applyBorder="1" applyAlignment="1" applyProtection="1">
      <alignment horizontal="left" vertical="center"/>
    </xf>
    <xf numFmtId="183" fontId="4" fillId="29" borderId="0" xfId="0" applyNumberFormat="1" applyFont="1" applyFill="1" applyBorder="1" applyAlignment="1" applyProtection="1">
      <alignment vertical="center"/>
    </xf>
    <xf numFmtId="177" fontId="4" fillId="29" borderId="0" xfId="0" applyNumberFormat="1" applyFont="1" applyFill="1" applyBorder="1" applyAlignment="1" applyProtection="1">
      <alignment vertical="center"/>
    </xf>
    <xf numFmtId="185" fontId="4" fillId="29" borderId="0" xfId="0" applyNumberFormat="1" applyFont="1" applyFill="1" applyBorder="1" applyAlignment="1" applyProtection="1">
      <alignment vertical="center"/>
    </xf>
    <xf numFmtId="185" fontId="4" fillId="34" borderId="0" xfId="0" applyNumberFormat="1" applyFont="1" applyFill="1" applyBorder="1" applyAlignment="1" applyProtection="1">
      <alignment horizontal="left" vertical="center"/>
    </xf>
    <xf numFmtId="49" fontId="4" fillId="24" borderId="11" xfId="0" applyNumberFormat="1" applyFont="1" applyFill="1" applyBorder="1" applyAlignment="1" applyProtection="1">
      <alignment vertical="center" shrinkToFit="1"/>
    </xf>
    <xf numFmtId="0" fontId="4" fillId="24" borderId="27" xfId="0" applyNumberFormat="1" applyFont="1" applyFill="1" applyBorder="1" applyAlignment="1" applyProtection="1">
      <alignment vertical="center" shrinkToFit="1"/>
    </xf>
    <xf numFmtId="0" fontId="4" fillId="24" borderId="48" xfId="0" applyNumberFormat="1" applyFont="1" applyFill="1" applyBorder="1" applyAlignment="1" applyProtection="1">
      <alignment vertical="center" shrinkToFit="1"/>
    </xf>
    <xf numFmtId="0" fontId="4" fillId="30" borderId="11" xfId="0" applyNumberFormat="1" applyFont="1" applyFill="1" applyBorder="1" applyAlignment="1" applyProtection="1">
      <alignment vertical="center"/>
    </xf>
    <xf numFmtId="0" fontId="4" fillId="30" borderId="18" xfId="0" applyNumberFormat="1" applyFont="1" applyFill="1" applyBorder="1" applyAlignment="1" applyProtection="1">
      <alignment vertical="center"/>
    </xf>
    <xf numFmtId="0" fontId="4" fillId="30" borderId="11" xfId="0" applyNumberFormat="1" applyFont="1" applyFill="1" applyBorder="1" applyAlignment="1" applyProtection="1">
      <alignment vertical="center" wrapText="1"/>
    </xf>
    <xf numFmtId="0" fontId="4" fillId="29" borderId="19" xfId="0" applyNumberFormat="1" applyFont="1" applyFill="1" applyBorder="1" applyAlignment="1" applyProtection="1">
      <alignment vertical="center"/>
    </xf>
    <xf numFmtId="49" fontId="4" fillId="24" borderId="26" xfId="0" applyNumberFormat="1" applyFont="1" applyFill="1" applyBorder="1" applyAlignment="1" applyProtection="1">
      <alignment vertical="center" wrapText="1"/>
    </xf>
    <xf numFmtId="0" fontId="4" fillId="30" borderId="49" xfId="0" applyNumberFormat="1" applyFont="1" applyFill="1" applyBorder="1" applyAlignment="1" applyProtection="1">
      <alignment vertical="center"/>
    </xf>
    <xf numFmtId="0" fontId="4" fillId="30" borderId="50" xfId="0" applyNumberFormat="1" applyFont="1" applyFill="1" applyBorder="1" applyAlignment="1" applyProtection="1">
      <alignment vertical="center"/>
    </xf>
    <xf numFmtId="0" fontId="4" fillId="30" borderId="30" xfId="0" applyNumberFormat="1" applyFont="1" applyFill="1" applyBorder="1" applyAlignment="1" applyProtection="1">
      <alignment vertical="center"/>
    </xf>
    <xf numFmtId="0" fontId="4" fillId="30" borderId="48" xfId="0" applyNumberFormat="1" applyFont="1" applyFill="1" applyBorder="1" applyAlignment="1" applyProtection="1">
      <alignment vertical="center" wrapText="1"/>
    </xf>
    <xf numFmtId="0" fontId="4" fillId="32" borderId="15" xfId="0" applyNumberFormat="1" applyFont="1" applyFill="1" applyBorder="1" applyAlignment="1" applyProtection="1">
      <alignment horizontal="right" vertical="center" wrapText="1"/>
    </xf>
    <xf numFmtId="0" fontId="4" fillId="32" borderId="15" xfId="0" applyNumberFormat="1" applyFont="1" applyFill="1" applyBorder="1" applyAlignment="1" applyProtection="1">
      <alignment horizontal="left" vertical="center" wrapText="1"/>
    </xf>
    <xf numFmtId="0" fontId="4" fillId="32" borderId="22" xfId="0" applyNumberFormat="1" applyFont="1" applyFill="1" applyBorder="1" applyAlignment="1" applyProtection="1">
      <alignment horizontal="left" vertical="center" wrapText="1"/>
    </xf>
    <xf numFmtId="176" fontId="4" fillId="0" borderId="0" xfId="0" applyNumberFormat="1" applyFont="1" applyFill="1" applyBorder="1" applyAlignment="1" applyProtection="1">
      <alignment vertical="center"/>
    </xf>
    <xf numFmtId="0" fontId="4" fillId="0" borderId="36" xfId="0" applyNumberFormat="1" applyFont="1" applyFill="1" applyBorder="1" applyAlignment="1" applyProtection="1">
      <alignment vertical="center"/>
    </xf>
    <xf numFmtId="176" fontId="4" fillId="0" borderId="36" xfId="0" applyNumberFormat="1" applyFont="1" applyFill="1" applyBorder="1" applyAlignment="1" applyProtection="1">
      <alignment vertical="center"/>
    </xf>
    <xf numFmtId="0" fontId="4" fillId="0" borderId="36" xfId="0" applyNumberFormat="1" applyFont="1" applyFill="1" applyBorder="1" applyAlignment="1" applyProtection="1">
      <alignment vertical="center" shrinkToFit="1"/>
    </xf>
    <xf numFmtId="0" fontId="4" fillId="0" borderId="51" xfId="0" applyNumberFormat="1" applyFont="1" applyFill="1" applyBorder="1" applyAlignment="1" applyProtection="1">
      <alignment vertical="center"/>
    </xf>
    <xf numFmtId="0" fontId="4" fillId="0" borderId="52" xfId="0" applyNumberFormat="1" applyFont="1" applyFill="1" applyBorder="1" applyAlignment="1" applyProtection="1">
      <alignment vertical="center"/>
    </xf>
    <xf numFmtId="176" fontId="4" fillId="0" borderId="53" xfId="0" applyNumberFormat="1" applyFont="1" applyFill="1" applyBorder="1" applyAlignment="1" applyProtection="1">
      <alignment vertical="center"/>
    </xf>
    <xf numFmtId="0" fontId="4" fillId="0" borderId="53" xfId="0" applyNumberFormat="1" applyFont="1" applyFill="1" applyBorder="1" applyAlignment="1" applyProtection="1">
      <alignment vertical="center"/>
    </xf>
    <xf numFmtId="0" fontId="4" fillId="0" borderId="42" xfId="0" applyNumberFormat="1" applyFont="1" applyFill="1" applyBorder="1" applyAlignment="1" applyProtection="1">
      <alignment horizontal="center" vertical="center"/>
    </xf>
    <xf numFmtId="176" fontId="4" fillId="0" borderId="42" xfId="0" applyNumberFormat="1" applyFont="1" applyFill="1" applyBorder="1" applyAlignment="1" applyProtection="1">
      <alignment vertical="center"/>
    </xf>
    <xf numFmtId="0" fontId="0" fillId="0" borderId="36" xfId="0" applyNumberFormat="1" applyFont="1" applyFill="1" applyBorder="1" applyAlignment="1" applyProtection="1">
      <alignment vertical="center"/>
    </xf>
    <xf numFmtId="176" fontId="0" fillId="0" borderId="36" xfId="0" applyNumberFormat="1" applyFont="1" applyFill="1" applyBorder="1" applyAlignment="1" applyProtection="1">
      <alignment vertical="center"/>
    </xf>
    <xf numFmtId="0" fontId="0" fillId="33" borderId="36" xfId="0" applyNumberFormat="1" applyFont="1" applyFill="1" applyBorder="1" applyAlignment="1" applyProtection="1">
      <alignment vertical="center"/>
    </xf>
    <xf numFmtId="0" fontId="0" fillId="33" borderId="0" xfId="0" applyNumberFormat="1" applyFont="1" applyFill="1" applyBorder="1" applyAlignment="1" applyProtection="1">
      <alignment vertical="center"/>
    </xf>
    <xf numFmtId="176" fontId="0" fillId="0" borderId="0" xfId="0" applyNumberFormat="1" applyFont="1" applyFill="1" applyBorder="1" applyAlignment="1" applyProtection="1">
      <alignment vertical="center"/>
    </xf>
    <xf numFmtId="0" fontId="0" fillId="0" borderId="54" xfId="0" applyNumberFormat="1" applyFont="1" applyFill="1" applyBorder="1" applyAlignment="1" applyProtection="1">
      <alignment vertical="center"/>
    </xf>
    <xf numFmtId="183" fontId="4" fillId="36" borderId="36" xfId="0" applyNumberFormat="1" applyFont="1" applyFill="1" applyBorder="1" applyAlignment="1" applyProtection="1">
      <alignment vertical="center"/>
    </xf>
    <xf numFmtId="184" fontId="4" fillId="37" borderId="0" xfId="0" applyNumberFormat="1" applyFont="1" applyFill="1" applyBorder="1" applyAlignment="1" applyProtection="1">
      <alignment horizontal="center" vertical="center"/>
    </xf>
    <xf numFmtId="0" fontId="4" fillId="37" borderId="0" xfId="0" applyNumberFormat="1" applyFont="1" applyFill="1" applyBorder="1" applyAlignment="1" applyProtection="1">
      <alignment vertical="center"/>
    </xf>
    <xf numFmtId="0" fontId="9" fillId="0" borderId="0" xfId="155" applyNumberFormat="1" applyFont="1" applyFill="1" applyBorder="1" applyAlignment="1" applyProtection="1">
      <alignment horizontal="center" vertical="center"/>
    </xf>
    <xf numFmtId="0" fontId="0" fillId="0" borderId="0" xfId="155" applyNumberFormat="1" applyFont="1" applyFill="1" applyBorder="1" applyAlignment="1" applyProtection="1">
      <alignment vertical="center"/>
    </xf>
    <xf numFmtId="0" fontId="6" fillId="0" borderId="0" xfId="155" applyNumberFormat="1" applyFont="1" applyFill="1" applyBorder="1" applyAlignment="1" applyProtection="1">
      <alignment horizontal="left" vertical="center"/>
    </xf>
    <xf numFmtId="0" fontId="6" fillId="0" borderId="55" xfId="155" applyNumberFormat="1" applyFont="1" applyFill="1" applyBorder="1" applyAlignment="1" applyProtection="1">
      <alignment horizontal="left" vertical="center"/>
    </xf>
    <xf numFmtId="0" fontId="6" fillId="0" borderId="55" xfId="155" applyNumberFormat="1" applyFont="1" applyFill="1" applyBorder="1" applyAlignment="1" applyProtection="1">
      <alignment vertical="center"/>
    </xf>
    <xf numFmtId="0" fontId="6" fillId="0" borderId="14" xfId="155" applyNumberFormat="1" applyFont="1" applyFill="1" applyBorder="1" applyAlignment="1" applyProtection="1">
      <alignment vertical="center"/>
    </xf>
    <xf numFmtId="0" fontId="6" fillId="0" borderId="11" xfId="155" applyNumberFormat="1" applyFont="1" applyFill="1" applyBorder="1" applyAlignment="1" applyProtection="1">
      <alignment vertical="center"/>
    </xf>
    <xf numFmtId="0" fontId="6" fillId="0" borderId="0" xfId="155" applyNumberFormat="1" applyFont="1" applyFill="1" applyBorder="1" applyAlignment="1" applyProtection="1">
      <alignment vertical="center"/>
    </xf>
    <xf numFmtId="0" fontId="6" fillId="0" borderId="15" xfId="155" applyNumberFormat="1" applyFont="1" applyFill="1" applyBorder="1" applyAlignment="1" applyProtection="1">
      <alignment vertical="center"/>
    </xf>
    <xf numFmtId="0" fontId="6" fillId="0" borderId="0" xfId="155" applyNumberFormat="1" applyFont="1" applyFill="1" applyBorder="1" applyAlignment="1" applyProtection="1">
      <alignment vertical="center" shrinkToFit="1"/>
      <protection locked="0"/>
    </xf>
    <xf numFmtId="0" fontId="6" fillId="0" borderId="56" xfId="155" applyNumberFormat="1" applyFont="1" applyFill="1" applyBorder="1" applyAlignment="1" applyProtection="1">
      <alignment horizontal="left" vertical="center"/>
    </xf>
    <xf numFmtId="0" fontId="6" fillId="0" borderId="57" xfId="155" applyNumberFormat="1" applyFont="1" applyFill="1" applyBorder="1" applyAlignment="1" applyProtection="1">
      <alignment horizontal="left" vertical="center"/>
    </xf>
    <xf numFmtId="0" fontId="33" fillId="0" borderId="0" xfId="155" applyNumberFormat="1" applyFont="1" applyFill="1" applyBorder="1" applyAlignment="1" applyProtection="1">
      <alignment vertical="center"/>
    </xf>
    <xf numFmtId="0" fontId="6" fillId="0" borderId="32" xfId="155" applyNumberFormat="1" applyFont="1" applyFill="1" applyBorder="1" applyAlignment="1" applyProtection="1">
      <alignment horizontal="left" vertical="center"/>
    </xf>
    <xf numFmtId="0" fontId="6" fillId="32" borderId="57" xfId="155" applyNumberFormat="1" applyFont="1" applyFill="1" applyBorder="1" applyAlignment="1" applyProtection="1">
      <alignment horizontal="center" vertical="center" wrapText="1"/>
      <protection locked="0"/>
    </xf>
    <xf numFmtId="0" fontId="6" fillId="0" borderId="57" xfId="155" applyNumberFormat="1" applyFont="1" applyFill="1" applyBorder="1" applyAlignment="1" applyProtection="1">
      <alignment horizontal="center" vertical="center" wrapText="1"/>
      <protection locked="0"/>
    </xf>
    <xf numFmtId="0" fontId="6" fillId="0" borderId="0" xfId="155" applyNumberFormat="1" applyFont="1" applyFill="1" applyBorder="1" applyAlignment="1" applyProtection="1">
      <alignment horizontal="center" vertical="center" wrapText="1"/>
      <protection locked="0"/>
    </xf>
    <xf numFmtId="0" fontId="6" fillId="0" borderId="56" xfId="155" applyNumberFormat="1" applyFont="1" applyFill="1" applyBorder="1" applyAlignment="1" applyProtection="1">
      <alignment horizontal="center" vertical="center"/>
    </xf>
    <xf numFmtId="0" fontId="6" fillId="0" borderId="32" xfId="155" applyNumberFormat="1" applyFont="1" applyFill="1" applyBorder="1" applyAlignment="1" applyProtection="1">
      <alignment horizontal="center" vertical="center"/>
    </xf>
    <xf numFmtId="0" fontId="6" fillId="0" borderId="56" xfId="155" applyNumberFormat="1" applyFont="1" applyFill="1" applyBorder="1" applyAlignment="1" applyProtection="1">
      <alignment vertical="center"/>
    </xf>
    <xf numFmtId="0" fontId="6" fillId="0" borderId="32" xfId="155" applyNumberFormat="1" applyFont="1" applyFill="1" applyBorder="1" applyAlignment="1" applyProtection="1">
      <alignment vertical="center"/>
    </xf>
    <xf numFmtId="0" fontId="6" fillId="32" borderId="55" xfId="155" applyNumberFormat="1" applyFont="1" applyFill="1" applyBorder="1" applyAlignment="1" applyProtection="1">
      <alignment horizontal="center" vertical="center" shrinkToFit="1"/>
      <protection locked="0"/>
    </xf>
    <xf numFmtId="0" fontId="6" fillId="0" borderId="12" xfId="155" applyNumberFormat="1" applyFont="1" applyFill="1" applyBorder="1" applyAlignment="1" applyProtection="1">
      <alignment vertical="center"/>
    </xf>
    <xf numFmtId="0" fontId="6" fillId="0" borderId="57" xfId="155" applyNumberFormat="1" applyFont="1" applyFill="1" applyBorder="1" applyAlignment="1" applyProtection="1">
      <alignment vertical="center"/>
    </xf>
    <xf numFmtId="0" fontId="6" fillId="0" borderId="22" xfId="155" applyNumberFormat="1" applyFont="1" applyFill="1" applyBorder="1" applyAlignment="1" applyProtection="1">
      <alignment vertical="center"/>
    </xf>
    <xf numFmtId="0" fontId="6" fillId="0" borderId="0" xfId="155" applyNumberFormat="1" applyFont="1" applyFill="1" applyBorder="1" applyAlignment="1" applyProtection="1">
      <alignment horizontal="center" vertical="center"/>
    </xf>
    <xf numFmtId="0" fontId="6" fillId="0" borderId="57" xfId="155" applyNumberFormat="1" applyFont="1" applyFill="1" applyBorder="1" applyAlignment="1" applyProtection="1">
      <alignment horizontal="center" vertical="center"/>
    </xf>
    <xf numFmtId="0" fontId="6" fillId="0" borderId="10" xfId="155" applyNumberFormat="1" applyFont="1" applyFill="1" applyBorder="1" applyAlignment="1" applyProtection="1">
      <alignment horizontal="center" vertical="center"/>
    </xf>
    <xf numFmtId="0" fontId="6" fillId="0" borderId="55" xfId="155" applyNumberFormat="1" applyFont="1" applyFill="1" applyBorder="1" applyAlignment="1" applyProtection="1">
      <alignment horizontal="center" vertical="center"/>
    </xf>
    <xf numFmtId="0" fontId="6" fillId="0" borderId="14" xfId="155" applyNumberFormat="1" applyFont="1" applyFill="1" applyBorder="1" applyAlignment="1" applyProtection="1">
      <alignment horizontal="center" vertical="center"/>
    </xf>
    <xf numFmtId="0" fontId="6" fillId="0" borderId="21" xfId="155" applyNumberFormat="1" applyFont="1" applyFill="1" applyBorder="1" applyAlignment="1" applyProtection="1">
      <alignment vertical="center"/>
    </xf>
    <xf numFmtId="0" fontId="6" fillId="0" borderId="21" xfId="155" applyNumberFormat="1" applyFont="1" applyFill="1" applyBorder="1" applyAlignment="1" applyProtection="1">
      <alignment vertical="center" shrinkToFit="1"/>
    </xf>
    <xf numFmtId="0" fontId="7" fillId="27" borderId="10" xfId="155" applyNumberFormat="1" applyFont="1" applyFill="1" applyBorder="1" applyAlignment="1" applyProtection="1">
      <alignment horizontal="center" vertical="center"/>
      <protection locked="0" hidden="1"/>
    </xf>
    <xf numFmtId="0" fontId="0" fillId="0" borderId="55" xfId="155" applyNumberFormat="1" applyFont="1" applyFill="1" applyBorder="1" applyAlignment="1" applyProtection="1">
      <alignment vertical="center"/>
    </xf>
    <xf numFmtId="0" fontId="7" fillId="27" borderId="55" xfId="155" applyNumberFormat="1" applyFont="1" applyFill="1" applyBorder="1" applyAlignment="1" applyProtection="1">
      <alignment horizontal="center" vertical="center"/>
      <protection locked="0" hidden="1"/>
    </xf>
    <xf numFmtId="0" fontId="6" fillId="0" borderId="12" xfId="155" applyNumberFormat="1" applyFont="1" applyFill="1" applyBorder="1" applyAlignment="1" applyProtection="1">
      <alignment horizontal="left" vertical="center"/>
    </xf>
    <xf numFmtId="0" fontId="7" fillId="27" borderId="12" xfId="155" applyNumberFormat="1" applyFont="1" applyFill="1" applyBorder="1" applyAlignment="1" applyProtection="1">
      <alignment horizontal="center" vertical="center"/>
      <protection locked="0" hidden="1"/>
    </xf>
    <xf numFmtId="0" fontId="0" fillId="0" borderId="57" xfId="155" applyNumberFormat="1" applyFont="1" applyFill="1" applyBorder="1" applyAlignment="1" applyProtection="1">
      <alignment vertical="center"/>
    </xf>
    <xf numFmtId="0" fontId="7" fillId="27" borderId="57" xfId="155" applyNumberFormat="1" applyFont="1" applyFill="1" applyBorder="1" applyAlignment="1" applyProtection="1">
      <alignment horizontal="center" vertical="center"/>
      <protection locked="0" hidden="1"/>
    </xf>
    <xf numFmtId="0" fontId="6" fillId="0" borderId="57" xfId="155" applyNumberFormat="1" applyFont="1" applyFill="1" applyBorder="1" applyAlignment="1" applyProtection="1">
      <alignment vertical="center" shrinkToFit="1"/>
    </xf>
    <xf numFmtId="0" fontId="6" fillId="0" borderId="10" xfId="155" applyNumberFormat="1" applyFont="1" applyFill="1" applyBorder="1" applyAlignment="1" applyProtection="1">
      <alignment vertical="center"/>
    </xf>
    <xf numFmtId="0" fontId="6" fillId="0" borderId="57" xfId="155" applyNumberFormat="1" applyFont="1" applyFill="1" applyBorder="1" applyAlignment="1" applyProtection="1">
      <alignment horizontal="left" vertical="center" wrapText="1"/>
    </xf>
    <xf numFmtId="0" fontId="0" fillId="34" borderId="10" xfId="155" applyNumberFormat="1" applyFont="1" applyFill="1" applyBorder="1" applyAlignment="1" applyProtection="1">
      <alignment vertical="center"/>
    </xf>
    <xf numFmtId="0" fontId="6" fillId="34" borderId="55" xfId="155" applyNumberFormat="1" applyFont="1" applyFill="1" applyBorder="1" applyAlignment="1" applyProtection="1">
      <alignment horizontal="left" vertical="center"/>
    </xf>
    <xf numFmtId="0" fontId="0" fillId="34" borderId="11" xfId="155" applyNumberFormat="1" applyFont="1" applyFill="1" applyBorder="1" applyAlignment="1" applyProtection="1">
      <alignment vertical="center"/>
    </xf>
    <xf numFmtId="0" fontId="0" fillId="34" borderId="0" xfId="155" applyNumberFormat="1" applyFont="1" applyFill="1" applyBorder="1" applyAlignment="1" applyProtection="1">
      <alignment vertical="center"/>
    </xf>
    <xf numFmtId="0" fontId="0" fillId="34" borderId="12" xfId="155" applyNumberFormat="1" applyFont="1" applyFill="1" applyBorder="1" applyAlignment="1" applyProtection="1">
      <alignment vertical="center"/>
    </xf>
    <xf numFmtId="0" fontId="0" fillId="0" borderId="15" xfId="155" applyNumberFormat="1" applyFont="1" applyFill="1" applyBorder="1" applyAlignment="1" applyProtection="1">
      <alignment vertical="center"/>
    </xf>
    <xf numFmtId="0" fontId="6" fillId="34" borderId="21" xfId="155" applyNumberFormat="1" applyFont="1" applyFill="1" applyBorder="1" applyAlignment="1" applyProtection="1">
      <alignment vertical="center"/>
    </xf>
    <xf numFmtId="0" fontId="6" fillId="34" borderId="56" xfId="155" applyNumberFormat="1" applyFont="1" applyFill="1" applyBorder="1" applyAlignment="1" applyProtection="1">
      <alignment vertical="center"/>
    </xf>
    <xf numFmtId="0" fontId="6" fillId="0" borderId="15" xfId="155" applyNumberFormat="1" applyFont="1" applyFill="1" applyBorder="1" applyAlignment="1" applyProtection="1">
      <alignment horizontal="left" vertical="center"/>
    </xf>
    <xf numFmtId="0" fontId="6" fillId="0" borderId="21" xfId="155" applyNumberFormat="1" applyFont="1" applyFill="1" applyBorder="1" applyAlignment="1" applyProtection="1">
      <alignment horizontal="left" vertical="center" wrapText="1"/>
    </xf>
    <xf numFmtId="0" fontId="6" fillId="0" borderId="56" xfId="155" applyNumberFormat="1" applyFont="1" applyFill="1" applyBorder="1" applyAlignment="1" applyProtection="1">
      <alignment horizontal="left" vertical="center" wrapText="1"/>
    </xf>
    <xf numFmtId="0" fontId="6" fillId="0" borderId="0" xfId="155" applyNumberFormat="1" applyFont="1" applyFill="1" applyBorder="1" applyAlignment="1" applyProtection="1">
      <alignment horizontal="left" vertical="center" wrapText="1"/>
    </xf>
    <xf numFmtId="0" fontId="6" fillId="0" borderId="15" xfId="155" applyNumberFormat="1" applyFont="1" applyFill="1" applyBorder="1" applyAlignment="1" applyProtection="1">
      <alignment horizontal="left" vertical="center" wrapText="1"/>
    </xf>
    <xf numFmtId="0" fontId="7" fillId="27" borderId="21" xfId="0" applyNumberFormat="1" applyFont="1" applyFill="1" applyBorder="1" applyAlignment="1" applyProtection="1">
      <alignment horizontal="center" vertical="center"/>
      <protection locked="0" hidden="1"/>
    </xf>
    <xf numFmtId="0" fontId="6" fillId="0" borderId="0" xfId="155" applyNumberFormat="1" applyFont="1" applyFill="1" applyBorder="1" applyAlignment="1" applyProtection="1">
      <alignment horizontal="right" vertical="center" wrapText="1"/>
    </xf>
    <xf numFmtId="0" fontId="6" fillId="0" borderId="0" xfId="155" applyNumberFormat="1" applyFont="1" applyFill="1" applyBorder="1" applyAlignment="1" applyProtection="1">
      <alignment horizontal="left" vertical="center" shrinkToFit="1"/>
    </xf>
    <xf numFmtId="0" fontId="6" fillId="0" borderId="15" xfId="155" applyNumberFormat="1" applyFont="1" applyFill="1" applyBorder="1" applyAlignment="1" applyProtection="1">
      <alignment horizontal="left" vertical="center" shrinkToFit="1"/>
    </xf>
    <xf numFmtId="0" fontId="6" fillId="0" borderId="58" xfId="155" applyNumberFormat="1" applyFont="1" applyFill="1" applyBorder="1" applyAlignment="1" applyProtection="1">
      <alignment vertical="center"/>
    </xf>
    <xf numFmtId="0" fontId="6" fillId="0" borderId="59" xfId="155" applyNumberFormat="1" applyFont="1" applyFill="1" applyBorder="1" applyAlignment="1" applyProtection="1">
      <alignment vertical="center"/>
    </xf>
    <xf numFmtId="0" fontId="6" fillId="0" borderId="60" xfId="155" applyNumberFormat="1" applyFont="1" applyFill="1" applyBorder="1" applyAlignment="1" applyProtection="1">
      <alignment vertical="center"/>
    </xf>
    <xf numFmtId="0" fontId="6" fillId="0" borderId="61" xfId="155" applyNumberFormat="1" applyFont="1" applyFill="1" applyBorder="1" applyAlignment="1" applyProtection="1">
      <alignment vertical="center"/>
    </xf>
    <xf numFmtId="180" fontId="6" fillId="0" borderId="0" xfId="155" applyNumberFormat="1" applyFont="1" applyFill="1" applyBorder="1" applyAlignment="1" applyProtection="1">
      <alignment horizontal="center" vertical="center" shrinkToFit="1"/>
      <protection locked="0"/>
    </xf>
    <xf numFmtId="0" fontId="6" fillId="0" borderId="62" xfId="155" applyNumberFormat="1" applyFont="1" applyFill="1" applyBorder="1" applyAlignment="1" applyProtection="1">
      <alignment vertical="center"/>
    </xf>
    <xf numFmtId="0" fontId="6" fillId="0" borderId="63" xfId="155" applyNumberFormat="1" applyFont="1" applyFill="1" applyBorder="1" applyAlignment="1" applyProtection="1">
      <alignment vertical="center"/>
    </xf>
    <xf numFmtId="0" fontId="6" fillId="0" borderId="13" xfId="155" applyNumberFormat="1" applyFont="1" applyFill="1" applyBorder="1" applyAlignment="1" applyProtection="1">
      <alignment horizontal="left" vertical="center" wrapText="1"/>
    </xf>
    <xf numFmtId="182" fontId="6" fillId="0" borderId="0" xfId="155" applyNumberFormat="1" applyFont="1" applyFill="1" applyBorder="1" applyAlignment="1" applyProtection="1">
      <alignment horizontal="center" vertical="center" shrinkToFit="1"/>
      <protection locked="0"/>
    </xf>
    <xf numFmtId="0" fontId="6" fillId="0" borderId="64" xfId="155" applyNumberFormat="1" applyFont="1" applyFill="1" applyBorder="1" applyAlignment="1" applyProtection="1">
      <alignment vertical="center"/>
    </xf>
    <xf numFmtId="0" fontId="6" fillId="0" borderId="65" xfId="155" applyNumberFormat="1" applyFont="1" applyFill="1" applyBorder="1" applyAlignment="1" applyProtection="1">
      <alignment vertical="center"/>
    </xf>
    <xf numFmtId="0" fontId="6" fillId="0" borderId="46" xfId="155" applyNumberFormat="1" applyFont="1" applyFill="1" applyBorder="1" applyAlignment="1" applyProtection="1">
      <alignment vertical="center"/>
    </xf>
    <xf numFmtId="0" fontId="6" fillId="0" borderId="66" xfId="155" applyNumberFormat="1" applyFont="1" applyFill="1" applyBorder="1" applyAlignment="1" applyProtection="1">
      <alignment vertical="center"/>
    </xf>
    <xf numFmtId="0" fontId="7" fillId="27" borderId="12" xfId="0" applyNumberFormat="1" applyFont="1" applyFill="1" applyBorder="1" applyAlignment="1" applyProtection="1">
      <alignment horizontal="center" vertical="center"/>
      <protection locked="0" hidden="1"/>
    </xf>
    <xf numFmtId="180" fontId="6" fillId="0" borderId="57" xfId="155" applyNumberFormat="1" applyFont="1" applyFill="1" applyBorder="1" applyAlignment="1" applyProtection="1">
      <alignment horizontal="center" vertical="center" shrinkToFit="1"/>
      <protection locked="0"/>
    </xf>
    <xf numFmtId="180" fontId="6" fillId="0" borderId="57" xfId="155" applyNumberFormat="1" applyFont="1" applyFill="1" applyBorder="1" applyAlignment="1" applyProtection="1">
      <alignment horizontal="center" vertical="center"/>
      <protection locked="0"/>
    </xf>
    <xf numFmtId="0" fontId="7" fillId="27" borderId="0" xfId="0" applyNumberFormat="1" applyFont="1" applyFill="1" applyBorder="1" applyAlignment="1" applyProtection="1">
      <alignment horizontal="center" vertical="center"/>
      <protection locked="0" hidden="1"/>
    </xf>
    <xf numFmtId="180" fontId="6" fillId="0" borderId="55" xfId="155" applyNumberFormat="1" applyFont="1" applyFill="1" applyBorder="1" applyAlignment="1" applyProtection="1">
      <alignment vertical="center" shrinkToFit="1"/>
      <protection locked="0"/>
    </xf>
    <xf numFmtId="182" fontId="6" fillId="0" borderId="21" xfId="155" applyNumberFormat="1" applyFont="1" applyFill="1" applyBorder="1" applyAlignment="1" applyProtection="1">
      <alignment vertical="center" shrinkToFit="1"/>
      <protection locked="0"/>
    </xf>
    <xf numFmtId="182" fontId="6" fillId="0" borderId="0" xfId="155" applyNumberFormat="1" applyFont="1" applyFill="1" applyBorder="1" applyAlignment="1" applyProtection="1">
      <alignment vertical="center" shrinkToFit="1"/>
      <protection locked="0"/>
    </xf>
    <xf numFmtId="190" fontId="6" fillId="0" borderId="0" xfId="155" applyNumberFormat="1" applyFont="1" applyFill="1" applyBorder="1" applyAlignment="1" applyProtection="1">
      <alignment vertical="center"/>
      <protection locked="0"/>
    </xf>
    <xf numFmtId="0" fontId="7" fillId="27" borderId="10" xfId="0" applyNumberFormat="1" applyFont="1" applyFill="1" applyBorder="1" applyAlignment="1" applyProtection="1">
      <alignment horizontal="center" vertical="center"/>
      <protection locked="0" hidden="1"/>
    </xf>
    <xf numFmtId="0" fontId="7" fillId="27" borderId="55" xfId="0" applyNumberFormat="1" applyFont="1" applyFill="1" applyBorder="1" applyAlignment="1" applyProtection="1">
      <alignment horizontal="center" vertical="center"/>
      <protection locked="0" hidden="1"/>
    </xf>
    <xf numFmtId="0" fontId="35" fillId="0" borderId="55" xfId="155" applyNumberFormat="1" applyFont="1" applyFill="1" applyBorder="1" applyAlignment="1" applyProtection="1">
      <alignment vertical="center"/>
    </xf>
    <xf numFmtId="0" fontId="0" fillId="0" borderId="56" xfId="155" applyNumberFormat="1" applyFont="1" applyFill="1" applyBorder="1" applyAlignment="1" applyProtection="1">
      <alignment vertical="center"/>
    </xf>
    <xf numFmtId="0" fontId="7" fillId="27" borderId="59" xfId="0" applyNumberFormat="1" applyFont="1" applyFill="1" applyBorder="1" applyAlignment="1" applyProtection="1">
      <alignment horizontal="center" vertical="center"/>
      <protection locked="0" hidden="1"/>
    </xf>
    <xf numFmtId="0" fontId="6" fillId="0" borderId="67" xfId="155" applyNumberFormat="1" applyFont="1" applyFill="1" applyBorder="1" applyAlignment="1" applyProtection="1">
      <alignment vertical="center"/>
    </xf>
    <xf numFmtId="0" fontId="7" fillId="27" borderId="56" xfId="0" applyNumberFormat="1" applyFont="1" applyFill="1" applyBorder="1" applyAlignment="1" applyProtection="1">
      <alignment horizontal="center" vertical="center"/>
      <protection locked="0" hidden="1"/>
    </xf>
    <xf numFmtId="0" fontId="7" fillId="27" borderId="57" xfId="0" applyNumberFormat="1" applyFont="1" applyFill="1" applyBorder="1" applyAlignment="1" applyProtection="1">
      <alignment horizontal="center" vertical="center"/>
      <protection locked="0" hidden="1"/>
    </xf>
    <xf numFmtId="0" fontId="0" fillId="0" borderId="32" xfId="155" applyNumberFormat="1" applyFont="1" applyFill="1" applyBorder="1" applyAlignment="1" applyProtection="1">
      <alignment vertical="center"/>
    </xf>
    <xf numFmtId="180" fontId="6" fillId="0" borderId="0" xfId="155" applyNumberFormat="1" applyFont="1" applyFill="1" applyBorder="1" applyAlignment="1" applyProtection="1">
      <alignment vertical="center" shrinkToFit="1"/>
      <protection locked="0"/>
    </xf>
    <xf numFmtId="0" fontId="6" fillId="0" borderId="11" xfId="155" applyNumberFormat="1" applyFont="1" applyFill="1" applyBorder="1" applyAlignment="1" applyProtection="1">
      <alignment vertical="center" shrinkToFit="1"/>
    </xf>
    <xf numFmtId="177" fontId="6" fillId="0" borderId="57" xfId="155" applyNumberFormat="1" applyFont="1" applyFill="1" applyBorder="1" applyAlignment="1" applyProtection="1">
      <alignment horizontal="center" vertical="center" shrinkToFit="1"/>
      <protection locked="0"/>
    </xf>
    <xf numFmtId="0" fontId="0" fillId="38" borderId="0" xfId="0" applyNumberFormat="1" applyFont="1" applyFill="1" applyBorder="1" applyAlignment="1" applyProtection="1">
      <alignment vertical="center"/>
    </xf>
    <xf numFmtId="0" fontId="6" fillId="0" borderId="0" xfId="136" applyNumberFormat="1" applyFont="1" applyFill="1" applyBorder="1" applyAlignment="1" applyProtection="1">
      <alignment horizontal="left" vertical="top" wrapText="1"/>
    </xf>
    <xf numFmtId="0" fontId="0" fillId="0" borderId="0" xfId="136" applyNumberFormat="1" applyFont="1" applyFill="1" applyBorder="1" applyAlignment="1" applyProtection="1">
      <alignment vertical="center"/>
    </xf>
    <xf numFmtId="0" fontId="6" fillId="0" borderId="0" xfId="136" applyNumberFormat="1" applyFont="1" applyFill="1" applyBorder="1" applyAlignment="1" applyProtection="1">
      <alignment vertical="center"/>
    </xf>
    <xf numFmtId="0" fontId="6" fillId="0" borderId="11" xfId="136" applyNumberFormat="1" applyFont="1" applyFill="1" applyBorder="1" applyAlignment="1" applyProtection="1">
      <alignment vertical="center"/>
    </xf>
    <xf numFmtId="0" fontId="6" fillId="0" borderId="13" xfId="136" applyNumberFormat="1" applyFont="1" applyFill="1" applyBorder="1" applyAlignment="1" applyProtection="1">
      <alignment horizontal="left" vertical="center" wrapText="1"/>
    </xf>
    <xf numFmtId="0" fontId="6" fillId="0" borderId="11" xfId="136" applyNumberFormat="1" applyFont="1" applyFill="1" applyBorder="1" applyAlignment="1" applyProtection="1">
      <alignment vertical="center" wrapText="1"/>
    </xf>
    <xf numFmtId="0" fontId="6" fillId="0" borderId="21" xfId="136" applyNumberFormat="1" applyFont="1" applyFill="1" applyBorder="1" applyAlignment="1" applyProtection="1">
      <alignment horizontal="left" vertical="center" wrapText="1"/>
    </xf>
    <xf numFmtId="0" fontId="6" fillId="0" borderId="0" xfId="136" applyNumberFormat="1" applyFont="1" applyFill="1" applyBorder="1" applyAlignment="1" applyProtection="1">
      <alignment horizontal="left" vertical="center" wrapText="1"/>
    </xf>
    <xf numFmtId="0" fontId="6" fillId="0" borderId="56" xfId="136" applyNumberFormat="1" applyFont="1" applyFill="1" applyBorder="1" applyAlignment="1" applyProtection="1">
      <alignment horizontal="left" vertical="center"/>
    </xf>
    <xf numFmtId="0" fontId="6" fillId="0" borderId="0" xfId="136" applyNumberFormat="1" applyFont="1" applyFill="1" applyBorder="1" applyAlignment="1" applyProtection="1">
      <alignment vertical="top" wrapText="1"/>
    </xf>
    <xf numFmtId="49" fontId="6" fillId="0" borderId="0" xfId="136" applyNumberFormat="1" applyFont="1" applyFill="1" applyBorder="1" applyAlignment="1" applyProtection="1">
      <alignment horizontal="center" vertical="top" wrapText="1"/>
    </xf>
    <xf numFmtId="0" fontId="6" fillId="0" borderId="11" xfId="136" applyNumberFormat="1" applyFont="1" applyFill="1" applyBorder="1" applyAlignment="1" applyProtection="1">
      <alignment vertical="top" wrapText="1"/>
    </xf>
    <xf numFmtId="49" fontId="6" fillId="0" borderId="21" xfId="136" applyNumberFormat="1" applyFont="1" applyFill="1" applyBorder="1" applyAlignment="1" applyProtection="1">
      <alignment vertical="top" wrapText="1"/>
    </xf>
    <xf numFmtId="49" fontId="6" fillId="0" borderId="56" xfId="136" applyNumberFormat="1" applyFont="1" applyFill="1" applyBorder="1" applyAlignment="1" applyProtection="1">
      <alignment vertical="top" wrapText="1"/>
    </xf>
    <xf numFmtId="49" fontId="6" fillId="0" borderId="13" xfId="136" applyNumberFormat="1" applyFont="1" applyFill="1" applyBorder="1" applyAlignment="1" applyProtection="1">
      <alignment vertical="top" wrapText="1"/>
    </xf>
    <xf numFmtId="49" fontId="6" fillId="0" borderId="11" xfId="136" applyNumberFormat="1" applyFont="1" applyFill="1" applyBorder="1" applyAlignment="1" applyProtection="1">
      <alignment vertical="top" wrapText="1"/>
    </xf>
    <xf numFmtId="49" fontId="6" fillId="0" borderId="11" xfId="136" applyNumberFormat="1" applyFont="1" applyFill="1" applyBorder="1" applyAlignment="1" applyProtection="1">
      <alignment vertical="center" wrapText="1"/>
    </xf>
    <xf numFmtId="0" fontId="6" fillId="0" borderId="0" xfId="136" applyNumberFormat="1" applyFont="1" applyFill="1" applyBorder="1" applyAlignment="1" applyProtection="1">
      <alignment vertical="top"/>
    </xf>
    <xf numFmtId="0" fontId="36" fillId="0" borderId="0" xfId="136" applyNumberFormat="1" applyFont="1" applyFill="1" applyBorder="1" applyAlignment="1" applyProtection="1">
      <alignment vertical="center"/>
    </xf>
    <xf numFmtId="0" fontId="6" fillId="0" borderId="0" xfId="136" applyNumberFormat="1" applyFont="1" applyFill="1" applyBorder="1" applyAlignment="1" applyProtection="1">
      <alignment horizontal="center" vertical="center"/>
    </xf>
    <xf numFmtId="0" fontId="6" fillId="0" borderId="57" xfId="136" applyNumberFormat="1" applyFont="1" applyFill="1" applyBorder="1" applyAlignment="1" applyProtection="1">
      <alignment horizontal="center" vertical="center"/>
    </xf>
    <xf numFmtId="0" fontId="6" fillId="0" borderId="10" xfId="136" applyNumberFormat="1" applyFont="1" applyFill="1" applyBorder="1" applyAlignment="1" applyProtection="1">
      <alignment horizontal="center" vertical="center"/>
    </xf>
    <xf numFmtId="0" fontId="6" fillId="0" borderId="55" xfId="136" applyNumberFormat="1" applyFont="1" applyFill="1" applyBorder="1" applyAlignment="1" applyProtection="1">
      <alignment horizontal="center" vertical="center"/>
    </xf>
    <xf numFmtId="0" fontId="6" fillId="0" borderId="14" xfId="136" applyNumberFormat="1" applyFont="1" applyFill="1" applyBorder="1" applyAlignment="1" applyProtection="1">
      <alignment horizontal="center" vertical="center"/>
    </xf>
    <xf numFmtId="0" fontId="0" fillId="0" borderId="15" xfId="136" applyNumberFormat="1" applyFont="1" applyFill="1" applyBorder="1" applyAlignment="1" applyProtection="1">
      <alignment vertical="center"/>
    </xf>
    <xf numFmtId="0" fontId="6" fillId="0" borderId="21" xfId="136" applyNumberFormat="1" applyFont="1" applyFill="1" applyBorder="1" applyAlignment="1" applyProtection="1">
      <alignment vertical="center"/>
    </xf>
    <xf numFmtId="0" fontId="6" fillId="0" borderId="56" xfId="136" applyNumberFormat="1" applyFont="1" applyFill="1" applyBorder="1" applyAlignment="1" applyProtection="1">
      <alignment vertical="center"/>
    </xf>
    <xf numFmtId="0" fontId="6" fillId="0" borderId="32" xfId="136" applyNumberFormat="1" applyFont="1" applyFill="1" applyBorder="1" applyAlignment="1" applyProtection="1">
      <alignment vertical="center"/>
    </xf>
    <xf numFmtId="0" fontId="0" fillId="39" borderId="0" xfId="136" applyNumberFormat="1" applyFont="1" applyFill="1" applyBorder="1" applyAlignment="1" applyProtection="1">
      <alignment vertical="center"/>
    </xf>
    <xf numFmtId="0" fontId="0" fillId="40" borderId="0" xfId="136" applyNumberFormat="1" applyFont="1" applyFill="1" applyBorder="1" applyAlignment="1" applyProtection="1">
      <alignment vertical="center"/>
    </xf>
    <xf numFmtId="0" fontId="6" fillId="0" borderId="15" xfId="136" applyNumberFormat="1" applyFont="1" applyFill="1" applyBorder="1" applyAlignment="1" applyProtection="1">
      <alignment vertical="center"/>
    </xf>
    <xf numFmtId="0" fontId="6" fillId="0" borderId="0" xfId="136" applyNumberFormat="1" applyFont="1" applyFill="1" applyBorder="1" applyAlignment="1" applyProtection="1">
      <alignment horizontal="left" vertical="center"/>
    </xf>
    <xf numFmtId="0" fontId="6" fillId="0" borderId="15" xfId="136" applyNumberFormat="1" applyFont="1" applyFill="1" applyBorder="1" applyAlignment="1" applyProtection="1">
      <alignment horizontal="left" vertical="center"/>
    </xf>
    <xf numFmtId="0" fontId="0" fillId="0" borderId="0" xfId="136" applyNumberFormat="1" applyFont="1" applyFill="1" applyBorder="1" applyAlignment="1" applyProtection="1">
      <alignment vertical="center"/>
      <protection locked="0"/>
    </xf>
    <xf numFmtId="0" fontId="6" fillId="0" borderId="15" xfId="136" applyNumberFormat="1" applyFont="1" applyFill="1" applyBorder="1" applyAlignment="1" applyProtection="1">
      <alignment horizontal="left" vertical="center" wrapText="1"/>
    </xf>
    <xf numFmtId="0" fontId="6" fillId="0" borderId="55" xfId="136" applyNumberFormat="1" applyFont="1" applyFill="1" applyBorder="1" applyAlignment="1" applyProtection="1">
      <alignment horizontal="left" vertical="center"/>
    </xf>
    <xf numFmtId="0" fontId="6" fillId="0" borderId="0" xfId="136" applyNumberFormat="1" applyFont="1" applyFill="1" applyBorder="1" applyAlignment="1" applyProtection="1">
      <alignment horizontal="right" vertical="center" wrapText="1"/>
    </xf>
    <xf numFmtId="0" fontId="6" fillId="0" borderId="0" xfId="136" applyNumberFormat="1" applyFont="1" applyFill="1" applyBorder="1" applyAlignment="1" applyProtection="1">
      <alignment horizontal="left" vertical="center" shrinkToFit="1"/>
    </xf>
    <xf numFmtId="0" fontId="6" fillId="0" borderId="15" xfId="136" applyNumberFormat="1" applyFont="1" applyFill="1" applyBorder="1" applyAlignment="1" applyProtection="1">
      <alignment horizontal="left" vertical="center" shrinkToFit="1"/>
    </xf>
    <xf numFmtId="0" fontId="6" fillId="0" borderId="58" xfId="136" applyNumberFormat="1" applyFont="1" applyFill="1" applyBorder="1" applyAlignment="1" applyProtection="1">
      <alignment vertical="center"/>
    </xf>
    <xf numFmtId="0" fontId="6" fillId="0" borderId="59" xfId="136" applyNumberFormat="1" applyFont="1" applyFill="1" applyBorder="1" applyAlignment="1" applyProtection="1">
      <alignment vertical="center"/>
    </xf>
    <xf numFmtId="0" fontId="6" fillId="0" borderId="10" xfId="136" applyNumberFormat="1" applyFont="1" applyFill="1" applyBorder="1" applyAlignment="1" applyProtection="1">
      <alignment vertical="center"/>
    </xf>
    <xf numFmtId="0" fontId="6" fillId="0" borderId="55" xfId="136" applyNumberFormat="1" applyFont="1" applyFill="1" applyBorder="1" applyAlignment="1" applyProtection="1">
      <alignment vertical="center"/>
    </xf>
    <xf numFmtId="0" fontId="6" fillId="0" borderId="60" xfId="136" applyNumberFormat="1" applyFont="1" applyFill="1" applyBorder="1" applyAlignment="1" applyProtection="1">
      <alignment vertical="center"/>
    </xf>
    <xf numFmtId="0" fontId="6" fillId="0" borderId="61" xfId="136" applyNumberFormat="1" applyFont="1" applyFill="1" applyBorder="1" applyAlignment="1" applyProtection="1">
      <alignment vertical="center"/>
    </xf>
    <xf numFmtId="180" fontId="6" fillId="0" borderId="0" xfId="136" applyNumberFormat="1" applyFont="1" applyFill="1" applyBorder="1" applyAlignment="1" applyProtection="1">
      <alignment horizontal="center" vertical="center" shrinkToFit="1"/>
      <protection locked="0"/>
    </xf>
    <xf numFmtId="0" fontId="6" fillId="0" borderId="14" xfId="136" applyNumberFormat="1" applyFont="1" applyFill="1" applyBorder="1" applyAlignment="1" applyProtection="1">
      <alignment vertical="center"/>
    </xf>
    <xf numFmtId="0" fontId="6" fillId="0" borderId="57" xfId="136" applyNumberFormat="1" applyFont="1" applyFill="1" applyBorder="1" applyAlignment="1" applyProtection="1">
      <alignment horizontal="left" vertical="center" wrapText="1"/>
    </xf>
    <xf numFmtId="0" fontId="6" fillId="0" borderId="12" xfId="136" applyNumberFormat="1" applyFont="1" applyFill="1" applyBorder="1" applyAlignment="1" applyProtection="1">
      <alignment vertical="center"/>
    </xf>
    <xf numFmtId="180" fontId="6" fillId="0" borderId="57" xfId="136" applyNumberFormat="1" applyFont="1" applyFill="1" applyBorder="1" applyAlignment="1" applyProtection="1">
      <alignment horizontal="center" vertical="center" shrinkToFit="1"/>
      <protection locked="0"/>
    </xf>
    <xf numFmtId="0" fontId="6" fillId="0" borderId="62" xfId="136" applyNumberFormat="1" applyFont="1" applyFill="1" applyBorder="1" applyAlignment="1" applyProtection="1">
      <alignment vertical="center"/>
    </xf>
    <xf numFmtId="0" fontId="6" fillId="0" borderId="63" xfId="136" applyNumberFormat="1" applyFont="1" applyFill="1" applyBorder="1" applyAlignment="1" applyProtection="1">
      <alignment vertical="center"/>
    </xf>
    <xf numFmtId="0" fontId="6" fillId="0" borderId="22" xfId="136" applyNumberFormat="1" applyFont="1" applyFill="1" applyBorder="1" applyAlignment="1" applyProtection="1">
      <alignment vertical="center"/>
    </xf>
    <xf numFmtId="182" fontId="6" fillId="0" borderId="0" xfId="136" applyNumberFormat="1" applyFont="1" applyFill="1" applyBorder="1" applyAlignment="1" applyProtection="1">
      <alignment horizontal="center" vertical="center" shrinkToFit="1"/>
      <protection locked="0"/>
    </xf>
    <xf numFmtId="0" fontId="6" fillId="0" borderId="64" xfId="136" applyNumberFormat="1" applyFont="1" applyFill="1" applyBorder="1" applyAlignment="1" applyProtection="1">
      <alignment vertical="center"/>
    </xf>
    <xf numFmtId="0" fontId="6" fillId="0" borderId="65" xfId="136" applyNumberFormat="1" applyFont="1" applyFill="1" applyBorder="1" applyAlignment="1" applyProtection="1">
      <alignment vertical="center"/>
    </xf>
    <xf numFmtId="0" fontId="6" fillId="0" borderId="46" xfId="136" applyNumberFormat="1" applyFont="1" applyFill="1" applyBorder="1" applyAlignment="1" applyProtection="1">
      <alignment vertical="center"/>
    </xf>
    <xf numFmtId="0" fontId="6" fillId="0" borderId="66" xfId="136" applyNumberFormat="1" applyFont="1" applyFill="1" applyBorder="1" applyAlignment="1" applyProtection="1">
      <alignment vertical="center"/>
    </xf>
    <xf numFmtId="0" fontId="6" fillId="0" borderId="57" xfId="136" applyNumberFormat="1" applyFont="1" applyFill="1" applyBorder="1" applyAlignment="1" applyProtection="1">
      <alignment vertical="center"/>
    </xf>
    <xf numFmtId="180" fontId="6" fillId="0" borderId="57" xfId="136" applyNumberFormat="1" applyFont="1" applyFill="1" applyBorder="1" applyAlignment="1" applyProtection="1">
      <alignment horizontal="center" vertical="center"/>
      <protection locked="0"/>
    </xf>
    <xf numFmtId="180" fontId="6" fillId="0" borderId="55" xfId="136" applyNumberFormat="1" applyFont="1" applyFill="1" applyBorder="1" applyAlignment="1" applyProtection="1">
      <alignment vertical="center" shrinkToFit="1"/>
      <protection locked="0"/>
    </xf>
    <xf numFmtId="190" fontId="6" fillId="0" borderId="0" xfId="136" applyNumberFormat="1" applyFont="1" applyFill="1" applyBorder="1" applyAlignment="1" applyProtection="1">
      <alignment vertical="center"/>
      <protection locked="0"/>
    </xf>
    <xf numFmtId="0" fontId="6" fillId="41" borderId="0" xfId="136" applyNumberFormat="1" applyFont="1" applyFill="1" applyBorder="1" applyAlignment="1" applyProtection="1">
      <alignment vertical="center"/>
    </xf>
    <xf numFmtId="0" fontId="0" fillId="41" borderId="0" xfId="136" applyNumberFormat="1" applyFont="1" applyFill="1" applyBorder="1" applyAlignment="1" applyProtection="1">
      <alignment vertical="center"/>
    </xf>
    <xf numFmtId="0" fontId="35" fillId="0" borderId="55" xfId="136" applyNumberFormat="1" applyFont="1" applyFill="1" applyBorder="1" applyAlignment="1" applyProtection="1">
      <alignment vertical="center"/>
    </xf>
    <xf numFmtId="190" fontId="6" fillId="41" borderId="0" xfId="136" applyNumberFormat="1" applyFont="1" applyFill="1" applyBorder="1" applyAlignment="1" applyProtection="1">
      <alignment vertical="center"/>
    </xf>
    <xf numFmtId="0" fontId="0" fillId="41" borderId="0" xfId="136" applyNumberFormat="1" applyFont="1" applyFill="1" applyBorder="1" applyAlignment="1" applyProtection="1">
      <alignment vertical="center"/>
      <protection locked="0"/>
    </xf>
    <xf numFmtId="0" fontId="0" fillId="0" borderId="56" xfId="136" applyNumberFormat="1" applyFont="1" applyFill="1" applyBorder="1" applyAlignment="1" applyProtection="1">
      <alignment vertical="center"/>
    </xf>
    <xf numFmtId="0" fontId="6" fillId="0" borderId="67" xfId="136" applyNumberFormat="1" applyFont="1" applyFill="1" applyBorder="1" applyAlignment="1" applyProtection="1">
      <alignment vertical="center"/>
    </xf>
    <xf numFmtId="0" fontId="0" fillId="39" borderId="0" xfId="136" applyNumberFormat="1" applyFont="1" applyFill="1" applyBorder="1" applyAlignment="1" applyProtection="1">
      <alignment vertical="center"/>
      <protection locked="0"/>
    </xf>
    <xf numFmtId="0" fontId="37" fillId="0" borderId="0" xfId="136" applyNumberFormat="1" applyFont="1" applyFill="1" applyBorder="1" applyAlignment="1" applyProtection="1">
      <alignment vertical="center"/>
    </xf>
    <xf numFmtId="0" fontId="0" fillId="0" borderId="57" xfId="136" applyNumberFormat="1" applyFont="1" applyFill="1" applyBorder="1" applyAlignment="1" applyProtection="1">
      <alignment vertical="center"/>
    </xf>
    <xf numFmtId="0" fontId="38" fillId="0" borderId="0" xfId="156" applyNumberFormat="1" applyFont="1" applyFill="1" applyBorder="1" applyAlignment="1" applyProtection="1">
      <alignment vertical="center"/>
    </xf>
    <xf numFmtId="0" fontId="40" fillId="0" borderId="22" xfId="156" applyNumberFormat="1" applyFont="1" applyFill="1" applyBorder="1" applyAlignment="1" applyProtection="1">
      <alignment vertical="center"/>
    </xf>
    <xf numFmtId="0" fontId="40" fillId="0" borderId="57" xfId="156" applyNumberFormat="1" applyFont="1" applyFill="1" applyBorder="1" applyAlignment="1" applyProtection="1">
      <alignment vertical="center"/>
    </xf>
    <xf numFmtId="0" fontId="40" fillId="0" borderId="12" xfId="156" applyNumberFormat="1" applyFont="1" applyFill="1" applyBorder="1" applyAlignment="1" applyProtection="1">
      <alignment vertical="center"/>
    </xf>
    <xf numFmtId="0" fontId="40" fillId="0" borderId="68" xfId="156" applyNumberFormat="1" applyFont="1" applyFill="1" applyBorder="1" applyAlignment="1" applyProtection="1">
      <alignment vertical="center"/>
    </xf>
    <xf numFmtId="0" fontId="40" fillId="0" borderId="69" xfId="156" applyNumberFormat="1" applyFont="1" applyFill="1" applyBorder="1" applyAlignment="1" applyProtection="1">
      <alignment vertical="center"/>
    </xf>
    <xf numFmtId="0" fontId="40" fillId="0" borderId="70" xfId="156" applyNumberFormat="1" applyFont="1" applyFill="1" applyBorder="1" applyAlignment="1" applyProtection="1">
      <alignment vertical="center"/>
    </xf>
    <xf numFmtId="0" fontId="40" fillId="0" borderId="15" xfId="156" applyNumberFormat="1" applyFont="1" applyFill="1" applyBorder="1" applyAlignment="1" applyProtection="1">
      <alignment horizontal="centerContinuous" vertical="center"/>
    </xf>
    <xf numFmtId="0" fontId="40" fillId="0" borderId="0" xfId="156" applyNumberFormat="1" applyFont="1" applyFill="1" applyBorder="1" applyAlignment="1" applyProtection="1">
      <alignment horizontal="centerContinuous" vertical="center"/>
    </xf>
    <xf numFmtId="0" fontId="40" fillId="0" borderId="0" xfId="156" applyNumberFormat="1" applyFont="1" applyFill="1" applyBorder="1" applyAlignment="1" applyProtection="1">
      <alignment vertical="center"/>
    </xf>
    <xf numFmtId="0" fontId="40" fillId="0" borderId="11" xfId="156" applyNumberFormat="1" applyFont="1" applyFill="1" applyBorder="1" applyAlignment="1" applyProtection="1">
      <alignment vertical="center"/>
    </xf>
    <xf numFmtId="0" fontId="40" fillId="0" borderId="45" xfId="156" applyNumberFormat="1" applyFont="1" applyFill="1" applyBorder="1" applyAlignment="1" applyProtection="1">
      <alignment horizontal="centerContinuous" vertical="center"/>
    </xf>
    <xf numFmtId="0" fontId="40" fillId="0" borderId="52" xfId="156" applyNumberFormat="1" applyFont="1" applyFill="1" applyBorder="1" applyAlignment="1" applyProtection="1">
      <alignment horizontal="centerContinuous" vertical="center"/>
    </xf>
    <xf numFmtId="0" fontId="40" fillId="0" borderId="71" xfId="156" applyNumberFormat="1" applyFont="1" applyFill="1" applyBorder="1" applyAlignment="1" applyProtection="1">
      <alignment horizontal="centerContinuous" vertical="center"/>
    </xf>
    <xf numFmtId="0" fontId="40" fillId="0" borderId="14" xfId="156" applyNumberFormat="1" applyFont="1" applyFill="1" applyBorder="1" applyAlignment="1" applyProtection="1">
      <alignment horizontal="centerContinuous" vertical="center"/>
    </xf>
    <xf numFmtId="0" fontId="40" fillId="0" borderId="55" xfId="156" applyNumberFormat="1" applyFont="1" applyFill="1" applyBorder="1" applyAlignment="1" applyProtection="1">
      <alignment horizontal="centerContinuous" vertical="center"/>
    </xf>
    <xf numFmtId="0" fontId="40" fillId="0" borderId="55" xfId="156" applyNumberFormat="1" applyFont="1" applyFill="1" applyBorder="1" applyAlignment="1" applyProtection="1">
      <alignment vertical="center"/>
    </xf>
    <xf numFmtId="0" fontId="40" fillId="0" borderId="10" xfId="156" applyNumberFormat="1" applyFont="1" applyFill="1" applyBorder="1" applyAlignment="1" applyProtection="1">
      <alignment vertical="center"/>
    </xf>
    <xf numFmtId="0" fontId="40" fillId="0" borderId="24" xfId="156" applyNumberFormat="1" applyFont="1" applyFill="1" applyBorder="1" applyAlignment="1" applyProtection="1">
      <alignment horizontal="centerContinuous" vertical="center"/>
    </xf>
    <xf numFmtId="0" fontId="40" fillId="0" borderId="72" xfId="156" applyNumberFormat="1" applyFont="1" applyFill="1" applyBorder="1" applyAlignment="1" applyProtection="1">
      <alignment horizontal="centerContinuous" vertical="center"/>
    </xf>
    <xf numFmtId="0" fontId="40" fillId="0" borderId="23" xfId="156" applyNumberFormat="1" applyFont="1" applyFill="1" applyBorder="1" applyAlignment="1" applyProtection="1">
      <alignment horizontal="centerContinuous" vertical="center"/>
    </xf>
    <xf numFmtId="0" fontId="40" fillId="0" borderId="32" xfId="156" applyNumberFormat="1" applyFont="1" applyFill="1" applyBorder="1" applyAlignment="1" applyProtection="1">
      <alignment vertical="center"/>
    </xf>
    <xf numFmtId="0" fontId="40" fillId="0" borderId="56" xfId="156" applyNumberFormat="1" applyFont="1" applyFill="1" applyBorder="1" applyAlignment="1" applyProtection="1">
      <alignment vertical="center"/>
    </xf>
    <xf numFmtId="0" fontId="40" fillId="0" borderId="21" xfId="156" applyNumberFormat="1" applyFont="1" applyFill="1" applyBorder="1" applyAlignment="1" applyProtection="1">
      <alignment vertical="center"/>
    </xf>
    <xf numFmtId="0" fontId="5" fillId="0" borderId="22" xfId="156" applyNumberFormat="1" applyFont="1" applyFill="1" applyBorder="1" applyAlignment="1" applyProtection="1">
      <alignment horizontal="center" vertical="center"/>
    </xf>
    <xf numFmtId="0" fontId="5" fillId="0" borderId="57" xfId="156" applyNumberFormat="1" applyFont="1" applyFill="1" applyBorder="1" applyAlignment="1" applyProtection="1">
      <alignment horizontal="center" vertical="center"/>
    </xf>
    <xf numFmtId="0" fontId="5" fillId="0" borderId="12" xfId="156" applyNumberFormat="1" applyFont="1" applyFill="1" applyBorder="1" applyAlignment="1" applyProtection="1">
      <alignment horizontal="center" vertical="center"/>
    </xf>
    <xf numFmtId="0" fontId="38" fillId="0" borderId="15" xfId="156" applyNumberFormat="1" applyFont="1" applyFill="1" applyBorder="1" applyAlignment="1" applyProtection="1">
      <alignment vertical="center"/>
    </xf>
    <xf numFmtId="177" fontId="0" fillId="0" borderId="0" xfId="156" applyNumberFormat="1" applyFont="1" applyFill="1" applyBorder="1" applyAlignment="1" applyProtection="1">
      <alignment vertical="center"/>
    </xf>
    <xf numFmtId="177" fontId="38" fillId="0" borderId="0" xfId="156" applyNumberFormat="1" applyFont="1" applyFill="1" applyBorder="1" applyAlignment="1" applyProtection="1">
      <alignment vertical="center"/>
    </xf>
    <xf numFmtId="0" fontId="41" fillId="0" borderId="0" xfId="156" applyNumberFormat="1" applyFont="1" applyFill="1" applyBorder="1" applyAlignment="1" applyProtection="1">
      <alignment horizontal="centerContinuous" vertical="center"/>
    </xf>
    <xf numFmtId="0" fontId="0" fillId="0" borderId="0" xfId="156" applyNumberFormat="1" applyFont="1" applyFill="1" applyBorder="1" applyAlignment="1" applyProtection="1">
      <alignment horizontal="center" vertical="center"/>
    </xf>
    <xf numFmtId="0" fontId="42" fillId="0" borderId="0" xfId="156" applyNumberFormat="1" applyFont="1" applyFill="1" applyBorder="1" applyAlignment="1" applyProtection="1">
      <alignment horizontal="center" vertical="center" textRotation="255"/>
    </xf>
    <xf numFmtId="0" fontId="42" fillId="0" borderId="11" xfId="156" applyNumberFormat="1" applyFont="1" applyFill="1" applyBorder="1" applyAlignment="1" applyProtection="1">
      <alignment horizontal="center" vertical="center" textRotation="255"/>
    </xf>
    <xf numFmtId="0" fontId="41" fillId="0" borderId="0" xfId="156" applyNumberFormat="1" applyFont="1" applyFill="1" applyBorder="1" applyAlignment="1" applyProtection="1">
      <alignment horizontal="center" vertical="center"/>
    </xf>
    <xf numFmtId="0" fontId="38" fillId="0" borderId="15" xfId="156" applyNumberFormat="1" applyFont="1" applyFill="1" applyBorder="1" applyAlignment="1" applyProtection="1">
      <alignment horizontal="centerContinuous" vertical="center"/>
    </xf>
    <xf numFmtId="0" fontId="0" fillId="0" borderId="0" xfId="156" applyNumberFormat="1" applyFont="1" applyFill="1" applyBorder="1" applyAlignment="1" applyProtection="1">
      <alignment vertical="center"/>
    </xf>
    <xf numFmtId="0" fontId="38" fillId="0" borderId="22" xfId="156" applyNumberFormat="1" applyFont="1" applyFill="1" applyBorder="1" applyAlignment="1" applyProtection="1">
      <alignment vertical="center"/>
    </xf>
    <xf numFmtId="0" fontId="38" fillId="0" borderId="57" xfId="156" applyNumberFormat="1" applyFont="1" applyFill="1" applyBorder="1" applyAlignment="1" applyProtection="1">
      <alignment vertical="center"/>
    </xf>
    <xf numFmtId="0" fontId="41" fillId="0" borderId="57" xfId="156" applyNumberFormat="1" applyFont="1" applyFill="1" applyBorder="1" applyAlignment="1" applyProtection="1">
      <alignment vertical="center"/>
    </xf>
    <xf numFmtId="0" fontId="42" fillId="0" borderId="57" xfId="156" applyNumberFormat="1" applyFont="1" applyFill="1" applyBorder="1" applyAlignment="1" applyProtection="1">
      <alignment horizontal="center" vertical="center" textRotation="255"/>
    </xf>
    <xf numFmtId="0" fontId="42" fillId="0" borderId="12" xfId="156" applyNumberFormat="1" applyFont="1" applyFill="1" applyBorder="1" applyAlignment="1" applyProtection="1">
      <alignment horizontal="center" vertical="center" textRotation="255"/>
    </xf>
    <xf numFmtId="0" fontId="35" fillId="0" borderId="15" xfId="156" applyNumberFormat="1" applyFont="1" applyFill="1" applyBorder="1" applyAlignment="1" applyProtection="1">
      <alignment vertical="center"/>
    </xf>
    <xf numFmtId="0" fontId="35" fillId="0" borderId="0" xfId="156" applyNumberFormat="1" applyFont="1" applyFill="1" applyBorder="1" applyAlignment="1" applyProtection="1">
      <alignment vertical="center"/>
    </xf>
    <xf numFmtId="0" fontId="38" fillId="0" borderId="14" xfId="156" applyNumberFormat="1" applyFont="1" applyFill="1" applyBorder="1" applyAlignment="1" applyProtection="1">
      <alignment vertical="center"/>
    </xf>
    <xf numFmtId="0" fontId="38" fillId="0" borderId="55" xfId="156" applyNumberFormat="1" applyFont="1" applyFill="1" applyBorder="1" applyAlignment="1" applyProtection="1">
      <alignment vertical="center"/>
    </xf>
    <xf numFmtId="0" fontId="42" fillId="0" borderId="55" xfId="156" applyNumberFormat="1" applyFont="1" applyFill="1" applyBorder="1" applyAlignment="1" applyProtection="1">
      <alignment horizontal="center" vertical="center" textRotation="255"/>
    </xf>
    <xf numFmtId="0" fontId="42" fillId="0" borderId="10" xfId="156" applyNumberFormat="1" applyFont="1" applyFill="1" applyBorder="1" applyAlignment="1" applyProtection="1">
      <alignment horizontal="center" vertical="center" textRotation="255"/>
    </xf>
    <xf numFmtId="0" fontId="0" fillId="0" borderId="55" xfId="156" applyNumberFormat="1" applyFont="1" applyFill="1" applyBorder="1" applyAlignment="1" applyProtection="1">
      <alignment horizontal="left" vertical="center" shrinkToFit="1"/>
    </xf>
    <xf numFmtId="0" fontId="38" fillId="0" borderId="55" xfId="156" applyNumberFormat="1" applyFont="1" applyFill="1" applyBorder="1" applyAlignment="1" applyProtection="1">
      <alignment horizontal="left" vertical="center" shrinkToFit="1"/>
    </xf>
    <xf numFmtId="0" fontId="38" fillId="0" borderId="55" xfId="156" applyNumberFormat="1" applyFont="1" applyFill="1" applyBorder="1" applyAlignment="1" applyProtection="1">
      <alignment horizontal="right" vertical="center"/>
    </xf>
    <xf numFmtId="0" fontId="38" fillId="0" borderId="55" xfId="156" applyNumberFormat="1" applyFont="1" applyFill="1" applyBorder="1" applyAlignment="1" applyProtection="1">
      <alignment horizontal="center" vertical="center"/>
    </xf>
    <xf numFmtId="0" fontId="35" fillId="0" borderId="55" xfId="156" applyNumberFormat="1" applyFont="1" applyFill="1" applyBorder="1" applyAlignment="1" applyProtection="1">
      <alignment horizontal="center" vertical="center"/>
    </xf>
    <xf numFmtId="194" fontId="35" fillId="0" borderId="55" xfId="156" applyNumberFormat="1" applyFont="1" applyFill="1" applyBorder="1" applyAlignment="1" applyProtection="1">
      <alignment horizontal="center" vertical="center"/>
    </xf>
    <xf numFmtId="0" fontId="0" fillId="0" borderId="55" xfId="156" applyNumberFormat="1" applyFont="1" applyFill="1" applyBorder="1" applyAlignment="1" applyProtection="1">
      <alignment horizontal="right" vertical="center"/>
    </xf>
    <xf numFmtId="194" fontId="38" fillId="0" borderId="55" xfId="156" applyNumberFormat="1" applyFont="1" applyFill="1" applyBorder="1" applyAlignment="1" applyProtection="1">
      <alignment horizontal="right" vertical="center"/>
    </xf>
    <xf numFmtId="0" fontId="38" fillId="0" borderId="21" xfId="156" applyNumberFormat="1" applyFont="1" applyFill="1" applyBorder="1" applyAlignment="1" applyProtection="1">
      <alignment horizontal="left" vertical="center"/>
    </xf>
    <xf numFmtId="0" fontId="38" fillId="0" borderId="10" xfId="156" applyNumberFormat="1" applyFont="1" applyFill="1" applyBorder="1" applyAlignment="1" applyProtection="1">
      <alignment horizontal="left" vertical="center"/>
    </xf>
    <xf numFmtId="0" fontId="38" fillId="0" borderId="32" xfId="156" applyNumberFormat="1" applyFont="1" applyFill="1" applyBorder="1" applyAlignment="1" applyProtection="1">
      <alignment vertical="center"/>
    </xf>
    <xf numFmtId="0" fontId="38" fillId="0" borderId="56" xfId="156" applyNumberFormat="1" applyFont="1" applyFill="1" applyBorder="1" applyAlignment="1" applyProtection="1">
      <alignment horizontal="left" vertical="center" shrinkToFit="1"/>
    </xf>
    <xf numFmtId="0" fontId="38" fillId="0" borderId="56" xfId="156" applyNumberFormat="1" applyFont="1" applyFill="1" applyBorder="1" applyAlignment="1" applyProtection="1">
      <alignment horizontal="right" vertical="center"/>
    </xf>
    <xf numFmtId="0" fontId="38" fillId="0" borderId="56" xfId="156" applyNumberFormat="1" applyFont="1" applyFill="1" applyBorder="1" applyAlignment="1" applyProtection="1">
      <alignment horizontal="center" vertical="center"/>
    </xf>
    <xf numFmtId="0" fontId="35" fillId="0" borderId="56" xfId="156" applyNumberFormat="1" applyFont="1" applyFill="1" applyBorder="1" applyAlignment="1" applyProtection="1">
      <alignment horizontal="center" vertical="center"/>
    </xf>
    <xf numFmtId="0" fontId="38" fillId="0" borderId="56" xfId="156" applyNumberFormat="1" applyFont="1" applyFill="1" applyBorder="1" applyAlignment="1" applyProtection="1">
      <alignment vertical="center"/>
    </xf>
    <xf numFmtId="194" fontId="35" fillId="0" borderId="56" xfId="156" applyNumberFormat="1" applyFont="1" applyFill="1" applyBorder="1" applyAlignment="1" applyProtection="1">
      <alignment horizontal="center" vertical="center"/>
    </xf>
    <xf numFmtId="0" fontId="38" fillId="0" borderId="57" xfId="156" applyNumberFormat="1" applyFont="1" applyFill="1" applyBorder="1" applyAlignment="1" applyProtection="1">
      <alignment horizontal="center" vertical="center"/>
    </xf>
    <xf numFmtId="194" fontId="35" fillId="0" borderId="57" xfId="156" applyNumberFormat="1" applyFont="1" applyFill="1" applyBorder="1" applyAlignment="1" applyProtection="1">
      <alignment horizontal="center" vertical="center"/>
    </xf>
    <xf numFmtId="0" fontId="38" fillId="0" borderId="0" xfId="156" applyNumberFormat="1" applyFont="1" applyFill="1" applyBorder="1" applyAlignment="1" applyProtection="1">
      <alignment horizontal="right" vertical="center"/>
    </xf>
    <xf numFmtId="49" fontId="38" fillId="0" borderId="0" xfId="156" applyNumberFormat="1" applyFont="1" applyFill="1" applyBorder="1" applyAlignment="1" applyProtection="1">
      <alignment vertical="center" shrinkToFit="1"/>
    </xf>
    <xf numFmtId="49" fontId="38" fillId="0" borderId="0" xfId="156" applyNumberFormat="1" applyFont="1" applyFill="1" applyBorder="1" applyAlignment="1" applyProtection="1">
      <alignment vertical="center"/>
    </xf>
    <xf numFmtId="0" fontId="38" fillId="0" borderId="0" xfId="157" applyNumberFormat="1" applyFont="1" applyFill="1" applyBorder="1" applyAlignment="1" applyProtection="1">
      <alignment vertical="center"/>
    </xf>
    <xf numFmtId="0" fontId="38" fillId="0" borderId="0" xfId="157" applyNumberFormat="1" applyFont="1" applyFill="1" applyBorder="1" applyAlignment="1" applyProtection="1">
      <alignment vertical="top"/>
    </xf>
    <xf numFmtId="0" fontId="40" fillId="0" borderId="57" xfId="157" applyNumberFormat="1" applyFont="1" applyFill="1" applyBorder="1" applyAlignment="1" applyProtection="1">
      <alignment vertical="center"/>
    </xf>
    <xf numFmtId="0" fontId="40" fillId="0" borderId="12" xfId="157" applyNumberFormat="1" applyFont="1" applyFill="1" applyBorder="1" applyAlignment="1" applyProtection="1">
      <alignment vertical="center"/>
    </xf>
    <xf numFmtId="0" fontId="40" fillId="0" borderId="68" xfId="157" applyNumberFormat="1" applyFont="1" applyFill="1" applyBorder="1" applyAlignment="1" applyProtection="1">
      <alignment vertical="center"/>
    </xf>
    <xf numFmtId="0" fontId="40" fillId="0" borderId="69" xfId="157" applyNumberFormat="1" applyFont="1" applyFill="1" applyBorder="1" applyAlignment="1" applyProtection="1">
      <alignment vertical="center"/>
    </xf>
    <xf numFmtId="0" fontId="40" fillId="0" borderId="70" xfId="157" applyNumberFormat="1" applyFont="1" applyFill="1" applyBorder="1" applyAlignment="1" applyProtection="1">
      <alignment vertical="center"/>
    </xf>
    <xf numFmtId="0" fontId="40" fillId="0" borderId="0" xfId="157" applyNumberFormat="1" applyFont="1" applyFill="1" applyBorder="1" applyAlignment="1" applyProtection="1">
      <alignment horizontal="centerContinuous" vertical="center"/>
    </xf>
    <xf numFmtId="0" fontId="40" fillId="0" borderId="0" xfId="157" applyNumberFormat="1" applyFont="1" applyFill="1" applyBorder="1" applyAlignment="1" applyProtection="1">
      <alignment vertical="center"/>
    </xf>
    <xf numFmtId="0" fontId="40" fillId="0" borderId="11" xfId="157" applyNumberFormat="1" applyFont="1" applyFill="1" applyBorder="1" applyAlignment="1" applyProtection="1">
      <alignment vertical="center"/>
    </xf>
    <xf numFmtId="0" fontId="40" fillId="0" borderId="45" xfId="157" applyNumberFormat="1" applyFont="1" applyFill="1" applyBorder="1" applyAlignment="1" applyProtection="1">
      <alignment horizontal="centerContinuous" vertical="center"/>
    </xf>
    <xf numFmtId="0" fontId="40" fillId="0" borderId="52" xfId="157" applyNumberFormat="1" applyFont="1" applyFill="1" applyBorder="1" applyAlignment="1" applyProtection="1">
      <alignment horizontal="centerContinuous" vertical="center"/>
    </xf>
    <xf numFmtId="0" fontId="40" fillId="0" borderId="71" xfId="157" applyNumberFormat="1" applyFont="1" applyFill="1" applyBorder="1" applyAlignment="1" applyProtection="1">
      <alignment horizontal="centerContinuous" vertical="center"/>
    </xf>
    <xf numFmtId="0" fontId="40" fillId="0" borderId="55" xfId="157" applyNumberFormat="1" applyFont="1" applyFill="1" applyBorder="1" applyAlignment="1" applyProtection="1">
      <alignment horizontal="centerContinuous" vertical="center"/>
    </xf>
    <xf numFmtId="0" fontId="40" fillId="0" borderId="55" xfId="157" applyNumberFormat="1" applyFont="1" applyFill="1" applyBorder="1" applyAlignment="1" applyProtection="1">
      <alignment vertical="center"/>
    </xf>
    <xf numFmtId="0" fontId="40" fillId="0" borderId="10" xfId="157" applyNumberFormat="1" applyFont="1" applyFill="1" applyBorder="1" applyAlignment="1" applyProtection="1">
      <alignment vertical="center"/>
    </xf>
    <xf numFmtId="0" fontId="40" fillId="0" borderId="24" xfId="157" applyNumberFormat="1" applyFont="1" applyFill="1" applyBorder="1" applyAlignment="1" applyProtection="1">
      <alignment horizontal="centerContinuous" vertical="center"/>
    </xf>
    <xf numFmtId="0" fontId="40" fillId="0" borderId="72" xfId="157" applyNumberFormat="1" applyFont="1" applyFill="1" applyBorder="1" applyAlignment="1" applyProtection="1">
      <alignment horizontal="centerContinuous" vertical="center"/>
    </xf>
    <xf numFmtId="0" fontId="40" fillId="0" borderId="23" xfId="157" applyNumberFormat="1" applyFont="1" applyFill="1" applyBorder="1" applyAlignment="1" applyProtection="1">
      <alignment horizontal="centerContinuous" vertical="center"/>
    </xf>
    <xf numFmtId="0" fontId="40" fillId="0" borderId="32" xfId="157" applyNumberFormat="1" applyFont="1" applyFill="1" applyBorder="1" applyAlignment="1" applyProtection="1">
      <alignment vertical="center"/>
    </xf>
    <xf numFmtId="0" fontId="40" fillId="0" borderId="56" xfId="157" applyNumberFormat="1" applyFont="1" applyFill="1" applyBorder="1" applyAlignment="1" applyProtection="1">
      <alignment vertical="center"/>
    </xf>
    <xf numFmtId="0" fontId="40" fillId="0" borderId="21" xfId="157" applyNumberFormat="1" applyFont="1" applyFill="1" applyBorder="1" applyAlignment="1" applyProtection="1">
      <alignment vertical="center"/>
    </xf>
    <xf numFmtId="0" fontId="5" fillId="0" borderId="22" xfId="157" applyNumberFormat="1" applyFont="1" applyFill="1" applyBorder="1" applyAlignment="1" applyProtection="1">
      <alignment horizontal="center" vertical="center"/>
    </xf>
    <xf numFmtId="0" fontId="5" fillId="0" borderId="57" xfId="157" applyNumberFormat="1" applyFont="1" applyFill="1" applyBorder="1" applyAlignment="1" applyProtection="1">
      <alignment horizontal="center" vertical="center"/>
    </xf>
    <xf numFmtId="0" fontId="5" fillId="0" borderId="12" xfId="157" applyNumberFormat="1" applyFont="1" applyFill="1" applyBorder="1" applyAlignment="1" applyProtection="1">
      <alignment horizontal="center" vertical="center"/>
    </xf>
    <xf numFmtId="0" fontId="38" fillId="0" borderId="15" xfId="157" applyNumberFormat="1" applyFont="1" applyFill="1" applyBorder="1" applyAlignment="1" applyProtection="1">
      <alignment vertical="center"/>
    </xf>
    <xf numFmtId="177" fontId="0" fillId="0" borderId="0" xfId="157" applyNumberFormat="1" applyFont="1" applyFill="1" applyBorder="1" applyAlignment="1" applyProtection="1">
      <alignment vertical="center"/>
    </xf>
    <xf numFmtId="177" fontId="38" fillId="0" borderId="0" xfId="157" applyNumberFormat="1" applyFont="1" applyFill="1" applyBorder="1" applyAlignment="1" applyProtection="1">
      <alignment vertical="center"/>
    </xf>
    <xf numFmtId="0" fontId="41" fillId="0" borderId="0" xfId="157" applyNumberFormat="1" applyFont="1" applyFill="1" applyBorder="1" applyAlignment="1" applyProtection="1">
      <alignment horizontal="centerContinuous" vertical="center"/>
    </xf>
    <xf numFmtId="0" fontId="0" fillId="0" borderId="0" xfId="157" applyNumberFormat="1" applyFont="1" applyFill="1" applyBorder="1" applyAlignment="1" applyProtection="1">
      <alignment horizontal="center" vertical="center"/>
    </xf>
    <xf numFmtId="0" fontId="42" fillId="0" borderId="0" xfId="157" applyNumberFormat="1" applyFont="1" applyFill="1" applyBorder="1" applyAlignment="1" applyProtection="1">
      <alignment horizontal="center" vertical="center" textRotation="255"/>
    </xf>
    <xf numFmtId="0" fontId="42" fillId="0" borderId="11" xfId="157" applyNumberFormat="1" applyFont="1" applyFill="1" applyBorder="1" applyAlignment="1" applyProtection="1">
      <alignment horizontal="center" vertical="center" textRotation="255"/>
    </xf>
    <xf numFmtId="0" fontId="41" fillId="0" borderId="0" xfId="157" applyNumberFormat="1" applyFont="1" applyFill="1" applyBorder="1" applyAlignment="1" applyProtection="1">
      <alignment horizontal="center" vertical="center"/>
    </xf>
    <xf numFmtId="0" fontId="38" fillId="0" borderId="15" xfId="157" applyNumberFormat="1" applyFont="1" applyFill="1" applyBorder="1" applyAlignment="1" applyProtection="1">
      <alignment horizontal="centerContinuous" vertical="center"/>
    </xf>
    <xf numFmtId="0" fontId="0" fillId="0" borderId="0" xfId="157" applyNumberFormat="1" applyFont="1" applyFill="1" applyBorder="1" applyAlignment="1" applyProtection="1">
      <alignment vertical="center"/>
    </xf>
    <xf numFmtId="0" fontId="38" fillId="0" borderId="22" xfId="157" applyNumberFormat="1" applyFont="1" applyFill="1" applyBorder="1" applyAlignment="1" applyProtection="1">
      <alignment vertical="center"/>
    </xf>
    <xf numFmtId="0" fontId="38" fillId="0" borderId="57" xfId="157" applyNumberFormat="1" applyFont="1" applyFill="1" applyBorder="1" applyAlignment="1" applyProtection="1">
      <alignment vertical="center"/>
    </xf>
    <xf numFmtId="0" fontId="41" fillId="0" borderId="57" xfId="157" applyNumberFormat="1" applyFont="1" applyFill="1" applyBorder="1" applyAlignment="1" applyProtection="1">
      <alignment vertical="center"/>
    </xf>
    <xf numFmtId="0" fontId="42" fillId="0" borderId="57" xfId="157" applyNumberFormat="1" applyFont="1" applyFill="1" applyBorder="1" applyAlignment="1" applyProtection="1">
      <alignment horizontal="center" vertical="center" textRotation="255"/>
    </xf>
    <xf numFmtId="0" fontId="42" fillId="0" borderId="12" xfId="157" applyNumberFormat="1" applyFont="1" applyFill="1" applyBorder="1" applyAlignment="1" applyProtection="1">
      <alignment horizontal="center" vertical="center" textRotation="255"/>
    </xf>
    <xf numFmtId="0" fontId="35" fillId="0" borderId="15" xfId="157" applyNumberFormat="1" applyFont="1" applyFill="1" applyBorder="1" applyAlignment="1" applyProtection="1">
      <alignment vertical="center"/>
    </xf>
    <xf numFmtId="0" fontId="35" fillId="0" borderId="0" xfId="157" applyNumberFormat="1" applyFont="1" applyFill="1" applyBorder="1" applyAlignment="1" applyProtection="1">
      <alignment vertical="center"/>
    </xf>
    <xf numFmtId="0" fontId="38" fillId="0" borderId="14" xfId="157" applyNumberFormat="1" applyFont="1" applyFill="1" applyBorder="1" applyAlignment="1" applyProtection="1">
      <alignment vertical="center"/>
    </xf>
    <xf numFmtId="0" fontId="38" fillId="0" borderId="55" xfId="157" applyNumberFormat="1" applyFont="1" applyFill="1" applyBorder="1" applyAlignment="1" applyProtection="1">
      <alignment vertical="center"/>
    </xf>
    <xf numFmtId="0" fontId="42" fillId="0" borderId="55" xfId="157" applyNumberFormat="1" applyFont="1" applyFill="1" applyBorder="1" applyAlignment="1" applyProtection="1">
      <alignment horizontal="center" vertical="center" textRotation="255"/>
    </xf>
    <xf numFmtId="0" fontId="42" fillId="0" borderId="10" xfId="157" applyNumberFormat="1" applyFont="1" applyFill="1" applyBorder="1" applyAlignment="1" applyProtection="1">
      <alignment horizontal="center" vertical="center" textRotation="255"/>
    </xf>
    <xf numFmtId="0" fontId="0" fillId="0" borderId="55" xfId="157" applyNumberFormat="1" applyFont="1" applyFill="1" applyBorder="1" applyAlignment="1" applyProtection="1">
      <alignment horizontal="left" vertical="center" shrinkToFit="1"/>
    </xf>
    <xf numFmtId="0" fontId="38" fillId="0" borderId="55" xfId="157" applyNumberFormat="1" applyFont="1" applyFill="1" applyBorder="1" applyAlignment="1" applyProtection="1">
      <alignment horizontal="left" vertical="center" shrinkToFit="1"/>
    </xf>
    <xf numFmtId="0" fontId="38" fillId="0" borderId="55" xfId="157" applyNumberFormat="1" applyFont="1" applyFill="1" applyBorder="1" applyAlignment="1" applyProtection="1">
      <alignment horizontal="right" vertical="center"/>
    </xf>
    <xf numFmtId="0" fontId="38" fillId="0" borderId="55" xfId="157" applyNumberFormat="1" applyFont="1" applyFill="1" applyBorder="1" applyAlignment="1" applyProtection="1">
      <alignment horizontal="center" vertical="center"/>
    </xf>
    <xf numFmtId="0" fontId="35" fillId="0" borderId="55" xfId="157" applyNumberFormat="1" applyFont="1" applyFill="1" applyBorder="1" applyAlignment="1" applyProtection="1">
      <alignment horizontal="center" vertical="center"/>
    </xf>
    <xf numFmtId="194" fontId="35" fillId="0" borderId="55" xfId="157" applyNumberFormat="1" applyFont="1" applyFill="1" applyBorder="1" applyAlignment="1" applyProtection="1">
      <alignment horizontal="center" vertical="center"/>
    </xf>
    <xf numFmtId="0" fontId="0" fillId="0" borderId="55" xfId="157" applyNumberFormat="1" applyFont="1" applyFill="1" applyBorder="1" applyAlignment="1" applyProtection="1">
      <alignment horizontal="right" vertical="center"/>
    </xf>
    <xf numFmtId="194" fontId="38" fillId="0" borderId="55" xfId="157" applyNumberFormat="1" applyFont="1" applyFill="1" applyBorder="1" applyAlignment="1" applyProtection="1">
      <alignment horizontal="right" vertical="center"/>
    </xf>
    <xf numFmtId="0" fontId="38" fillId="0" borderId="21" xfId="157" applyNumberFormat="1" applyFont="1" applyFill="1" applyBorder="1" applyAlignment="1" applyProtection="1">
      <alignment horizontal="left" vertical="center"/>
    </xf>
    <xf numFmtId="0" fontId="38" fillId="0" borderId="10" xfId="157" applyNumberFormat="1" applyFont="1" applyFill="1" applyBorder="1" applyAlignment="1" applyProtection="1">
      <alignment horizontal="left" vertical="center"/>
    </xf>
    <xf numFmtId="0" fontId="38" fillId="0" borderId="32" xfId="157" applyNumberFormat="1" applyFont="1" applyFill="1" applyBorder="1" applyAlignment="1" applyProtection="1">
      <alignment vertical="center"/>
    </xf>
    <xf numFmtId="0" fontId="0" fillId="0" borderId="56" xfId="157" applyNumberFormat="1" applyFont="1" applyFill="1" applyBorder="1" applyAlignment="1" applyProtection="1">
      <alignment horizontal="left" vertical="center" shrinkToFit="1"/>
    </xf>
    <xf numFmtId="0" fontId="38" fillId="0" borderId="56" xfId="157" applyNumberFormat="1" applyFont="1" applyFill="1" applyBorder="1" applyAlignment="1" applyProtection="1">
      <alignment horizontal="left" vertical="center" shrinkToFit="1"/>
    </xf>
    <xf numFmtId="0" fontId="38" fillId="0" borderId="56" xfId="157" applyNumberFormat="1" applyFont="1" applyFill="1" applyBorder="1" applyAlignment="1" applyProtection="1">
      <alignment horizontal="right" vertical="center"/>
    </xf>
    <xf numFmtId="0" fontId="38" fillId="0" borderId="56" xfId="157" applyNumberFormat="1" applyFont="1" applyFill="1" applyBorder="1" applyAlignment="1" applyProtection="1">
      <alignment horizontal="center" vertical="center"/>
    </xf>
    <xf numFmtId="0" fontId="35" fillId="0" borderId="56" xfId="157" applyNumberFormat="1" applyFont="1" applyFill="1" applyBorder="1" applyAlignment="1" applyProtection="1">
      <alignment horizontal="center" vertical="center"/>
    </xf>
    <xf numFmtId="0" fontId="38" fillId="0" borderId="56" xfId="157" applyNumberFormat="1" applyFont="1" applyFill="1" applyBorder="1" applyAlignment="1" applyProtection="1">
      <alignment vertical="center"/>
    </xf>
    <xf numFmtId="194" fontId="35" fillId="0" borderId="56" xfId="157" applyNumberFormat="1" applyFont="1" applyFill="1" applyBorder="1" applyAlignment="1" applyProtection="1">
      <alignment horizontal="center" vertical="center"/>
    </xf>
    <xf numFmtId="0" fontId="38" fillId="0" borderId="0" xfId="157" applyNumberFormat="1" applyFont="1" applyFill="1" applyBorder="1" applyAlignment="1" applyProtection="1">
      <alignment horizontal="right" vertical="center"/>
    </xf>
    <xf numFmtId="49" fontId="38" fillId="0" borderId="0" xfId="157" applyNumberFormat="1" applyFont="1" applyFill="1" applyBorder="1" applyAlignment="1" applyProtection="1">
      <alignment vertical="center" shrinkToFit="1"/>
    </xf>
    <xf numFmtId="49" fontId="38" fillId="0" borderId="0" xfId="157" applyNumberFormat="1" applyFont="1" applyFill="1" applyBorder="1" applyAlignment="1" applyProtection="1">
      <alignment vertical="center"/>
    </xf>
    <xf numFmtId="0" fontId="38" fillId="0" borderId="0" xfId="158" applyNumberFormat="1" applyFont="1" applyFill="1" applyBorder="1" applyAlignment="1" applyProtection="1">
      <alignment vertical="center"/>
    </xf>
    <xf numFmtId="0" fontId="38" fillId="0" borderId="0" xfId="158" applyNumberFormat="1" applyFont="1" applyFill="1" applyBorder="1" applyAlignment="1" applyProtection="1">
      <alignment vertical="center"/>
      <protection locked="0"/>
    </xf>
    <xf numFmtId="0" fontId="39" fillId="0" borderId="0" xfId="158" applyNumberFormat="1" applyFont="1" applyFill="1" applyBorder="1" applyAlignment="1" applyProtection="1">
      <alignment vertical="center"/>
    </xf>
    <xf numFmtId="0" fontId="39" fillId="0" borderId="0" xfId="158" applyNumberFormat="1" applyFont="1" applyFill="1" applyBorder="1" applyAlignment="1" applyProtection="1">
      <alignment vertical="center"/>
      <protection locked="0"/>
    </xf>
    <xf numFmtId="0" fontId="38" fillId="0" borderId="0" xfId="158" applyNumberFormat="1" applyFont="1" applyFill="1" applyBorder="1" applyAlignment="1" applyProtection="1">
      <alignment horizontal="right" vertical="center"/>
    </xf>
    <xf numFmtId="0" fontId="38" fillId="0" borderId="0" xfId="158" applyNumberFormat="1" applyFont="1" applyFill="1" applyBorder="1" applyAlignment="1" applyProtection="1">
      <alignment horizontal="left" vertical="distributed"/>
    </xf>
    <xf numFmtId="0" fontId="38" fillId="0" borderId="0" xfId="158" applyNumberFormat="1" applyFont="1" applyFill="1" applyBorder="1" applyAlignment="1" applyProtection="1">
      <alignment vertical="center" shrinkToFit="1"/>
    </xf>
    <xf numFmtId="0" fontId="38" fillId="0" borderId="0" xfId="158" applyNumberFormat="1" applyFont="1" applyFill="1" applyBorder="1" applyAlignment="1" applyProtection="1">
      <alignment vertical="justify" wrapText="1"/>
    </xf>
    <xf numFmtId="0" fontId="38" fillId="0" borderId="0" xfId="158" applyNumberFormat="1" applyFont="1" applyFill="1" applyBorder="1" applyAlignment="1" applyProtection="1">
      <alignment horizontal="justify" vertical="justify" wrapText="1"/>
    </xf>
    <xf numFmtId="0" fontId="38" fillId="0" borderId="0" xfId="158" applyNumberFormat="1" applyFont="1" applyFill="1" applyBorder="1" applyAlignment="1" applyProtection="1">
      <alignment horizontal="center" vertical="distributed"/>
    </xf>
    <xf numFmtId="0" fontId="0" fillId="0" borderId="0" xfId="158" applyNumberFormat="1" applyFont="1" applyFill="1" applyBorder="1" applyAlignment="1" applyProtection="1">
      <alignment vertical="center"/>
    </xf>
    <xf numFmtId="0" fontId="38" fillId="0" borderId="0" xfId="158" applyNumberFormat="1" applyFont="1" applyFill="1" applyBorder="1" applyAlignment="1" applyProtection="1">
      <alignment horizontal="distributed" vertical="center"/>
    </xf>
    <xf numFmtId="49" fontId="38" fillId="0" borderId="0" xfId="159" applyNumberFormat="1" applyFont="1" applyFill="1" applyBorder="1" applyAlignment="1" applyProtection="1">
      <alignment vertical="center"/>
    </xf>
    <xf numFmtId="49" fontId="49" fillId="0" borderId="0" xfId="159" applyNumberFormat="1" applyFont="1" applyFill="1" applyBorder="1" applyAlignment="1" applyProtection="1">
      <alignment vertical="center"/>
    </xf>
    <xf numFmtId="49" fontId="50" fillId="0" borderId="0" xfId="159" applyNumberFormat="1" applyFont="1" applyFill="1" applyBorder="1" applyAlignment="1" applyProtection="1">
      <alignment vertical="center"/>
    </xf>
    <xf numFmtId="49" fontId="38" fillId="0" borderId="22" xfId="159" applyNumberFormat="1" applyFont="1" applyFill="1" applyBorder="1" applyAlignment="1" applyProtection="1">
      <alignment horizontal="left" vertical="center"/>
    </xf>
    <xf numFmtId="49" fontId="38" fillId="0" borderId="57" xfId="159" applyNumberFormat="1" applyFont="1" applyFill="1" applyBorder="1" applyAlignment="1" applyProtection="1">
      <alignment horizontal="left" vertical="center"/>
    </xf>
    <xf numFmtId="49" fontId="38" fillId="0" borderId="57" xfId="159" applyNumberFormat="1" applyFont="1" applyFill="1" applyBorder="1" applyAlignment="1" applyProtection="1">
      <alignment vertical="center"/>
    </xf>
    <xf numFmtId="49" fontId="38" fillId="0" borderId="12" xfId="159" applyNumberFormat="1" applyFont="1" applyFill="1" applyBorder="1" applyAlignment="1" applyProtection="1">
      <alignment vertical="center"/>
    </xf>
    <xf numFmtId="49" fontId="38" fillId="0" borderId="68" xfId="159" applyNumberFormat="1" applyFont="1" applyFill="1" applyBorder="1" applyAlignment="1" applyProtection="1">
      <alignment vertical="center"/>
    </xf>
    <xf numFmtId="49" fontId="38" fillId="0" borderId="69" xfId="159" applyNumberFormat="1" applyFont="1" applyFill="1" applyBorder="1" applyAlignment="1" applyProtection="1">
      <alignment vertical="center"/>
    </xf>
    <xf numFmtId="49" fontId="38" fillId="0" borderId="70" xfId="159" applyNumberFormat="1" applyFont="1" applyFill="1" applyBorder="1" applyAlignment="1" applyProtection="1">
      <alignment vertical="center"/>
    </xf>
    <xf numFmtId="49" fontId="38" fillId="0" borderId="15" xfId="159" applyNumberFormat="1" applyFont="1" applyFill="1" applyBorder="1" applyAlignment="1" applyProtection="1">
      <alignment horizontal="left" vertical="center"/>
    </xf>
    <xf numFmtId="49" fontId="38" fillId="0" borderId="0" xfId="159" applyNumberFormat="1" applyFont="1" applyFill="1" applyBorder="1" applyAlignment="1" applyProtection="1">
      <alignment horizontal="left" vertical="center"/>
    </xf>
    <xf numFmtId="49" fontId="38" fillId="0" borderId="11" xfId="159" applyNumberFormat="1" applyFont="1" applyFill="1" applyBorder="1" applyAlignment="1" applyProtection="1">
      <alignment vertical="center"/>
    </xf>
    <xf numFmtId="49" fontId="38" fillId="0" borderId="45" xfId="159" applyNumberFormat="1" applyFont="1" applyFill="1" applyBorder="1" applyAlignment="1" applyProtection="1">
      <alignment vertical="center"/>
    </xf>
    <xf numFmtId="49" fontId="38" fillId="0" borderId="52" xfId="159" applyNumberFormat="1" applyFont="1" applyFill="1" applyBorder="1" applyAlignment="1" applyProtection="1">
      <alignment vertical="center"/>
    </xf>
    <xf numFmtId="49" fontId="38" fillId="0" borderId="71" xfId="159" applyNumberFormat="1" applyFont="1" applyFill="1" applyBorder="1" applyAlignment="1" applyProtection="1">
      <alignment vertical="center"/>
    </xf>
    <xf numFmtId="49" fontId="38" fillId="0" borderId="14" xfId="159" applyNumberFormat="1" applyFont="1" applyFill="1" applyBorder="1" applyAlignment="1" applyProtection="1">
      <alignment horizontal="center" vertical="center"/>
    </xf>
    <xf numFmtId="49" fontId="38" fillId="0" borderId="55" xfId="159" applyNumberFormat="1" applyFont="1" applyFill="1" applyBorder="1" applyAlignment="1" applyProtection="1">
      <alignment horizontal="center" vertical="center"/>
    </xf>
    <xf numFmtId="49" fontId="38" fillId="0" borderId="55" xfId="159" applyNumberFormat="1" applyFont="1" applyFill="1" applyBorder="1" applyAlignment="1" applyProtection="1">
      <alignment vertical="center"/>
    </xf>
    <xf numFmtId="49" fontId="38" fillId="0" borderId="10" xfId="159" applyNumberFormat="1" applyFont="1" applyFill="1" applyBorder="1" applyAlignment="1" applyProtection="1">
      <alignment vertical="center"/>
    </xf>
    <xf numFmtId="49" fontId="38" fillId="0" borderId="24" xfId="159" applyNumberFormat="1" applyFont="1" applyFill="1" applyBorder="1" applyAlignment="1" applyProtection="1">
      <alignment vertical="center"/>
    </xf>
    <xf numFmtId="49" fontId="38" fillId="0" borderId="72" xfId="159" applyNumberFormat="1" applyFont="1" applyFill="1" applyBorder="1" applyAlignment="1" applyProtection="1">
      <alignment vertical="center"/>
    </xf>
    <xf numFmtId="49" fontId="38" fillId="0" borderId="23" xfId="159" applyNumberFormat="1" applyFont="1" applyFill="1" applyBorder="1" applyAlignment="1" applyProtection="1">
      <alignment vertical="center"/>
    </xf>
    <xf numFmtId="49" fontId="38" fillId="0" borderId="32" xfId="159" applyNumberFormat="1" applyFont="1" applyFill="1" applyBorder="1" applyAlignment="1" applyProtection="1">
      <alignment horizontal="left" vertical="center"/>
    </xf>
    <xf numFmtId="49" fontId="38" fillId="0" borderId="56" xfId="159" applyNumberFormat="1" applyFont="1" applyFill="1" applyBorder="1" applyAlignment="1" applyProtection="1">
      <alignment horizontal="left" vertical="center"/>
    </xf>
    <xf numFmtId="49" fontId="38" fillId="0" borderId="56" xfId="159" applyNumberFormat="1" applyFont="1" applyFill="1" applyBorder="1" applyAlignment="1" applyProtection="1">
      <alignment vertical="center"/>
    </xf>
    <xf numFmtId="49" fontId="38" fillId="0" borderId="21" xfId="159" applyNumberFormat="1" applyFont="1" applyFill="1" applyBorder="1" applyAlignment="1" applyProtection="1">
      <alignment vertical="center"/>
    </xf>
    <xf numFmtId="49" fontId="38" fillId="0" borderId="32" xfId="159" applyNumberFormat="1" applyFont="1" applyFill="1" applyBorder="1" applyAlignment="1" applyProtection="1">
      <alignment vertical="center"/>
    </xf>
    <xf numFmtId="49" fontId="38" fillId="0" borderId="0" xfId="159" applyNumberFormat="1" applyFont="1" applyFill="1" applyBorder="1" applyAlignment="1" applyProtection="1">
      <alignment vertical="center" shrinkToFit="1"/>
    </xf>
    <xf numFmtId="49" fontId="38" fillId="0" borderId="0" xfId="159" applyNumberFormat="1" applyFont="1" applyFill="1" applyBorder="1" applyAlignment="1" applyProtection="1">
      <alignment horizontal="center" vertical="center"/>
    </xf>
    <xf numFmtId="49" fontId="38" fillId="0" borderId="0" xfId="159" applyNumberFormat="1" applyFont="1" applyFill="1" applyBorder="1" applyAlignment="1" applyProtection="1">
      <alignment horizontal="right" vertical="center"/>
    </xf>
    <xf numFmtId="49" fontId="38" fillId="0" borderId="22" xfId="159" applyNumberFormat="1" applyFont="1" applyFill="1" applyBorder="1" applyAlignment="1" applyProtection="1">
      <alignment vertical="center"/>
    </xf>
    <xf numFmtId="49" fontId="38" fillId="0" borderId="15" xfId="159" applyNumberFormat="1" applyFont="1" applyFill="1" applyBorder="1" applyAlignment="1" applyProtection="1">
      <alignment vertical="center"/>
    </xf>
    <xf numFmtId="49" fontId="38" fillId="0" borderId="17" xfId="159" applyNumberFormat="1" applyFont="1" applyFill="1" applyBorder="1" applyAlignment="1" applyProtection="1">
      <alignment vertical="center"/>
    </xf>
    <xf numFmtId="49" fontId="38" fillId="0" borderId="73" xfId="159" applyNumberFormat="1" applyFont="1" applyFill="1" applyBorder="1" applyAlignment="1" applyProtection="1">
      <alignment vertical="center"/>
    </xf>
    <xf numFmtId="49" fontId="38" fillId="0" borderId="16" xfId="159" applyNumberFormat="1" applyFont="1" applyFill="1" applyBorder="1" applyAlignment="1" applyProtection="1">
      <alignment vertical="center"/>
    </xf>
    <xf numFmtId="49" fontId="38" fillId="0" borderId="24" xfId="159" applyNumberFormat="1" applyFont="1" applyFill="1" applyBorder="1" applyAlignment="1" applyProtection="1">
      <alignment horizontal="centerContinuous" vertical="center"/>
    </xf>
    <xf numFmtId="49" fontId="38" fillId="0" borderId="72" xfId="159" applyNumberFormat="1" applyFont="1" applyFill="1" applyBorder="1" applyAlignment="1" applyProtection="1">
      <alignment horizontal="centerContinuous" vertical="center"/>
    </xf>
    <xf numFmtId="49" fontId="38" fillId="0" borderId="23" xfId="159" applyNumberFormat="1" applyFont="1" applyFill="1" applyBorder="1" applyAlignment="1" applyProtection="1">
      <alignment horizontal="centerContinuous" vertical="center"/>
    </xf>
    <xf numFmtId="49" fontId="52" fillId="0" borderId="0" xfId="159" applyNumberFormat="1" applyFont="1" applyFill="1" applyBorder="1" applyAlignment="1" applyProtection="1">
      <alignment vertical="center"/>
    </xf>
    <xf numFmtId="190" fontId="38" fillId="0" borderId="0" xfId="159" applyNumberFormat="1" applyFont="1" applyFill="1" applyBorder="1" applyAlignment="1" applyProtection="1">
      <alignment vertical="center"/>
    </xf>
    <xf numFmtId="49" fontId="53" fillId="0" borderId="0" xfId="159" applyNumberFormat="1" applyFont="1" applyFill="1" applyBorder="1" applyAlignment="1" applyProtection="1">
      <alignment vertical="center"/>
    </xf>
    <xf numFmtId="49" fontId="38" fillId="32" borderId="0" xfId="159" applyNumberFormat="1" applyFont="1" applyFill="1" applyBorder="1" applyAlignment="1" applyProtection="1">
      <alignment horizontal="center" vertical="center"/>
    </xf>
    <xf numFmtId="49" fontId="38" fillId="32" borderId="0" xfId="159" applyNumberFormat="1" applyFont="1" applyFill="1" applyBorder="1" applyAlignment="1" applyProtection="1">
      <alignment vertical="center"/>
    </xf>
    <xf numFmtId="49" fontId="38" fillId="0" borderId="0" xfId="159" applyNumberFormat="1" applyFont="1" applyFill="1" applyBorder="1" applyAlignment="1" applyProtection="1">
      <alignment horizontal="centerContinuous" vertical="center"/>
    </xf>
    <xf numFmtId="49" fontId="38" fillId="0" borderId="0" xfId="159" applyNumberFormat="1" applyFont="1" applyFill="1" applyBorder="1" applyAlignment="1" applyProtection="1">
      <alignment horizontal="distributed" vertical="center"/>
    </xf>
    <xf numFmtId="49" fontId="56" fillId="0" borderId="0" xfId="159" applyNumberFormat="1" applyFont="1" applyFill="1" applyBorder="1" applyAlignment="1" applyProtection="1">
      <alignment vertical="center"/>
    </xf>
    <xf numFmtId="49" fontId="44" fillId="0" borderId="0" xfId="159" applyNumberFormat="1" applyFont="1" applyFill="1" applyBorder="1" applyAlignment="1" applyProtection="1">
      <alignment horizontal="centerContinuous" vertical="center"/>
    </xf>
    <xf numFmtId="6" fontId="6" fillId="0" borderId="0" xfId="38" applyNumberFormat="1" applyFont="1" applyFill="1" applyBorder="1" applyAlignment="1" applyProtection="1">
      <alignment horizontal="left" vertical="center"/>
    </xf>
    <xf numFmtId="0" fontId="9" fillId="0" borderId="0" xfId="51" applyNumberFormat="1" applyFont="1" applyFill="1" applyBorder="1" applyAlignment="1" applyProtection="1">
      <alignment vertical="center"/>
    </xf>
    <xf numFmtId="0" fontId="59" fillId="0" borderId="0" xfId="51" applyNumberFormat="1" applyFont="1" applyFill="1" applyBorder="1" applyAlignment="1" applyProtection="1">
      <alignment vertical="center"/>
    </xf>
    <xf numFmtId="0" fontId="59" fillId="0" borderId="0" xfId="51" applyNumberFormat="1" applyFont="1" applyFill="1" applyBorder="1" applyAlignment="1" applyProtection="1">
      <alignment horizontal="right" vertical="center"/>
    </xf>
    <xf numFmtId="0" fontId="0" fillId="0" borderId="0" xfId="162" applyNumberFormat="1" applyFont="1" applyFill="1" applyBorder="1" applyAlignment="1" applyProtection="1">
      <alignment vertical="center"/>
    </xf>
    <xf numFmtId="0" fontId="0" fillId="0" borderId="0" xfId="162" applyNumberFormat="1" applyFont="1" applyFill="1" applyBorder="1" applyAlignment="1" applyProtection="1">
      <alignment horizontal="center" vertical="center"/>
    </xf>
    <xf numFmtId="0" fontId="61" fillId="0" borderId="0" xfId="163" applyNumberFormat="1" applyFont="1" applyFill="1" applyBorder="1" applyAlignment="1" applyProtection="1"/>
    <xf numFmtId="0" fontId="61" fillId="0" borderId="0" xfId="163" applyNumberFormat="1" applyFont="1" applyFill="1" applyBorder="1" applyAlignment="1" applyProtection="1">
      <alignment horizontal="center"/>
    </xf>
    <xf numFmtId="0" fontId="6" fillId="0" borderId="0" xfId="164" applyNumberFormat="1" applyFont="1" applyFill="1" applyBorder="1" applyAlignment="1" applyProtection="1">
      <alignment vertical="center"/>
    </xf>
    <xf numFmtId="0" fontId="7" fillId="0" borderId="22" xfId="165" applyNumberFormat="1" applyFont="1" applyFill="1" applyBorder="1" applyAlignment="1" applyProtection="1">
      <alignment vertical="center" shrinkToFit="1"/>
      <protection locked="0"/>
    </xf>
    <xf numFmtId="0" fontId="34" fillId="0" borderId="57" xfId="165" applyNumberFormat="1" applyFont="1" applyFill="1" applyBorder="1" applyAlignment="1" applyProtection="1">
      <alignment horizontal="center" vertical="center" shrinkToFit="1"/>
      <protection locked="0"/>
    </xf>
    <xf numFmtId="0" fontId="34" fillId="0" borderId="57" xfId="164" applyNumberFormat="1" applyFont="1" applyFill="1" applyBorder="1" applyAlignment="1" applyProtection="1">
      <alignment horizontal="center" vertical="center"/>
    </xf>
    <xf numFmtId="0" fontId="34" fillId="0" borderId="57" xfId="163" applyNumberFormat="1" applyFont="1" applyFill="1" applyBorder="1" applyAlignment="1" applyProtection="1">
      <alignment horizontal="center" vertical="center" shrinkToFit="1"/>
      <protection locked="0"/>
    </xf>
    <xf numFmtId="0" fontId="34" fillId="0" borderId="57" xfId="164" applyNumberFormat="1" applyFont="1" applyFill="1" applyBorder="1" applyAlignment="1" applyProtection="1">
      <alignment vertical="center"/>
    </xf>
    <xf numFmtId="0" fontId="6" fillId="0" borderId="12" xfId="164" applyNumberFormat="1" applyFont="1" applyFill="1" applyBorder="1" applyAlignment="1" applyProtection="1">
      <alignment vertical="center"/>
    </xf>
    <xf numFmtId="49" fontId="7" fillId="0" borderId="15" xfId="166" applyNumberFormat="1" applyFont="1" applyFill="1" applyBorder="1" applyAlignment="1" applyProtection="1">
      <alignment horizontal="center" vertical="center" shrinkToFit="1"/>
      <protection locked="0"/>
    </xf>
    <xf numFmtId="0" fontId="6" fillId="0" borderId="11" xfId="164" applyNumberFormat="1" applyFont="1" applyFill="1" applyBorder="1" applyAlignment="1" applyProtection="1">
      <alignment vertical="center"/>
    </xf>
    <xf numFmtId="0" fontId="6" fillId="0" borderId="0" xfId="166" applyNumberFormat="1" applyFont="1" applyFill="1" applyBorder="1" applyAlignment="1" applyProtection="1">
      <alignment vertical="center"/>
    </xf>
    <xf numFmtId="0" fontId="6" fillId="0" borderId="15" xfId="165" applyNumberFormat="1" applyFont="1" applyFill="1" applyBorder="1" applyAlignment="1" applyProtection="1">
      <alignment vertical="center"/>
    </xf>
    <xf numFmtId="0" fontId="32" fillId="42" borderId="0" xfId="165" applyNumberFormat="1" applyFont="1" applyFill="1" applyBorder="1" applyAlignment="1" applyProtection="1">
      <alignment vertical="center"/>
    </xf>
    <xf numFmtId="0" fontId="32" fillId="42" borderId="0" xfId="166" applyNumberFormat="1" applyFont="1" applyFill="1" applyBorder="1" applyAlignment="1" applyProtection="1">
      <alignment horizontal="center" vertical="center"/>
    </xf>
    <xf numFmtId="0" fontId="32" fillId="42" borderId="0" xfId="164" applyNumberFormat="1" applyFont="1" applyFill="1" applyBorder="1" applyAlignment="1" applyProtection="1">
      <alignment horizontal="center" vertical="center"/>
    </xf>
    <xf numFmtId="0" fontId="32" fillId="42" borderId="0" xfId="164" applyNumberFormat="1" applyFont="1" applyFill="1" applyBorder="1" applyAlignment="1" applyProtection="1">
      <alignment horizontal="left" vertical="center"/>
    </xf>
    <xf numFmtId="0" fontId="7" fillId="0" borderId="14" xfId="165" applyNumberFormat="1" applyFont="1" applyFill="1" applyBorder="1" applyAlignment="1" applyProtection="1">
      <alignment vertical="center"/>
    </xf>
    <xf numFmtId="0" fontId="32" fillId="0" borderId="55" xfId="165" applyNumberFormat="1" applyFont="1" applyFill="1" applyBorder="1" applyAlignment="1" applyProtection="1">
      <alignment vertical="center"/>
    </xf>
    <xf numFmtId="0" fontId="32" fillId="0" borderId="55" xfId="166" applyNumberFormat="1" applyFont="1" applyFill="1" applyBorder="1" applyAlignment="1" applyProtection="1">
      <alignment horizontal="center" vertical="center"/>
    </xf>
    <xf numFmtId="0" fontId="32" fillId="0" borderId="55" xfId="164" applyNumberFormat="1" applyFont="1" applyFill="1" applyBorder="1" applyAlignment="1" applyProtection="1">
      <alignment horizontal="center" vertical="center"/>
    </xf>
    <xf numFmtId="0" fontId="32" fillId="0" borderId="55" xfId="164" applyNumberFormat="1" applyFont="1" applyFill="1" applyBorder="1" applyAlignment="1" applyProtection="1">
      <alignment vertical="center"/>
    </xf>
    <xf numFmtId="0" fontId="6" fillId="0" borderId="10" xfId="164" applyNumberFormat="1" applyFont="1" applyFill="1" applyBorder="1" applyAlignment="1" applyProtection="1">
      <alignment vertical="center"/>
    </xf>
    <xf numFmtId="0" fontId="7" fillId="0" borderId="15" xfId="165" applyNumberFormat="1" applyFont="1" applyFill="1" applyBorder="1" applyAlignment="1" applyProtection="1">
      <alignment vertical="center"/>
    </xf>
    <xf numFmtId="0" fontId="32" fillId="0" borderId="0" xfId="165" applyNumberFormat="1" applyFont="1" applyFill="1" applyBorder="1" applyAlignment="1" applyProtection="1">
      <alignment vertical="center"/>
    </xf>
    <xf numFmtId="0" fontId="32" fillId="0" borderId="0" xfId="166" applyNumberFormat="1" applyFont="1" applyFill="1" applyBorder="1" applyAlignment="1" applyProtection="1">
      <alignment horizontal="center" vertical="center"/>
    </xf>
    <xf numFmtId="0" fontId="32" fillId="0" borderId="0" xfId="164" applyNumberFormat="1" applyFont="1" applyFill="1" applyBorder="1" applyAlignment="1" applyProtection="1">
      <alignment horizontal="center" vertical="center"/>
    </xf>
    <xf numFmtId="0" fontId="32" fillId="0" borderId="0" xfId="164" applyNumberFormat="1" applyFont="1" applyFill="1" applyBorder="1" applyAlignment="1" applyProtection="1">
      <alignment vertical="center"/>
    </xf>
    <xf numFmtId="0" fontId="7" fillId="0" borderId="15" xfId="164" applyNumberFormat="1" applyFont="1" applyFill="1" applyBorder="1" applyAlignment="1" applyProtection="1">
      <alignment vertical="center" shrinkToFit="1"/>
      <protection locked="0"/>
    </xf>
    <xf numFmtId="0" fontId="32" fillId="0" borderId="0" xfId="164" applyNumberFormat="1" applyFont="1" applyFill="1" applyBorder="1" applyAlignment="1" applyProtection="1">
      <alignment vertical="center" shrinkToFit="1"/>
      <protection locked="0"/>
    </xf>
    <xf numFmtId="0" fontId="32" fillId="0" borderId="0" xfId="163" applyNumberFormat="1" applyFont="1" applyFill="1" applyBorder="1" applyAlignment="1" applyProtection="1">
      <alignment vertical="center" shrinkToFit="1"/>
      <protection locked="0"/>
    </xf>
    <xf numFmtId="0" fontId="31" fillId="0" borderId="0" xfId="162" applyNumberFormat="1" applyFont="1" applyFill="1" applyBorder="1" applyAlignment="1" applyProtection="1">
      <alignment vertical="center"/>
    </xf>
    <xf numFmtId="0" fontId="34" fillId="0" borderId="53" xfId="164" applyNumberFormat="1" applyFont="1" applyFill="1" applyBorder="1" applyAlignment="1" applyProtection="1">
      <alignment vertical="center" shrinkToFit="1"/>
      <protection locked="0"/>
    </xf>
    <xf numFmtId="0" fontId="34" fillId="0" borderId="52" xfId="164" applyNumberFormat="1" applyFont="1" applyFill="1" applyBorder="1" applyAlignment="1" applyProtection="1">
      <alignment vertical="center" shrinkToFit="1"/>
      <protection locked="0"/>
    </xf>
    <xf numFmtId="0" fontId="34" fillId="0" borderId="51" xfId="164" applyNumberFormat="1" applyFont="1" applyFill="1" applyBorder="1" applyAlignment="1" applyProtection="1">
      <alignment vertical="center" shrinkToFit="1"/>
      <protection locked="0"/>
    </xf>
    <xf numFmtId="0" fontId="7" fillId="0" borderId="15" xfId="166" applyNumberFormat="1" applyFont="1" applyFill="1" applyBorder="1" applyAlignment="1" applyProtection="1">
      <alignment vertical="center"/>
    </xf>
    <xf numFmtId="0" fontId="32" fillId="42" borderId="0" xfId="166" applyNumberFormat="1" applyFont="1" applyFill="1" applyBorder="1" applyAlignment="1" applyProtection="1">
      <alignment vertical="center"/>
    </xf>
    <xf numFmtId="0" fontId="32" fillId="42" borderId="0" xfId="164" applyNumberFormat="1" applyFont="1" applyFill="1" applyBorder="1" applyAlignment="1" applyProtection="1">
      <alignment vertical="center"/>
    </xf>
    <xf numFmtId="0" fontId="7" fillId="0" borderId="15" xfId="164" applyNumberFormat="1" applyFont="1" applyFill="1" applyBorder="1" applyAlignment="1" applyProtection="1">
      <alignment vertical="center"/>
    </xf>
    <xf numFmtId="49" fontId="32" fillId="0" borderId="0" xfId="166" applyNumberFormat="1" applyFont="1" applyFill="1" applyBorder="1" applyAlignment="1" applyProtection="1">
      <alignment horizontal="center" vertical="center"/>
    </xf>
    <xf numFmtId="0" fontId="32" fillId="0" borderId="0" xfId="163" applyNumberFormat="1" applyFont="1" applyFill="1" applyBorder="1" applyAlignment="1" applyProtection="1">
      <alignment horizontal="left" vertical="center"/>
    </xf>
    <xf numFmtId="0" fontId="7" fillId="42" borderId="0" xfId="166" applyNumberFormat="1" applyFont="1" applyFill="1" applyBorder="1" applyAlignment="1" applyProtection="1">
      <alignment vertical="center"/>
    </xf>
    <xf numFmtId="0" fontId="7" fillId="42" borderId="0" xfId="164" applyNumberFormat="1" applyFont="1" applyFill="1" applyBorder="1" applyAlignment="1" applyProtection="1">
      <alignment vertical="center"/>
    </xf>
    <xf numFmtId="0" fontId="7" fillId="42" borderId="0" xfId="166" applyNumberFormat="1" applyFont="1" applyFill="1" applyBorder="1" applyAlignment="1" applyProtection="1">
      <alignment horizontal="center" vertical="center"/>
    </xf>
    <xf numFmtId="0" fontId="7" fillId="42" borderId="0" xfId="164" applyNumberFormat="1" applyFont="1" applyFill="1" applyBorder="1" applyAlignment="1" applyProtection="1">
      <alignment horizontal="center" vertical="center"/>
    </xf>
    <xf numFmtId="0" fontId="7" fillId="0" borderId="15" xfId="165" applyNumberFormat="1" applyFont="1" applyFill="1" applyBorder="1" applyAlignment="1" applyProtection="1">
      <alignment horizontal="left" vertical="center"/>
    </xf>
    <xf numFmtId="0" fontId="7" fillId="0" borderId="0" xfId="165" applyNumberFormat="1" applyFont="1" applyFill="1" applyBorder="1" applyAlignment="1" applyProtection="1">
      <alignment horizontal="left" vertical="center"/>
    </xf>
    <xf numFmtId="0" fontId="34" fillId="0" borderId="0" xfId="165" applyNumberFormat="1" applyFont="1" applyFill="1" applyBorder="1" applyAlignment="1" applyProtection="1">
      <alignment horizontal="left" vertical="center"/>
    </xf>
    <xf numFmtId="196" fontId="34" fillId="0" borderId="0" xfId="165" applyNumberFormat="1" applyFont="1" applyFill="1" applyBorder="1" applyAlignment="1" applyProtection="1">
      <alignment horizontal="center" vertical="center"/>
      <protection locked="0"/>
    </xf>
    <xf numFmtId="0" fontId="7" fillId="0" borderId="0" xfId="166" applyNumberFormat="1" applyFont="1" applyFill="1" applyBorder="1" applyAlignment="1" applyProtection="1">
      <alignment horizontal="center" vertical="center"/>
    </xf>
    <xf numFmtId="0" fontId="7" fillId="0" borderId="0" xfId="164" applyNumberFormat="1" applyFont="1" applyFill="1" applyBorder="1" applyAlignment="1" applyProtection="1">
      <alignment horizontal="center" vertical="center"/>
    </xf>
    <xf numFmtId="0" fontId="7" fillId="0" borderId="0" xfId="164" applyNumberFormat="1" applyFont="1" applyFill="1" applyBorder="1" applyAlignment="1" applyProtection="1">
      <alignment vertical="center"/>
    </xf>
    <xf numFmtId="0" fontId="6" fillId="0" borderId="15" xfId="165" applyNumberFormat="1" applyFont="1" applyFill="1" applyBorder="1" applyAlignment="1" applyProtection="1">
      <alignment vertical="center" shrinkToFit="1"/>
    </xf>
    <xf numFmtId="0" fontId="7" fillId="0" borderId="11" xfId="164" applyNumberFormat="1" applyFont="1" applyFill="1" applyBorder="1" applyAlignment="1" applyProtection="1">
      <alignment vertical="center"/>
    </xf>
    <xf numFmtId="0" fontId="6" fillId="0" borderId="0" xfId="164" applyNumberFormat="1" applyFont="1" applyFill="1" applyBorder="1" applyAlignment="1" applyProtection="1">
      <alignment horizontal="right"/>
    </xf>
    <xf numFmtId="0" fontId="7" fillId="0" borderId="15" xfId="164" applyNumberFormat="1" applyFont="1" applyFill="1" applyBorder="1" applyAlignment="1" applyProtection="1"/>
    <xf numFmtId="0" fontId="7" fillId="0" borderId="0" xfId="164" applyNumberFormat="1" applyFont="1" applyFill="1" applyBorder="1" applyAlignment="1" applyProtection="1"/>
    <xf numFmtId="0" fontId="7" fillId="0" borderId="0" xfId="164" applyNumberFormat="1" applyFont="1" applyFill="1" applyBorder="1" applyAlignment="1" applyProtection="1">
      <alignment horizontal="center"/>
    </xf>
    <xf numFmtId="0" fontId="6" fillId="0" borderId="0" xfId="164" applyNumberFormat="1" applyFont="1" applyFill="1" applyBorder="1" applyAlignment="1" applyProtection="1">
      <alignment horizontal="center"/>
    </xf>
    <xf numFmtId="0" fontId="7" fillId="0" borderId="11" xfId="164" applyNumberFormat="1" applyFont="1" applyFill="1" applyBorder="1" applyAlignment="1" applyProtection="1"/>
    <xf numFmtId="0" fontId="6" fillId="0" borderId="0" xfId="168" applyNumberFormat="1" applyFont="1" applyFill="1" applyBorder="1" applyAlignment="1" applyProtection="1"/>
    <xf numFmtId="0" fontId="61" fillId="0" borderId="14" xfId="163" applyNumberFormat="1" applyFont="1" applyFill="1" applyBorder="1" applyAlignment="1" applyProtection="1"/>
    <xf numFmtId="0" fontId="61" fillId="0" borderId="55" xfId="163" applyNumberFormat="1" applyFont="1" applyFill="1" applyBorder="1" applyAlignment="1" applyProtection="1"/>
    <xf numFmtId="0" fontId="7" fillId="0" borderId="55" xfId="164" applyNumberFormat="1" applyFont="1" applyFill="1" applyBorder="1" applyAlignment="1" applyProtection="1"/>
    <xf numFmtId="0" fontId="7" fillId="0" borderId="55" xfId="164" applyNumberFormat="1" applyFont="1" applyFill="1" applyBorder="1" applyAlignment="1" applyProtection="1">
      <alignment horizontal="center"/>
    </xf>
    <xf numFmtId="0" fontId="7" fillId="0" borderId="10" xfId="164" applyNumberFormat="1" applyFont="1" applyFill="1" applyBorder="1" applyAlignment="1" applyProtection="1"/>
    <xf numFmtId="0" fontId="61" fillId="0" borderId="57" xfId="163" applyNumberFormat="1" applyFont="1" applyFill="1" applyBorder="1" applyAlignment="1" applyProtection="1"/>
    <xf numFmtId="0" fontId="61" fillId="0" borderId="57" xfId="163" applyNumberFormat="1" applyFont="1" applyFill="1" applyBorder="1" applyAlignment="1" applyProtection="1">
      <alignment horizontal="center"/>
    </xf>
    <xf numFmtId="0" fontId="4" fillId="29" borderId="10" xfId="50" applyNumberFormat="1" applyFont="1" applyFill="1" applyBorder="1" applyAlignment="1" applyProtection="1">
      <alignment vertical="center" wrapText="1"/>
    </xf>
    <xf numFmtId="0" fontId="4" fillId="29" borderId="14" xfId="50" applyNumberFormat="1" applyFont="1" applyFill="1" applyBorder="1" applyAlignment="1" applyProtection="1">
      <alignment vertical="center"/>
    </xf>
    <xf numFmtId="0" fontId="4" fillId="0" borderId="0" xfId="50" applyNumberFormat="1" applyFont="1" applyFill="1" applyBorder="1" applyAlignment="1" applyProtection="1">
      <alignment vertical="center"/>
    </xf>
    <xf numFmtId="0" fontId="4" fillId="29" borderId="11" xfId="50" applyNumberFormat="1" applyFont="1" applyFill="1" applyBorder="1" applyAlignment="1" applyProtection="1">
      <alignment vertical="center" wrapText="1"/>
    </xf>
    <xf numFmtId="0" fontId="4" fillId="29" borderId="26" xfId="50" applyNumberFormat="1" applyFont="1" applyFill="1" applyBorder="1" applyAlignment="1" applyProtection="1">
      <alignment vertical="center" wrapText="1"/>
    </xf>
    <xf numFmtId="0" fontId="4" fillId="29" borderId="11" xfId="50" applyNumberFormat="1" applyFont="1" applyFill="1" applyBorder="1" applyAlignment="1" applyProtection="1">
      <alignment vertical="center"/>
    </xf>
    <xf numFmtId="0" fontId="4" fillId="29" borderId="26" xfId="50" applyNumberFormat="1" applyFont="1" applyFill="1" applyBorder="1" applyAlignment="1" applyProtection="1">
      <alignment vertical="center"/>
    </xf>
    <xf numFmtId="0" fontId="4" fillId="29" borderId="12" xfId="50" applyNumberFormat="1" applyFont="1" applyFill="1" applyBorder="1" applyAlignment="1" applyProtection="1">
      <alignment vertical="center"/>
    </xf>
    <xf numFmtId="0" fontId="4" fillId="29" borderId="27" xfId="50" applyNumberFormat="1" applyFont="1" applyFill="1" applyBorder="1" applyAlignment="1" applyProtection="1">
      <alignment vertical="center" wrapText="1"/>
    </xf>
    <xf numFmtId="0" fontId="4" fillId="30" borderId="10" xfId="50" applyNumberFormat="1" applyFont="1" applyFill="1" applyBorder="1" applyAlignment="1" applyProtection="1">
      <alignment vertical="center" wrapText="1"/>
    </xf>
    <xf numFmtId="0" fontId="4" fillId="30" borderId="14" xfId="50" applyNumberFormat="1" applyFont="1" applyFill="1" applyBorder="1" applyAlignment="1" applyProtection="1">
      <alignment vertical="center"/>
    </xf>
    <xf numFmtId="0" fontId="4" fillId="30" borderId="11" xfId="50" applyNumberFormat="1" applyFont="1" applyFill="1" applyBorder="1" applyAlignment="1" applyProtection="1">
      <alignment vertical="center" wrapText="1"/>
    </xf>
    <xf numFmtId="0" fontId="4" fillId="30" borderId="26" xfId="50" applyNumberFormat="1" applyFont="1" applyFill="1" applyBorder="1" applyAlignment="1" applyProtection="1">
      <alignment vertical="center" wrapText="1"/>
    </xf>
    <xf numFmtId="0" fontId="4" fillId="30" borderId="11" xfId="50" applyNumberFormat="1" applyFont="1" applyFill="1" applyBorder="1" applyAlignment="1" applyProtection="1">
      <alignment vertical="center"/>
    </xf>
    <xf numFmtId="0" fontId="4" fillId="30" borderId="26" xfId="50" applyNumberFormat="1" applyFont="1" applyFill="1" applyBorder="1" applyAlignment="1" applyProtection="1">
      <alignment vertical="center"/>
    </xf>
    <xf numFmtId="0" fontId="4" fillId="30" borderId="12" xfId="50" applyNumberFormat="1" applyFont="1" applyFill="1" applyBorder="1" applyAlignment="1" applyProtection="1">
      <alignment vertical="center"/>
    </xf>
    <xf numFmtId="0" fontId="4" fillId="30" borderId="27" xfId="50" applyNumberFormat="1" applyFont="1" applyFill="1" applyBorder="1" applyAlignment="1" applyProtection="1">
      <alignment vertical="center" wrapText="1"/>
    </xf>
    <xf numFmtId="0" fontId="4" fillId="0" borderId="0" xfId="0" applyNumberFormat="1" applyFont="1" applyFill="1" applyBorder="1" applyAlignment="1" applyProtection="1"/>
    <xf numFmtId="0" fontId="4" fillId="30" borderId="36" xfId="50" applyNumberFormat="1" applyFont="1" applyFill="1" applyBorder="1" applyAlignment="1" applyProtection="1">
      <alignment vertical="center" wrapText="1"/>
    </xf>
    <xf numFmtId="0" fontId="4" fillId="24" borderId="21" xfId="0" applyNumberFormat="1" applyFont="1" applyFill="1" applyBorder="1" applyAlignment="1" applyProtection="1">
      <alignment vertical="center" wrapText="1"/>
    </xf>
    <xf numFmtId="0" fontId="4" fillId="24" borderId="32" xfId="0" applyNumberFormat="1" applyFont="1" applyFill="1" applyBorder="1" applyAlignment="1" applyProtection="1">
      <alignment vertical="center"/>
    </xf>
    <xf numFmtId="0" fontId="4" fillId="24" borderId="14" xfId="0" applyNumberFormat="1" applyFont="1" applyFill="1" applyBorder="1" applyAlignment="1" applyProtection="1">
      <alignment vertical="center"/>
    </xf>
    <xf numFmtId="49" fontId="4" fillId="24" borderId="18" xfId="0" applyNumberFormat="1" applyFont="1" applyFill="1" applyBorder="1" applyAlignment="1" applyProtection="1">
      <alignment vertical="center" wrapText="1"/>
    </xf>
    <xf numFmtId="0" fontId="4" fillId="24" borderId="27" xfId="0" applyNumberFormat="1" applyFont="1" applyFill="1" applyBorder="1" applyAlignment="1" applyProtection="1">
      <alignment vertical="center" wrapText="1"/>
    </xf>
    <xf numFmtId="0" fontId="4" fillId="29" borderId="0" xfId="0" applyNumberFormat="1" applyFont="1" applyFill="1" applyBorder="1" applyAlignment="1" applyProtection="1"/>
    <xf numFmtId="0" fontId="38" fillId="32" borderId="0" xfId="158" applyNumberFormat="1" applyFont="1" applyFill="1" applyBorder="1" applyAlignment="1" applyProtection="1">
      <alignment vertical="center"/>
      <protection locked="0"/>
    </xf>
    <xf numFmtId="0" fontId="38" fillId="34" borderId="0" xfId="159" applyNumberFormat="1" applyFont="1" applyFill="1" applyBorder="1" applyAlignment="1" applyProtection="1">
      <alignment vertical="center"/>
    </xf>
    <xf numFmtId="0" fontId="6" fillId="0" borderId="0" xfId="169" applyNumberFormat="1" applyFont="1" applyFill="1" applyBorder="1" applyAlignment="1" applyProtection="1"/>
    <xf numFmtId="0" fontId="6" fillId="0" borderId="0" xfId="169" applyNumberFormat="1" applyFont="1" applyFill="1" applyBorder="1" applyAlignment="1" applyProtection="1">
      <alignment horizontal="left"/>
    </xf>
    <xf numFmtId="0" fontId="7" fillId="0" borderId="0" xfId="169" applyNumberFormat="1" applyFont="1" applyFill="1" applyBorder="1" applyAlignment="1" applyProtection="1"/>
    <xf numFmtId="0" fontId="0" fillId="0" borderId="0" xfId="169" applyNumberFormat="1" applyFont="1" applyFill="1" applyBorder="1" applyAlignment="1" applyProtection="1">
      <alignment horizontal="left"/>
    </xf>
    <xf numFmtId="58" fontId="6" fillId="0" borderId="0" xfId="169" applyNumberFormat="1" applyFont="1" applyFill="1" applyBorder="1" applyAlignment="1" applyProtection="1">
      <alignment horizontal="center"/>
    </xf>
    <xf numFmtId="0" fontId="6" fillId="0" borderId="0" xfId="169" applyNumberFormat="1" applyFont="1" applyFill="1" applyBorder="1" applyAlignment="1" applyProtection="1">
      <alignment horizontal="center"/>
    </xf>
    <xf numFmtId="0" fontId="6" fillId="0" borderId="0" xfId="169" applyNumberFormat="1" applyFont="1" applyFill="1" applyBorder="1" applyAlignment="1" applyProtection="1">
      <alignment horizontal="left" vertical="center"/>
    </xf>
    <xf numFmtId="0" fontId="6" fillId="0" borderId="0" xfId="169" applyNumberFormat="1" applyFont="1" applyFill="1" applyBorder="1" applyAlignment="1" applyProtection="1">
      <alignment horizontal="right"/>
    </xf>
    <xf numFmtId="0" fontId="6" fillId="0" borderId="0" xfId="169" applyNumberFormat="1" applyFont="1" applyFill="1" applyBorder="1" applyAlignment="1" applyProtection="1">
      <alignment vertical="center"/>
    </xf>
    <xf numFmtId="0" fontId="6" fillId="0" borderId="0" xfId="169" applyNumberFormat="1" applyFont="1" applyFill="1" applyBorder="1" applyAlignment="1" applyProtection="1">
      <alignment horizontal="distributed" vertical="center"/>
    </xf>
    <xf numFmtId="0" fontId="6" fillId="0" borderId="0" xfId="169" applyNumberFormat="1" applyFont="1" applyFill="1" applyBorder="1" applyAlignment="1" applyProtection="1">
      <alignment horizontal="center" vertical="center"/>
    </xf>
    <xf numFmtId="0" fontId="57" fillId="0" borderId="0" xfId="169" applyNumberFormat="1" applyFont="1" applyFill="1" applyBorder="1" applyAlignment="1" applyProtection="1">
      <alignment vertical="center"/>
    </xf>
    <xf numFmtId="0" fontId="6" fillId="0" borderId="0" xfId="169" applyNumberFormat="1" applyFont="1" applyFill="1" applyBorder="1" applyAlignment="1" applyProtection="1">
      <alignment vertical="center" shrinkToFit="1"/>
    </xf>
    <xf numFmtId="0" fontId="6" fillId="0" borderId="0" xfId="169" applyNumberFormat="1" applyFont="1" applyFill="1" applyBorder="1" applyAlignment="1" applyProtection="1">
      <alignment horizontal="left" vertical="center" shrinkToFit="1"/>
    </xf>
    <xf numFmtId="0" fontId="58" fillId="0" borderId="0" xfId="169" applyNumberFormat="1" applyFont="1" applyFill="1" applyBorder="1" applyAlignment="1" applyProtection="1">
      <alignment horizontal="center" vertical="center"/>
    </xf>
    <xf numFmtId="0" fontId="9" fillId="0" borderId="0" xfId="169" applyNumberFormat="1" applyFont="1" applyFill="1" applyBorder="1" applyAlignment="1" applyProtection="1">
      <alignment horizontal="left" vertical="center"/>
    </xf>
    <xf numFmtId="181" fontId="9" fillId="0" borderId="0" xfId="169" applyNumberFormat="1" applyFont="1" applyFill="1" applyBorder="1" applyAlignment="1" applyProtection="1">
      <alignment vertical="top" wrapText="1"/>
    </xf>
    <xf numFmtId="181" fontId="9" fillId="0" borderId="0" xfId="169" applyNumberFormat="1" applyFont="1" applyFill="1" applyBorder="1" applyAlignment="1" applyProtection="1">
      <alignment horizontal="left" vertical="center"/>
    </xf>
    <xf numFmtId="0" fontId="6" fillId="0" borderId="0" xfId="169" applyNumberFormat="1" applyFont="1" applyFill="1" applyBorder="1" applyAlignment="1" applyProtection="1">
      <alignment horizontal="right" shrinkToFit="1"/>
    </xf>
    <xf numFmtId="0" fontId="38" fillId="0" borderId="0" xfId="170" applyNumberFormat="1" applyFont="1" applyFill="1" applyBorder="1" applyAlignment="1" applyProtection="1">
      <alignment vertical="center"/>
    </xf>
    <xf numFmtId="0" fontId="49" fillId="0" borderId="0" xfId="170" applyNumberFormat="1" applyFont="1" applyFill="1" applyBorder="1" applyAlignment="1" applyProtection="1">
      <alignment vertical="center"/>
    </xf>
    <xf numFmtId="0" fontId="40" fillId="0" borderId="22" xfId="170" applyNumberFormat="1" applyFont="1" applyFill="1" applyBorder="1" applyAlignment="1" applyProtection="1">
      <alignment vertical="center"/>
    </xf>
    <xf numFmtId="0" fontId="40" fillId="0" borderId="57" xfId="170" applyNumberFormat="1" applyFont="1" applyFill="1" applyBorder="1" applyAlignment="1" applyProtection="1">
      <alignment vertical="center"/>
    </xf>
    <xf numFmtId="0" fontId="40" fillId="0" borderId="12" xfId="170" applyNumberFormat="1" applyFont="1" applyFill="1" applyBorder="1" applyAlignment="1" applyProtection="1">
      <alignment vertical="center"/>
    </xf>
    <xf numFmtId="0" fontId="40" fillId="0" borderId="15" xfId="170" applyNumberFormat="1" applyFont="1" applyFill="1" applyBorder="1" applyAlignment="1" applyProtection="1">
      <alignment horizontal="centerContinuous" vertical="center"/>
    </xf>
    <xf numFmtId="0" fontId="40" fillId="0" borderId="0" xfId="170" applyNumberFormat="1" applyFont="1" applyFill="1" applyBorder="1" applyAlignment="1" applyProtection="1">
      <alignment horizontal="centerContinuous" vertical="center"/>
    </xf>
    <xf numFmtId="0" fontId="40" fillId="0" borderId="0" xfId="170" applyNumberFormat="1" applyFont="1" applyFill="1" applyBorder="1" applyAlignment="1" applyProtection="1">
      <alignment vertical="center"/>
    </xf>
    <xf numFmtId="0" fontId="40" fillId="0" borderId="11" xfId="170" applyNumberFormat="1" applyFont="1" applyFill="1" applyBorder="1" applyAlignment="1" applyProtection="1">
      <alignment vertical="center"/>
    </xf>
    <xf numFmtId="0" fontId="40" fillId="0" borderId="11" xfId="170" applyNumberFormat="1" applyFont="1" applyFill="1" applyBorder="1" applyAlignment="1" applyProtection="1">
      <alignment horizontal="centerContinuous" vertical="center"/>
    </xf>
    <xf numFmtId="0" fontId="40" fillId="0" borderId="14" xfId="170" applyNumberFormat="1" applyFont="1" applyFill="1" applyBorder="1" applyAlignment="1" applyProtection="1">
      <alignment horizontal="centerContinuous" vertical="center"/>
    </xf>
    <xf numFmtId="0" fontId="40" fillId="0" borderId="55" xfId="170" applyNumberFormat="1" applyFont="1" applyFill="1" applyBorder="1" applyAlignment="1" applyProtection="1">
      <alignment horizontal="centerContinuous" vertical="center"/>
    </xf>
    <xf numFmtId="0" fontId="40" fillId="0" borderId="55" xfId="170" applyNumberFormat="1" applyFont="1" applyFill="1" applyBorder="1" applyAlignment="1" applyProtection="1">
      <alignment vertical="center"/>
    </xf>
    <xf numFmtId="0" fontId="40" fillId="0" borderId="10" xfId="170" applyNumberFormat="1" applyFont="1" applyFill="1" applyBorder="1" applyAlignment="1" applyProtection="1">
      <alignment vertical="center"/>
    </xf>
    <xf numFmtId="0" fontId="40" fillId="0" borderId="10" xfId="170" applyNumberFormat="1" applyFont="1" applyFill="1" applyBorder="1" applyAlignment="1" applyProtection="1">
      <alignment horizontal="centerContinuous" vertical="center"/>
    </xf>
    <xf numFmtId="0" fontId="40" fillId="0" borderId="32" xfId="170" applyNumberFormat="1" applyFont="1" applyFill="1" applyBorder="1" applyAlignment="1" applyProtection="1">
      <alignment vertical="center"/>
    </xf>
    <xf numFmtId="0" fontId="40" fillId="0" borderId="56" xfId="170" applyNumberFormat="1" applyFont="1" applyFill="1" applyBorder="1" applyAlignment="1" applyProtection="1">
      <alignment vertical="center"/>
    </xf>
    <xf numFmtId="0" fontId="40" fillId="0" borderId="21" xfId="170" applyNumberFormat="1" applyFont="1" applyFill="1" applyBorder="1" applyAlignment="1" applyProtection="1">
      <alignment vertical="center"/>
    </xf>
    <xf numFmtId="0" fontId="5" fillId="0" borderId="22" xfId="170" applyNumberFormat="1" applyFont="1" applyFill="1" applyBorder="1" applyAlignment="1" applyProtection="1">
      <alignment horizontal="center" vertical="center"/>
    </xf>
    <xf numFmtId="0" fontId="5" fillId="0" borderId="57" xfId="170" applyNumberFormat="1" applyFont="1" applyFill="1" applyBorder="1" applyAlignment="1" applyProtection="1">
      <alignment horizontal="center" vertical="center"/>
    </xf>
    <xf numFmtId="0" fontId="5" fillId="0" borderId="12" xfId="170" applyNumberFormat="1" applyFont="1" applyFill="1" applyBorder="1" applyAlignment="1" applyProtection="1">
      <alignment horizontal="center" vertical="center"/>
    </xf>
    <xf numFmtId="0" fontId="38" fillId="0" borderId="15" xfId="170" applyNumberFormat="1" applyFont="1" applyFill="1" applyBorder="1" applyAlignment="1" applyProtection="1">
      <alignment vertical="center"/>
    </xf>
    <xf numFmtId="177" fontId="0" fillId="0" borderId="0" xfId="170" applyNumberFormat="1" applyFont="1" applyFill="1" applyBorder="1" applyAlignment="1" applyProtection="1">
      <alignment vertical="center"/>
    </xf>
    <xf numFmtId="177" fontId="38" fillId="0" borderId="0" xfId="170" applyNumberFormat="1" applyFont="1" applyFill="1" applyBorder="1" applyAlignment="1" applyProtection="1">
      <alignment vertical="center"/>
    </xf>
    <xf numFmtId="0" fontId="41" fillId="0" borderId="0" xfId="170" applyNumberFormat="1" applyFont="1" applyFill="1" applyBorder="1" applyAlignment="1" applyProtection="1">
      <alignment horizontal="centerContinuous" vertical="center"/>
    </xf>
    <xf numFmtId="0" fontId="0" fillId="0" borderId="0" xfId="170" applyNumberFormat="1" applyFont="1" applyFill="1" applyBorder="1" applyAlignment="1" applyProtection="1">
      <alignment horizontal="center" vertical="center"/>
    </xf>
    <xf numFmtId="0" fontId="42" fillId="0" borderId="0" xfId="170" applyNumberFormat="1" applyFont="1" applyFill="1" applyBorder="1" applyAlignment="1" applyProtection="1">
      <alignment horizontal="center" vertical="center" textRotation="255"/>
    </xf>
    <xf numFmtId="0" fontId="42" fillId="0" borderId="11" xfId="170" applyNumberFormat="1" applyFont="1" applyFill="1" applyBorder="1" applyAlignment="1" applyProtection="1">
      <alignment horizontal="center" vertical="center" textRotation="255"/>
    </xf>
    <xf numFmtId="0" fontId="41" fillId="0" borderId="0" xfId="170" applyNumberFormat="1" applyFont="1" applyFill="1" applyBorder="1" applyAlignment="1" applyProtection="1">
      <alignment horizontal="center" vertical="center"/>
    </xf>
    <xf numFmtId="0" fontId="38" fillId="0" borderId="15" xfId="170" applyNumberFormat="1" applyFont="1" applyFill="1" applyBorder="1" applyAlignment="1" applyProtection="1">
      <alignment horizontal="centerContinuous" vertical="center"/>
    </xf>
    <xf numFmtId="0" fontId="0" fillId="0" borderId="0" xfId="170" applyNumberFormat="1" applyFont="1" applyFill="1" applyBorder="1" applyAlignment="1" applyProtection="1">
      <alignment vertical="center"/>
    </xf>
    <xf numFmtId="0" fontId="38" fillId="0" borderId="22" xfId="170" applyNumberFormat="1" applyFont="1" applyFill="1" applyBorder="1" applyAlignment="1" applyProtection="1">
      <alignment vertical="center"/>
    </xf>
    <xf numFmtId="0" fontId="38" fillId="0" borderId="57" xfId="170" applyNumberFormat="1" applyFont="1" applyFill="1" applyBorder="1" applyAlignment="1" applyProtection="1">
      <alignment vertical="center"/>
    </xf>
    <xf numFmtId="0" fontId="41" fillId="0" borderId="57" xfId="170" applyNumberFormat="1" applyFont="1" applyFill="1" applyBorder="1" applyAlignment="1" applyProtection="1">
      <alignment vertical="center"/>
    </xf>
    <xf numFmtId="0" fontId="42" fillId="0" borderId="57" xfId="170" applyNumberFormat="1" applyFont="1" applyFill="1" applyBorder="1" applyAlignment="1" applyProtection="1">
      <alignment horizontal="center" vertical="center" textRotation="255"/>
    </xf>
    <xf numFmtId="0" fontId="42" fillId="0" borderId="12" xfId="170" applyNumberFormat="1" applyFont="1" applyFill="1" applyBorder="1" applyAlignment="1" applyProtection="1">
      <alignment horizontal="center" vertical="center" textRotation="255"/>
    </xf>
    <xf numFmtId="0" fontId="35" fillId="0" borderId="15" xfId="170" applyNumberFormat="1" applyFont="1" applyFill="1" applyBorder="1" applyAlignment="1" applyProtection="1">
      <alignment vertical="center"/>
    </xf>
    <xf numFmtId="0" fontId="35" fillId="0" borderId="0" xfId="170" applyNumberFormat="1" applyFont="1" applyFill="1" applyBorder="1" applyAlignment="1" applyProtection="1">
      <alignment vertical="center"/>
    </xf>
    <xf numFmtId="0" fontId="38" fillId="0" borderId="14" xfId="170" applyNumberFormat="1" applyFont="1" applyFill="1" applyBorder="1" applyAlignment="1" applyProtection="1">
      <alignment vertical="center"/>
    </xf>
    <xf numFmtId="0" fontId="38" fillId="0" borderId="55" xfId="170" applyNumberFormat="1" applyFont="1" applyFill="1" applyBorder="1" applyAlignment="1" applyProtection="1">
      <alignment vertical="center"/>
    </xf>
    <xf numFmtId="0" fontId="42" fillId="0" borderId="55" xfId="170" applyNumberFormat="1" applyFont="1" applyFill="1" applyBorder="1" applyAlignment="1" applyProtection="1">
      <alignment horizontal="center" vertical="center" textRotation="255"/>
    </xf>
    <xf numFmtId="0" fontId="42" fillId="0" borderId="10" xfId="170" applyNumberFormat="1" applyFont="1" applyFill="1" applyBorder="1" applyAlignment="1" applyProtection="1">
      <alignment horizontal="center" vertical="center" textRotation="255"/>
    </xf>
    <xf numFmtId="0" fontId="38" fillId="0" borderId="21" xfId="170" applyNumberFormat="1" applyFont="1" applyFill="1" applyBorder="1" applyAlignment="1" applyProtection="1">
      <alignment horizontal="left" vertical="center"/>
    </xf>
    <xf numFmtId="0" fontId="38" fillId="0" borderId="32" xfId="170" applyNumberFormat="1" applyFont="1" applyFill="1" applyBorder="1" applyAlignment="1" applyProtection="1">
      <alignment vertical="center"/>
    </xf>
    <xf numFmtId="0" fontId="38" fillId="0" borderId="56" xfId="170" applyNumberFormat="1" applyFont="1" applyFill="1" applyBorder="1" applyAlignment="1" applyProtection="1">
      <alignment horizontal="right" vertical="center"/>
    </xf>
    <xf numFmtId="0" fontId="38" fillId="0" borderId="56" xfId="170" applyNumberFormat="1" applyFont="1" applyFill="1" applyBorder="1" applyAlignment="1" applyProtection="1">
      <alignment horizontal="center" vertical="center"/>
    </xf>
    <xf numFmtId="0" fontId="35" fillId="0" borderId="56" xfId="170" applyNumberFormat="1" applyFont="1" applyFill="1" applyBorder="1" applyAlignment="1" applyProtection="1">
      <alignment horizontal="center" vertical="center"/>
    </xf>
    <xf numFmtId="0" fontId="38" fillId="0" borderId="56" xfId="170" applyNumberFormat="1" applyFont="1" applyFill="1" applyBorder="1" applyAlignment="1" applyProtection="1">
      <alignment horizontal="left" vertical="center"/>
    </xf>
    <xf numFmtId="0" fontId="38" fillId="0" borderId="0" xfId="170" applyNumberFormat="1" applyFont="1" applyFill="1" applyBorder="1" applyAlignment="1" applyProtection="1">
      <alignment horizontal="right" vertical="center"/>
    </xf>
    <xf numFmtId="49" fontId="38" fillId="0" borderId="0" xfId="170" applyNumberFormat="1" applyFont="1" applyFill="1" applyBorder="1" applyAlignment="1" applyProtection="1">
      <alignment vertical="center" shrinkToFit="1"/>
    </xf>
    <xf numFmtId="49" fontId="38" fillId="0" borderId="0" xfId="170" applyNumberFormat="1" applyFont="1" applyFill="1" applyBorder="1" applyAlignment="1" applyProtection="1">
      <alignment vertical="center"/>
    </xf>
    <xf numFmtId="190" fontId="40" fillId="0" borderId="0" xfId="159" applyNumberFormat="1" applyFont="1" applyFill="1" applyBorder="1" applyAlignment="1" applyProtection="1">
      <alignment vertical="center"/>
    </xf>
    <xf numFmtId="0" fontId="38" fillId="0" borderId="0" xfId="171" applyNumberFormat="1" applyFont="1" applyFill="1" applyBorder="1" applyAlignment="1" applyProtection="1">
      <alignment vertical="center"/>
    </xf>
    <xf numFmtId="0" fontId="38" fillId="0" borderId="22" xfId="171" applyNumberFormat="1" applyFont="1" applyFill="1" applyBorder="1" applyAlignment="1" applyProtection="1">
      <alignment vertical="center"/>
    </xf>
    <xf numFmtId="0" fontId="38" fillId="0" borderId="57" xfId="171" applyNumberFormat="1" applyFont="1" applyFill="1" applyBorder="1" applyAlignment="1" applyProtection="1">
      <alignment vertical="center"/>
    </xf>
    <xf numFmtId="0" fontId="38" fillId="0" borderId="12" xfId="171" applyNumberFormat="1" applyFont="1" applyFill="1" applyBorder="1" applyAlignment="1" applyProtection="1">
      <alignment vertical="center"/>
    </xf>
    <xf numFmtId="0" fontId="38" fillId="0" borderId="32" xfId="171" applyNumberFormat="1" applyFont="1" applyFill="1" applyBorder="1" applyAlignment="1" applyProtection="1">
      <alignment vertical="center"/>
    </xf>
    <xf numFmtId="0" fontId="38" fillId="0" borderId="56" xfId="171" applyNumberFormat="1" applyFont="1" applyFill="1" applyBorder="1" applyAlignment="1" applyProtection="1">
      <alignment vertical="center"/>
    </xf>
    <xf numFmtId="0" fontId="38" fillId="0" borderId="21" xfId="171" applyNumberFormat="1" applyFont="1" applyFill="1" applyBorder="1" applyAlignment="1" applyProtection="1">
      <alignment vertical="center"/>
    </xf>
    <xf numFmtId="0" fontId="38" fillId="0" borderId="15" xfId="171" applyNumberFormat="1" applyFont="1" applyFill="1" applyBorder="1" applyAlignment="1" applyProtection="1">
      <alignment vertical="center"/>
    </xf>
    <xf numFmtId="0" fontId="38" fillId="0" borderId="11" xfId="171" applyNumberFormat="1" applyFont="1" applyFill="1" applyBorder="1" applyAlignment="1" applyProtection="1">
      <alignment vertical="center"/>
    </xf>
    <xf numFmtId="0" fontId="38" fillId="0" borderId="14" xfId="171" applyNumberFormat="1" applyFont="1" applyFill="1" applyBorder="1" applyAlignment="1" applyProtection="1">
      <alignment vertical="center"/>
    </xf>
    <xf numFmtId="0" fontId="38" fillId="0" borderId="55" xfId="171" applyNumberFormat="1" applyFont="1" applyFill="1" applyBorder="1" applyAlignment="1" applyProtection="1">
      <alignment vertical="center"/>
    </xf>
    <xf numFmtId="0" fontId="38" fillId="0" borderId="10" xfId="171" applyNumberFormat="1" applyFont="1" applyFill="1" applyBorder="1" applyAlignment="1" applyProtection="1">
      <alignment vertical="center"/>
    </xf>
    <xf numFmtId="0" fontId="38" fillId="0" borderId="56" xfId="171" applyNumberFormat="1" applyFont="1" applyFill="1" applyBorder="1" applyAlignment="1" applyProtection="1">
      <alignment horizontal="right" vertical="center"/>
    </xf>
    <xf numFmtId="0" fontId="38" fillId="0" borderId="32" xfId="171" applyNumberFormat="1" applyFont="1" applyFill="1" applyBorder="1" applyAlignment="1" applyProtection="1">
      <alignment horizontal="centerContinuous" vertical="center"/>
    </xf>
    <xf numFmtId="0" fontId="38" fillId="0" borderId="56" xfId="171" applyNumberFormat="1" applyFont="1" applyFill="1" applyBorder="1" applyAlignment="1" applyProtection="1">
      <alignment horizontal="centerContinuous" vertical="center"/>
    </xf>
    <xf numFmtId="0" fontId="42" fillId="0" borderId="0" xfId="171" applyNumberFormat="1" applyFont="1" applyFill="1" applyBorder="1" applyAlignment="1" applyProtection="1">
      <alignment vertical="center"/>
    </xf>
    <xf numFmtId="49" fontId="38" fillId="0" borderId="0" xfId="171" applyNumberFormat="1" applyFont="1" applyFill="1" applyBorder="1" applyAlignment="1" applyProtection="1">
      <alignment vertical="center" shrinkToFit="1"/>
    </xf>
    <xf numFmtId="49" fontId="38" fillId="0" borderId="0" xfId="171" applyNumberFormat="1" applyFont="1" applyFill="1" applyBorder="1" applyAlignment="1" applyProtection="1">
      <alignment vertical="center"/>
    </xf>
    <xf numFmtId="0" fontId="38" fillId="0" borderId="0" xfId="171" applyNumberFormat="1" applyFont="1" applyFill="1" applyBorder="1" applyAlignment="1" applyProtection="1">
      <alignment vertical="center" wrapText="1"/>
    </xf>
    <xf numFmtId="49" fontId="38" fillId="0" borderId="0" xfId="171" applyNumberFormat="1" applyFont="1" applyFill="1" applyBorder="1" applyAlignment="1" applyProtection="1">
      <alignment horizontal="distributed" vertical="center"/>
    </xf>
    <xf numFmtId="49" fontId="38" fillId="0" borderId="0" xfId="171" applyNumberFormat="1" applyFont="1" applyFill="1" applyBorder="1" applyAlignment="1" applyProtection="1">
      <alignment horizontal="right" vertical="center"/>
    </xf>
    <xf numFmtId="49" fontId="38" fillId="0" borderId="0" xfId="171" applyNumberFormat="1" applyFont="1" applyFill="1" applyBorder="1" applyAlignment="1" applyProtection="1">
      <alignment horizontal="centerContinuous" vertical="center"/>
    </xf>
    <xf numFmtId="49" fontId="38" fillId="0" borderId="0" xfId="171" applyNumberFormat="1" applyFont="1" applyFill="1" applyBorder="1" applyAlignment="1" applyProtection="1">
      <alignment horizontal="left" vertical="center"/>
    </xf>
    <xf numFmtId="49" fontId="38" fillId="0" borderId="0" xfId="69" applyNumberFormat="1" applyFont="1" applyFill="1" applyBorder="1" applyAlignment="1" applyProtection="1">
      <alignment vertical="center"/>
    </xf>
    <xf numFmtId="49" fontId="38" fillId="0" borderId="0" xfId="69" applyNumberFormat="1" applyFont="1" applyFill="1" applyBorder="1" applyAlignment="1" applyProtection="1">
      <alignment horizontal="distributed" vertical="center"/>
    </xf>
    <xf numFmtId="49" fontId="38" fillId="0" borderId="0" xfId="69" applyNumberFormat="1" applyFont="1" applyFill="1" applyBorder="1" applyAlignment="1" applyProtection="1">
      <alignment horizontal="centerContinuous" vertical="center"/>
    </xf>
    <xf numFmtId="49" fontId="68" fillId="0" borderId="0" xfId="69" applyNumberFormat="1" applyFont="1" applyFill="1" applyBorder="1" applyAlignment="1" applyProtection="1">
      <alignment vertical="center"/>
    </xf>
    <xf numFmtId="0" fontId="68" fillId="0" borderId="0" xfId="69" applyNumberFormat="1" applyFont="1" applyFill="1" applyBorder="1" applyAlignment="1" applyProtection="1">
      <alignment vertical="center"/>
    </xf>
    <xf numFmtId="0" fontId="38" fillId="0" borderId="0" xfId="69" applyNumberFormat="1" applyFont="1" applyFill="1" applyBorder="1" applyAlignment="1" applyProtection="1">
      <alignment vertical="center"/>
    </xf>
    <xf numFmtId="0" fontId="38" fillId="0" borderId="57" xfId="69" applyNumberFormat="1" applyFont="1" applyFill="1" applyBorder="1" applyAlignment="1" applyProtection="1">
      <alignment vertical="center"/>
    </xf>
    <xf numFmtId="0" fontId="38" fillId="0" borderId="12" xfId="69" applyNumberFormat="1" applyFont="1" applyFill="1" applyBorder="1" applyAlignment="1" applyProtection="1">
      <alignment vertical="center"/>
    </xf>
    <xf numFmtId="0" fontId="38" fillId="0" borderId="11" xfId="69" applyNumberFormat="1" applyFont="1" applyFill="1" applyBorder="1" applyAlignment="1" applyProtection="1">
      <alignment vertical="center"/>
    </xf>
    <xf numFmtId="0" fontId="38" fillId="0" borderId="14" xfId="69" applyNumberFormat="1" applyFont="1" applyFill="1" applyBorder="1" applyAlignment="1" applyProtection="1">
      <alignment vertical="center"/>
    </xf>
    <xf numFmtId="0" fontId="38" fillId="0" borderId="55" xfId="69" applyNumberFormat="1" applyFont="1" applyFill="1" applyBorder="1" applyAlignment="1" applyProtection="1">
      <alignment vertical="center"/>
    </xf>
    <xf numFmtId="0" fontId="38" fillId="0" borderId="10" xfId="69" applyNumberFormat="1" applyFont="1" applyFill="1" applyBorder="1" applyAlignment="1" applyProtection="1">
      <alignment vertical="center"/>
    </xf>
    <xf numFmtId="0" fontId="38" fillId="0" borderId="0" xfId="69" applyNumberFormat="1" applyFont="1" applyFill="1" applyBorder="1" applyAlignment="1" applyProtection="1">
      <alignment horizontal="centerContinuous" vertical="center"/>
    </xf>
    <xf numFmtId="0" fontId="40" fillId="0" borderId="0" xfId="69" applyNumberFormat="1" applyFont="1" applyFill="1" applyBorder="1" applyAlignment="1" applyProtection="1">
      <alignment vertical="center"/>
    </xf>
    <xf numFmtId="49" fontId="40" fillId="0" borderId="0" xfId="69" applyNumberFormat="1" applyFont="1" applyFill="1" applyBorder="1" applyAlignment="1" applyProtection="1">
      <alignment vertical="center"/>
    </xf>
    <xf numFmtId="49" fontId="40" fillId="0" borderId="31" xfId="69" applyNumberFormat="1" applyFont="1" applyFill="1" applyBorder="1" applyAlignment="1" applyProtection="1">
      <alignment vertical="center"/>
    </xf>
    <xf numFmtId="0" fontId="40" fillId="0" borderId="31" xfId="69" applyNumberFormat="1" applyFont="1" applyFill="1" applyBorder="1" applyAlignment="1" applyProtection="1">
      <alignment vertical="center"/>
    </xf>
    <xf numFmtId="49" fontId="40" fillId="0" borderId="73" xfId="69" applyNumberFormat="1" applyFont="1" applyFill="1" applyBorder="1" applyAlignment="1" applyProtection="1">
      <alignment vertical="center"/>
    </xf>
    <xf numFmtId="0" fontId="40" fillId="0" borderId="73" xfId="69" applyNumberFormat="1" applyFont="1" applyFill="1" applyBorder="1" applyAlignment="1" applyProtection="1">
      <alignment vertical="center"/>
    </xf>
    <xf numFmtId="49" fontId="40" fillId="0" borderId="0" xfId="69" applyNumberFormat="1" applyFont="1" applyFill="1" applyBorder="1" applyAlignment="1" applyProtection="1">
      <alignment horizontal="right" vertical="center"/>
    </xf>
    <xf numFmtId="49" fontId="40" fillId="0" borderId="0" xfId="69" applyNumberFormat="1" applyFont="1" applyFill="1" applyBorder="1" applyAlignment="1" applyProtection="1">
      <alignment horizontal="center" vertical="center"/>
    </xf>
    <xf numFmtId="0" fontId="4" fillId="0" borderId="0" xfId="69" applyNumberFormat="1" applyFont="1" applyFill="1" applyBorder="1" applyAlignment="1" applyProtection="1">
      <alignment horizontal="center" vertical="center"/>
    </xf>
    <xf numFmtId="0" fontId="40" fillId="0" borderId="0" xfId="69" applyNumberFormat="1" applyFont="1" applyFill="1" applyBorder="1" applyAlignment="1" applyProtection="1">
      <alignment horizontal="centerContinuous" vertical="center"/>
    </xf>
    <xf numFmtId="0" fontId="40" fillId="0" borderId="0" xfId="69" applyNumberFormat="1" applyFont="1" applyFill="1" applyBorder="1" applyAlignment="1" applyProtection="1">
      <alignment vertical="top" wrapText="1"/>
    </xf>
    <xf numFmtId="0" fontId="40" fillId="0" borderId="0" xfId="69" applyNumberFormat="1" applyFont="1" applyFill="1" applyBorder="1" applyAlignment="1" applyProtection="1">
      <alignment vertical="top"/>
    </xf>
    <xf numFmtId="49" fontId="38" fillId="0" borderId="0" xfId="172" applyNumberFormat="1" applyFont="1" applyFill="1" applyBorder="1" applyAlignment="1" applyProtection="1">
      <alignment vertical="center"/>
    </xf>
    <xf numFmtId="0" fontId="38" fillId="0" borderId="0" xfId="172" applyNumberFormat="1" applyFont="1" applyFill="1" applyBorder="1" applyAlignment="1" applyProtection="1">
      <alignment vertical="center"/>
    </xf>
    <xf numFmtId="49" fontId="38" fillId="0" borderId="0" xfId="172" applyNumberFormat="1" applyFont="1" applyFill="1" applyBorder="1" applyAlignment="1" applyProtection="1">
      <alignment horizontal="centerContinuous" vertical="center"/>
    </xf>
    <xf numFmtId="49" fontId="38" fillId="0" borderId="0" xfId="172" applyNumberFormat="1" applyFont="1" applyFill="1" applyBorder="1" applyAlignment="1" applyProtection="1">
      <alignment horizontal="left" vertical="center"/>
    </xf>
    <xf numFmtId="49" fontId="38" fillId="0" borderId="0" xfId="172" applyNumberFormat="1" applyFont="1" applyFill="1" applyBorder="1" applyAlignment="1" applyProtection="1">
      <alignment horizontal="right" vertical="center"/>
    </xf>
    <xf numFmtId="49" fontId="38" fillId="0" borderId="0" xfId="172" applyNumberFormat="1" applyFont="1" applyFill="1" applyBorder="1" applyAlignment="1" applyProtection="1">
      <alignment horizontal="distributed" vertical="center"/>
    </xf>
    <xf numFmtId="0" fontId="38" fillId="0" borderId="0" xfId="172" applyNumberFormat="1" applyFont="1" applyFill="1" applyBorder="1" applyAlignment="1" applyProtection="1">
      <alignment vertical="center" wrapText="1"/>
    </xf>
    <xf numFmtId="49" fontId="38" fillId="0" borderId="0" xfId="172" applyNumberFormat="1" applyFont="1" applyFill="1" applyBorder="1" applyAlignment="1" applyProtection="1">
      <alignment vertical="center" shrinkToFit="1"/>
    </xf>
    <xf numFmtId="0" fontId="42" fillId="0" borderId="0" xfId="172" applyNumberFormat="1" applyFont="1" applyFill="1" applyBorder="1" applyAlignment="1" applyProtection="1">
      <alignment vertical="center"/>
    </xf>
    <xf numFmtId="0" fontId="38" fillId="0" borderId="10" xfId="172" applyNumberFormat="1" applyFont="1" applyFill="1" applyBorder="1" applyAlignment="1" applyProtection="1">
      <alignment vertical="center"/>
    </xf>
    <xf numFmtId="0" fontId="38" fillId="0" borderId="55" xfId="172" applyNumberFormat="1" applyFont="1" applyFill="1" applyBorder="1" applyAlignment="1" applyProtection="1">
      <alignment vertical="center"/>
    </xf>
    <xf numFmtId="0" fontId="38" fillId="0" borderId="14" xfId="172" applyNumberFormat="1" applyFont="1" applyFill="1" applyBorder="1" applyAlignment="1" applyProtection="1">
      <alignment vertical="center"/>
    </xf>
    <xf numFmtId="0" fontId="38" fillId="0" borderId="11" xfId="172" applyNumberFormat="1" applyFont="1" applyFill="1" applyBorder="1" applyAlignment="1" applyProtection="1">
      <alignment vertical="center"/>
    </xf>
    <xf numFmtId="0" fontId="38" fillId="0" borderId="15" xfId="172" applyNumberFormat="1" applyFont="1" applyFill="1" applyBorder="1" applyAlignment="1" applyProtection="1">
      <alignment vertical="center"/>
    </xf>
    <xf numFmtId="0" fontId="38" fillId="0" borderId="12" xfId="172" applyNumberFormat="1" applyFont="1" applyFill="1" applyBorder="1" applyAlignment="1" applyProtection="1">
      <alignment vertical="center"/>
    </xf>
    <xf numFmtId="0" fontId="38" fillId="0" borderId="57" xfId="172" applyNumberFormat="1" applyFont="1" applyFill="1" applyBorder="1" applyAlignment="1" applyProtection="1">
      <alignment vertical="center"/>
    </xf>
    <xf numFmtId="0" fontId="38" fillId="0" borderId="22" xfId="172" applyNumberFormat="1" applyFont="1" applyFill="1" applyBorder="1" applyAlignment="1" applyProtection="1">
      <alignment vertical="center"/>
    </xf>
    <xf numFmtId="0" fontId="38" fillId="0" borderId="21" xfId="172" applyNumberFormat="1" applyFont="1" applyFill="1" applyBorder="1" applyAlignment="1" applyProtection="1">
      <alignment vertical="center"/>
    </xf>
    <xf numFmtId="0" fontId="38" fillId="0" borderId="56" xfId="172" applyNumberFormat="1" applyFont="1" applyFill="1" applyBorder="1" applyAlignment="1" applyProtection="1">
      <alignment horizontal="centerContinuous" vertical="center"/>
    </xf>
    <xf numFmtId="0" fontId="38" fillId="0" borderId="32" xfId="172" applyNumberFormat="1" applyFont="1" applyFill="1" applyBorder="1" applyAlignment="1" applyProtection="1">
      <alignment horizontal="centerContinuous" vertical="center"/>
    </xf>
    <xf numFmtId="0" fontId="38" fillId="0" borderId="56" xfId="172" applyNumberFormat="1" applyFont="1" applyFill="1" applyBorder="1" applyAlignment="1" applyProtection="1">
      <alignment horizontal="right" vertical="center"/>
    </xf>
    <xf numFmtId="0" fontId="38" fillId="0" borderId="56" xfId="172" applyNumberFormat="1" applyFont="1" applyFill="1" applyBorder="1" applyAlignment="1" applyProtection="1">
      <alignment vertical="center"/>
    </xf>
    <xf numFmtId="0" fontId="38" fillId="0" borderId="32" xfId="172" applyNumberFormat="1" applyFont="1" applyFill="1" applyBorder="1" applyAlignment="1" applyProtection="1">
      <alignment vertical="center"/>
    </xf>
    <xf numFmtId="49" fontId="38" fillId="0" borderId="0" xfId="172" applyNumberFormat="1" applyFont="1" applyFill="1" applyBorder="1" applyAlignment="1" applyProtection="1">
      <alignment horizontal="left" vertical="top"/>
    </xf>
    <xf numFmtId="0" fontId="38" fillId="0" borderId="0" xfId="158" applyNumberFormat="1" applyFont="1" applyFill="1" applyBorder="1" applyAlignment="1" applyProtection="1">
      <alignment horizontal="centerContinuous" vertical="center"/>
    </xf>
    <xf numFmtId="0" fontId="0" fillId="0" borderId="0" xfId="158" applyNumberFormat="1" applyFont="1" applyFill="1" applyBorder="1" applyAlignment="1" applyProtection="1">
      <alignment vertical="center" wrapText="1"/>
    </xf>
    <xf numFmtId="0" fontId="47" fillId="0" borderId="0" xfId="158" applyNumberFormat="1" applyFont="1" applyFill="1" applyBorder="1" applyAlignment="1" applyProtection="1">
      <alignment horizontal="centerContinuous" vertical="center"/>
    </xf>
    <xf numFmtId="0" fontId="40" fillId="0" borderId="0" xfId="158" applyNumberFormat="1" applyFont="1" applyFill="1" applyBorder="1" applyAlignment="1" applyProtection="1">
      <alignment vertical="center"/>
    </xf>
    <xf numFmtId="0" fontId="9" fillId="0" borderId="0" xfId="159" applyNumberFormat="1" applyFont="1" applyFill="1" applyBorder="1" applyAlignment="1" applyProtection="1">
      <alignment vertical="center"/>
    </xf>
    <xf numFmtId="0" fontId="69" fillId="0" borderId="0" xfId="159" applyNumberFormat="1" applyFont="1" applyFill="1" applyBorder="1" applyAlignment="1" applyProtection="1">
      <alignment vertical="center"/>
    </xf>
    <xf numFmtId="0" fontId="70" fillId="0" borderId="0" xfId="159" applyNumberFormat="1" applyFont="1" applyFill="1" applyBorder="1" applyAlignment="1" applyProtection="1">
      <alignment vertical="center"/>
    </xf>
    <xf numFmtId="0" fontId="40" fillId="0" borderId="0" xfId="159" applyNumberFormat="1" applyFont="1" applyFill="1" applyBorder="1" applyAlignment="1" applyProtection="1">
      <alignment vertical="center"/>
    </xf>
    <xf numFmtId="0" fontId="9" fillId="0" borderId="68" xfId="159" applyNumberFormat="1" applyFont="1" applyFill="1" applyBorder="1" applyAlignment="1" applyProtection="1">
      <alignment vertical="center"/>
    </xf>
    <xf numFmtId="0" fontId="9" fillId="0" borderId="69" xfId="159" applyNumberFormat="1" applyFont="1" applyFill="1" applyBorder="1" applyAlignment="1" applyProtection="1">
      <alignment vertical="center"/>
    </xf>
    <xf numFmtId="0" fontId="9" fillId="0" borderId="70" xfId="159" applyNumberFormat="1" applyFont="1" applyFill="1" applyBorder="1" applyAlignment="1" applyProtection="1">
      <alignment vertical="center"/>
    </xf>
    <xf numFmtId="0" fontId="9" fillId="0" borderId="22" xfId="159" applyNumberFormat="1" applyFont="1" applyFill="1" applyBorder="1" applyAlignment="1" applyProtection="1">
      <alignment vertical="center"/>
    </xf>
    <xf numFmtId="0" fontId="9" fillId="0" borderId="57" xfId="159" applyNumberFormat="1" applyFont="1" applyFill="1" applyBorder="1" applyAlignment="1" applyProtection="1">
      <alignment vertical="center"/>
    </xf>
    <xf numFmtId="0" fontId="9" fillId="0" borderId="12" xfId="159" applyNumberFormat="1" applyFont="1" applyFill="1" applyBorder="1" applyAlignment="1" applyProtection="1">
      <alignment vertical="center"/>
    </xf>
    <xf numFmtId="0" fontId="9" fillId="0" borderId="45" xfId="159" applyNumberFormat="1" applyFont="1" applyFill="1" applyBorder="1" applyAlignment="1" applyProtection="1">
      <alignment vertical="center"/>
    </xf>
    <xf numFmtId="0" fontId="9" fillId="0" borderId="52" xfId="159" applyNumberFormat="1" applyFont="1" applyFill="1" applyBorder="1" applyAlignment="1" applyProtection="1">
      <alignment vertical="center"/>
    </xf>
    <xf numFmtId="0" fontId="9" fillId="0" borderId="71" xfId="159" applyNumberFormat="1" applyFont="1" applyFill="1" applyBorder="1" applyAlignment="1" applyProtection="1">
      <alignment vertical="center"/>
    </xf>
    <xf numFmtId="0" fontId="9" fillId="0" borderId="15" xfId="159" applyNumberFormat="1" applyFont="1" applyFill="1" applyBorder="1" applyAlignment="1" applyProtection="1">
      <alignment vertical="center"/>
    </xf>
    <xf numFmtId="0" fontId="9" fillId="0" borderId="11" xfId="159" applyNumberFormat="1" applyFont="1" applyFill="1" applyBorder="1" applyAlignment="1" applyProtection="1">
      <alignment vertical="center"/>
    </xf>
    <xf numFmtId="0" fontId="9" fillId="0" borderId="24" xfId="159" applyNumberFormat="1" applyFont="1" applyFill="1" applyBorder="1" applyAlignment="1" applyProtection="1">
      <alignment vertical="center"/>
    </xf>
    <xf numFmtId="0" fontId="9" fillId="0" borderId="72" xfId="159" applyNumberFormat="1" applyFont="1" applyFill="1" applyBorder="1" applyAlignment="1" applyProtection="1">
      <alignment vertical="center"/>
    </xf>
    <xf numFmtId="0" fontId="9" fillId="0" borderId="23" xfId="159" applyNumberFormat="1" applyFont="1" applyFill="1" applyBorder="1" applyAlignment="1" applyProtection="1">
      <alignment vertical="center"/>
    </xf>
    <xf numFmtId="0" fontId="9" fillId="0" borderId="14" xfId="159" applyNumberFormat="1" applyFont="1" applyFill="1" applyBorder="1" applyAlignment="1" applyProtection="1">
      <alignment vertical="center"/>
    </xf>
    <xf numFmtId="0" fontId="9" fillId="0" borderId="55" xfId="159" applyNumberFormat="1" applyFont="1" applyFill="1" applyBorder="1" applyAlignment="1" applyProtection="1">
      <alignment vertical="center"/>
    </xf>
    <xf numFmtId="0" fontId="9" fillId="0" borderId="10" xfId="159" applyNumberFormat="1" applyFont="1" applyFill="1" applyBorder="1" applyAlignment="1" applyProtection="1">
      <alignment vertical="center"/>
    </xf>
    <xf numFmtId="0" fontId="9" fillId="0" borderId="32" xfId="159" applyNumberFormat="1" applyFont="1" applyFill="1" applyBorder="1" applyAlignment="1" applyProtection="1">
      <alignment vertical="center"/>
    </xf>
    <xf numFmtId="0" fontId="9" fillId="0" borderId="56" xfId="159" applyNumberFormat="1" applyFont="1" applyFill="1" applyBorder="1" applyAlignment="1" applyProtection="1">
      <alignment vertical="center"/>
    </xf>
    <xf numFmtId="0" fontId="9" fillId="0" borderId="21" xfId="159" applyNumberFormat="1" applyFont="1" applyFill="1" applyBorder="1" applyAlignment="1" applyProtection="1">
      <alignment vertical="center"/>
    </xf>
    <xf numFmtId="0" fontId="71" fillId="0" borderId="0" xfId="159" applyNumberFormat="1" applyFont="1" applyFill="1" applyBorder="1" applyAlignment="1" applyProtection="1">
      <alignment vertical="center"/>
    </xf>
    <xf numFmtId="49" fontId="9" fillId="0" borderId="0" xfId="159" applyNumberFormat="1" applyFont="1" applyFill="1" applyBorder="1" applyAlignment="1" applyProtection="1">
      <alignment vertical="center"/>
    </xf>
    <xf numFmtId="49" fontId="38" fillId="43"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centerContinuous" vertical="center"/>
    </xf>
    <xf numFmtId="0" fontId="9" fillId="0" borderId="0" xfId="159" applyNumberFormat="1" applyFont="1" applyFill="1" applyBorder="1" applyAlignment="1" applyProtection="1">
      <alignment vertical="center" wrapText="1"/>
    </xf>
    <xf numFmtId="0" fontId="72" fillId="0" borderId="0" xfId="159" applyNumberFormat="1" applyFont="1" applyFill="1" applyBorder="1" applyAlignment="1" applyProtection="1">
      <alignment horizontal="left" vertical="center" wrapText="1"/>
    </xf>
    <xf numFmtId="0" fontId="73" fillId="0" borderId="0" xfId="159" applyNumberFormat="1" applyFont="1" applyFill="1" applyBorder="1" applyAlignment="1" applyProtection="1">
      <alignment vertical="center"/>
    </xf>
    <xf numFmtId="0" fontId="72" fillId="0" borderId="0" xfId="159" applyNumberFormat="1" applyFont="1" applyFill="1" applyBorder="1" applyAlignment="1" applyProtection="1">
      <alignment vertical="center"/>
    </xf>
    <xf numFmtId="0" fontId="74" fillId="0" borderId="0" xfId="159" applyNumberFormat="1" applyFont="1" applyFill="1" applyBorder="1" applyAlignment="1" applyProtection="1">
      <alignment horizontal="centerContinuous" vertical="center"/>
    </xf>
    <xf numFmtId="49" fontId="77" fillId="0" borderId="0" xfId="159" applyNumberFormat="1" applyFont="1" applyFill="1" applyBorder="1" applyAlignment="1" applyProtection="1">
      <alignment vertical="center"/>
    </xf>
    <xf numFmtId="0" fontId="56" fillId="0" borderId="0" xfId="159" applyNumberFormat="1" applyFont="1" applyFill="1" applyBorder="1" applyAlignment="1" applyProtection="1">
      <alignment vertical="center"/>
    </xf>
    <xf numFmtId="0" fontId="77" fillId="0"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center" vertical="center" shrinkToFit="1"/>
    </xf>
    <xf numFmtId="0" fontId="78" fillId="0" borderId="0" xfId="159" applyNumberFormat="1" applyFont="1" applyFill="1" applyBorder="1" applyAlignment="1" applyProtection="1">
      <alignment vertical="center"/>
    </xf>
    <xf numFmtId="0" fontId="38" fillId="0" borderId="0" xfId="159" applyNumberFormat="1" applyFont="1" applyFill="1" applyBorder="1" applyAlignment="1" applyProtection="1">
      <alignment vertical="center"/>
    </xf>
    <xf numFmtId="0" fontId="38" fillId="0" borderId="0" xfId="159" applyNumberFormat="1" applyFont="1" applyFill="1" applyBorder="1" applyAlignment="1" applyProtection="1">
      <alignment horizontal="centerContinuous" vertical="center"/>
    </xf>
    <xf numFmtId="0" fontId="38" fillId="0" borderId="0" xfId="159" applyNumberFormat="1" applyFont="1" applyFill="1" applyBorder="1" applyAlignment="1" applyProtection="1">
      <alignment horizontal="right" vertical="center"/>
    </xf>
    <xf numFmtId="49" fontId="40" fillId="0"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right" vertical="center"/>
    </xf>
    <xf numFmtId="49" fontId="39" fillId="0"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center" vertical="center"/>
    </xf>
    <xf numFmtId="0" fontId="6" fillId="0" borderId="0" xfId="159" applyNumberFormat="1" applyFont="1" applyFill="1" applyBorder="1" applyAlignment="1" applyProtection="1">
      <alignment horizontal="right" vertical="center"/>
    </xf>
    <xf numFmtId="0" fontId="6" fillId="0" borderId="0" xfId="159" applyNumberFormat="1" applyFont="1" applyFill="1" applyBorder="1" applyAlignment="1" applyProtection="1">
      <alignment vertical="center"/>
    </xf>
    <xf numFmtId="0" fontId="78" fillId="0" borderId="0" xfId="159" applyNumberFormat="1" applyFont="1" applyFill="1" applyBorder="1" applyAlignment="1" applyProtection="1">
      <alignment horizontal="centerContinuous" vertical="center"/>
    </xf>
    <xf numFmtId="49" fontId="79" fillId="0" borderId="0" xfId="159" applyNumberFormat="1" applyFont="1" applyFill="1" applyBorder="1" applyAlignment="1" applyProtection="1">
      <alignment horizontal="right" vertical="center"/>
    </xf>
    <xf numFmtId="49" fontId="38" fillId="0" borderId="14" xfId="159" applyNumberFormat="1" applyFont="1" applyFill="1" applyBorder="1" applyAlignment="1" applyProtection="1">
      <alignment vertical="center"/>
    </xf>
    <xf numFmtId="0" fontId="9" fillId="0" borderId="0" xfId="159" applyNumberFormat="1" applyFont="1" applyFill="1" applyBorder="1" applyAlignment="1" applyProtection="1">
      <alignment vertical="center" shrinkToFit="1"/>
    </xf>
    <xf numFmtId="0" fontId="9" fillId="0" borderId="0" xfId="159" applyNumberFormat="1" applyFont="1" applyFill="1" applyBorder="1" applyAlignment="1" applyProtection="1">
      <alignment horizontal="left" vertical="center"/>
    </xf>
    <xf numFmtId="0" fontId="38" fillId="0" borderId="0" xfId="173" applyNumberFormat="1" applyFont="1" applyFill="1" applyBorder="1" applyAlignment="1" applyProtection="1">
      <alignment vertical="center"/>
    </xf>
    <xf numFmtId="0" fontId="41" fillId="0" borderId="0" xfId="173" applyNumberFormat="1" applyFont="1" applyFill="1" applyBorder="1" applyAlignment="1" applyProtection="1">
      <alignment vertical="center"/>
    </xf>
    <xf numFmtId="0" fontId="41" fillId="0" borderId="0" xfId="173" applyNumberFormat="1" applyFont="1" applyFill="1" applyBorder="1" applyAlignment="1" applyProtection="1">
      <alignment horizontal="left" vertical="top" wrapText="1"/>
    </xf>
    <xf numFmtId="0" fontId="43" fillId="0" borderId="0" xfId="173" applyNumberFormat="1" applyFont="1" applyFill="1" applyBorder="1" applyAlignment="1" applyProtection="1">
      <alignment horizontal="left" vertical="top" wrapText="1"/>
    </xf>
    <xf numFmtId="0" fontId="41" fillId="0" borderId="0" xfId="173" applyNumberFormat="1" applyFont="1" applyFill="1" applyBorder="1" applyAlignment="1" applyProtection="1">
      <alignment vertical="top"/>
    </xf>
    <xf numFmtId="0" fontId="41" fillId="0" borderId="22" xfId="173" applyNumberFormat="1" applyFont="1" applyFill="1" applyBorder="1" applyAlignment="1" applyProtection="1">
      <alignment horizontal="left" vertical="top" wrapText="1"/>
    </xf>
    <xf numFmtId="0" fontId="41" fillId="0" borderId="57" xfId="173" applyNumberFormat="1" applyFont="1" applyFill="1" applyBorder="1" applyAlignment="1" applyProtection="1">
      <alignment horizontal="left" vertical="top" wrapText="1"/>
    </xf>
    <xf numFmtId="0" fontId="41" fillId="0" borderId="12" xfId="173" applyNumberFormat="1" applyFont="1" applyFill="1" applyBorder="1" applyAlignment="1" applyProtection="1">
      <alignment horizontal="left" vertical="top" wrapText="1"/>
    </xf>
    <xf numFmtId="0" fontId="41" fillId="0" borderId="15" xfId="173" applyNumberFormat="1" applyFont="1" applyFill="1" applyBorder="1" applyAlignment="1" applyProtection="1">
      <alignment horizontal="left" vertical="top" wrapText="1"/>
    </xf>
    <xf numFmtId="0" fontId="41" fillId="0" borderId="11" xfId="173" applyNumberFormat="1" applyFont="1" applyFill="1" applyBorder="1" applyAlignment="1" applyProtection="1">
      <alignment horizontal="left" vertical="top" wrapText="1"/>
    </xf>
    <xf numFmtId="0" fontId="40" fillId="0" borderId="14" xfId="173" applyNumberFormat="1" applyFont="1" applyFill="1" applyBorder="1" applyAlignment="1" applyProtection="1">
      <alignment horizontal="center" vertical="center"/>
    </xf>
    <xf numFmtId="0" fontId="40" fillId="0" borderId="55" xfId="173" applyNumberFormat="1" applyFont="1" applyFill="1" applyBorder="1" applyAlignment="1" applyProtection="1">
      <alignment horizontal="center" vertical="center"/>
    </xf>
    <xf numFmtId="0" fontId="40" fillId="0" borderId="10" xfId="173" applyNumberFormat="1" applyFont="1" applyFill="1" applyBorder="1" applyAlignment="1" applyProtection="1">
      <alignment horizontal="center" vertical="center"/>
    </xf>
    <xf numFmtId="0" fontId="0" fillId="0" borderId="0" xfId="173" applyNumberFormat="1" applyFont="1" applyFill="1" applyBorder="1" applyAlignment="1" applyProtection="1"/>
    <xf numFmtId="0" fontId="40" fillId="0" borderId="0" xfId="173" applyNumberFormat="1" applyFont="1" applyFill="1" applyBorder="1" applyAlignment="1" applyProtection="1">
      <alignment vertical="center"/>
    </xf>
    <xf numFmtId="0" fontId="42" fillId="0" borderId="0" xfId="173" applyNumberFormat="1" applyFont="1" applyFill="1" applyBorder="1" applyAlignment="1" applyProtection="1">
      <alignment horizontal="center" vertical="center" textRotation="255"/>
    </xf>
    <xf numFmtId="0" fontId="38" fillId="0" borderId="22" xfId="173" applyNumberFormat="1" applyFont="1" applyFill="1" applyBorder="1" applyAlignment="1" applyProtection="1">
      <alignment vertical="center"/>
    </xf>
    <xf numFmtId="177" fontId="0" fillId="0" borderId="57" xfId="173" applyNumberFormat="1" applyFont="1" applyFill="1" applyBorder="1" applyAlignment="1" applyProtection="1">
      <alignment vertical="center"/>
    </xf>
    <xf numFmtId="177" fontId="0" fillId="0" borderId="74" xfId="173" applyNumberFormat="1" applyFont="1" applyFill="1" applyBorder="1" applyAlignment="1" applyProtection="1">
      <alignment vertical="center"/>
    </xf>
    <xf numFmtId="177" fontId="0" fillId="0" borderId="57" xfId="173" applyNumberFormat="1" applyFont="1" applyFill="1" applyBorder="1" applyAlignment="1" applyProtection="1">
      <alignment horizontal="left" vertical="center"/>
    </xf>
    <xf numFmtId="177" fontId="38" fillId="0" borderId="57" xfId="173" applyNumberFormat="1" applyFont="1" applyFill="1" applyBorder="1" applyAlignment="1" applyProtection="1">
      <alignment horizontal="left" vertical="center"/>
    </xf>
    <xf numFmtId="0" fontId="38" fillId="0" borderId="57" xfId="173" applyNumberFormat="1" applyFont="1" applyFill="1" applyBorder="1" applyAlignment="1" applyProtection="1">
      <alignment horizontal="left" vertical="center"/>
    </xf>
    <xf numFmtId="0" fontId="41" fillId="0" borderId="57" xfId="173" applyNumberFormat="1" applyFont="1" applyFill="1" applyBorder="1" applyAlignment="1" applyProtection="1">
      <alignment horizontal="left" vertical="center"/>
    </xf>
    <xf numFmtId="0" fontId="0" fillId="0" borderId="57" xfId="173" applyNumberFormat="1" applyFont="1" applyFill="1" applyBorder="1" applyAlignment="1" applyProtection="1">
      <alignment horizontal="left" vertical="center"/>
    </xf>
    <xf numFmtId="0" fontId="42" fillId="0" borderId="57" xfId="173" applyNumberFormat="1" applyFont="1" applyFill="1" applyBorder="1" applyAlignment="1" applyProtection="1">
      <alignment horizontal="left" vertical="center"/>
    </xf>
    <xf numFmtId="0" fontId="42" fillId="0" borderId="12" xfId="173" applyNumberFormat="1" applyFont="1" applyFill="1" applyBorder="1" applyAlignment="1" applyProtection="1">
      <alignment horizontal="left" vertical="center"/>
    </xf>
    <xf numFmtId="0" fontId="38" fillId="0" borderId="15" xfId="173" applyNumberFormat="1" applyFont="1" applyFill="1" applyBorder="1" applyAlignment="1" applyProtection="1">
      <alignment vertical="center"/>
    </xf>
    <xf numFmtId="177" fontId="0" fillId="0" borderId="0" xfId="173" applyNumberFormat="1" applyFont="1" applyFill="1" applyBorder="1" applyAlignment="1" applyProtection="1">
      <alignment vertical="center"/>
    </xf>
    <xf numFmtId="177" fontId="0" fillId="0" borderId="75" xfId="173" applyNumberFormat="1" applyFont="1" applyFill="1" applyBorder="1" applyAlignment="1" applyProtection="1">
      <alignment vertical="center"/>
    </xf>
    <xf numFmtId="177" fontId="0" fillId="0" borderId="0" xfId="173" applyNumberFormat="1" applyFont="1" applyFill="1" applyBorder="1" applyAlignment="1" applyProtection="1">
      <alignment horizontal="left" vertical="center"/>
    </xf>
    <xf numFmtId="177" fontId="38" fillId="0" borderId="0" xfId="173" applyNumberFormat="1" applyFont="1" applyFill="1" applyBorder="1" applyAlignment="1" applyProtection="1">
      <alignment horizontal="left" vertical="center"/>
    </xf>
    <xf numFmtId="0" fontId="38" fillId="0" borderId="0" xfId="173" applyNumberFormat="1" applyFont="1" applyFill="1" applyBorder="1" applyAlignment="1" applyProtection="1">
      <alignment horizontal="left" vertical="center"/>
    </xf>
    <xf numFmtId="0" fontId="41" fillId="0" borderId="0" xfId="173" applyNumberFormat="1" applyFont="1" applyFill="1" applyBorder="1" applyAlignment="1" applyProtection="1">
      <alignment horizontal="left" vertical="center"/>
    </xf>
    <xf numFmtId="0" fontId="0" fillId="0" borderId="0" xfId="173" applyNumberFormat="1" applyFont="1" applyFill="1" applyBorder="1" applyAlignment="1" applyProtection="1">
      <alignment horizontal="left" vertical="center"/>
    </xf>
    <xf numFmtId="0" fontId="42" fillId="0" borderId="0" xfId="173" applyNumberFormat="1" applyFont="1" applyFill="1" applyBorder="1" applyAlignment="1" applyProtection="1">
      <alignment horizontal="left" vertical="center"/>
    </xf>
    <xf numFmtId="0" fontId="42" fillId="0" borderId="11" xfId="173" applyNumberFormat="1" applyFont="1" applyFill="1" applyBorder="1" applyAlignment="1" applyProtection="1">
      <alignment horizontal="left" vertical="center"/>
    </xf>
    <xf numFmtId="0" fontId="38" fillId="0" borderId="15" xfId="173" applyNumberFormat="1" applyFont="1" applyFill="1" applyBorder="1" applyAlignment="1" applyProtection="1">
      <alignment horizontal="center" vertical="center"/>
    </xf>
    <xf numFmtId="0" fontId="41" fillId="0" borderId="0" xfId="173" applyNumberFormat="1" applyFont="1" applyFill="1" applyBorder="1" applyAlignment="1" applyProtection="1">
      <alignment horizontal="center" vertical="center"/>
    </xf>
    <xf numFmtId="0" fontId="41" fillId="0" borderId="75" xfId="173" applyNumberFormat="1" applyFont="1" applyFill="1" applyBorder="1" applyAlignment="1" applyProtection="1">
      <alignment horizontal="center" vertical="center"/>
    </xf>
    <xf numFmtId="0" fontId="38" fillId="0" borderId="75" xfId="173" applyNumberFormat="1" applyFont="1" applyFill="1" applyBorder="1" applyAlignment="1" applyProtection="1">
      <alignment vertical="center"/>
    </xf>
    <xf numFmtId="0" fontId="35" fillId="0" borderId="15" xfId="173" applyNumberFormat="1" applyFont="1" applyFill="1" applyBorder="1" applyAlignment="1" applyProtection="1">
      <alignment vertical="center"/>
    </xf>
    <xf numFmtId="0" fontId="35" fillId="0" borderId="0" xfId="173" applyNumberFormat="1" applyFont="1" applyFill="1" applyBorder="1" applyAlignment="1" applyProtection="1">
      <alignment vertical="center"/>
    </xf>
    <xf numFmtId="0" fontId="35" fillId="0" borderId="75" xfId="173" applyNumberFormat="1" applyFont="1" applyFill="1" applyBorder="1" applyAlignment="1" applyProtection="1">
      <alignment vertical="center"/>
    </xf>
    <xf numFmtId="0" fontId="35" fillId="0" borderId="0" xfId="173" applyNumberFormat="1" applyFont="1" applyFill="1" applyBorder="1" applyAlignment="1" applyProtection="1">
      <alignment horizontal="left" vertical="center"/>
    </xf>
    <xf numFmtId="0" fontId="38" fillId="0" borderId="55" xfId="173" applyNumberFormat="1" applyFont="1" applyFill="1" applyBorder="1" applyAlignment="1" applyProtection="1">
      <alignment horizontal="left" vertical="center"/>
    </xf>
    <xf numFmtId="0" fontId="42" fillId="0" borderId="55" xfId="173" applyNumberFormat="1" applyFont="1" applyFill="1" applyBorder="1" applyAlignment="1" applyProtection="1">
      <alignment horizontal="left" vertical="center"/>
    </xf>
    <xf numFmtId="0" fontId="42" fillId="0" borderId="10" xfId="173" applyNumberFormat="1" applyFont="1" applyFill="1" applyBorder="1" applyAlignment="1" applyProtection="1">
      <alignment horizontal="left" vertical="center"/>
    </xf>
    <xf numFmtId="0" fontId="38" fillId="0" borderId="55" xfId="173" applyNumberFormat="1" applyFont="1" applyFill="1" applyBorder="1" applyAlignment="1" applyProtection="1">
      <alignment vertical="center"/>
    </xf>
    <xf numFmtId="0" fontId="35" fillId="0" borderId="56" xfId="173" applyNumberFormat="1" applyFont="1" applyFill="1" applyBorder="1" applyAlignment="1" applyProtection="1">
      <alignment horizontal="center" vertical="center"/>
    </xf>
    <xf numFmtId="194" fontId="38" fillId="0" borderId="55" xfId="173" applyNumberFormat="1" applyFont="1" applyFill="1" applyBorder="1" applyAlignment="1" applyProtection="1">
      <alignment horizontal="center" vertical="center"/>
    </xf>
    <xf numFmtId="194" fontId="38" fillId="0" borderId="56" xfId="173" applyNumberFormat="1" applyFont="1" applyFill="1" applyBorder="1" applyAlignment="1" applyProtection="1">
      <alignment horizontal="center" vertical="center"/>
    </xf>
    <xf numFmtId="0" fontId="38" fillId="0" borderId="0" xfId="173" applyNumberFormat="1" applyFont="1" applyFill="1" applyBorder="1" applyAlignment="1" applyProtection="1">
      <alignment horizontal="right" vertical="center"/>
    </xf>
    <xf numFmtId="49" fontId="38" fillId="0" borderId="0" xfId="173" applyNumberFormat="1" applyFont="1" applyFill="1" applyBorder="1" applyAlignment="1" applyProtection="1">
      <alignment vertical="center" shrinkToFit="1"/>
    </xf>
    <xf numFmtId="0" fontId="38" fillId="0" borderId="0" xfId="174" applyNumberFormat="1" applyFont="1" applyFill="1" applyBorder="1" applyAlignment="1" applyProtection="1">
      <alignment vertical="center"/>
    </xf>
    <xf numFmtId="0" fontId="38" fillId="0" borderId="0" xfId="174" applyNumberFormat="1" applyFont="1" applyFill="1" applyBorder="1" applyAlignment="1" applyProtection="1">
      <alignment horizontal="right" vertical="center"/>
    </xf>
    <xf numFmtId="49" fontId="40" fillId="0" borderId="0" xfId="174" applyNumberFormat="1" applyFont="1" applyFill="1" applyBorder="1" applyAlignment="1" applyProtection="1">
      <alignment vertical="center"/>
    </xf>
    <xf numFmtId="0" fontId="40" fillId="0" borderId="0" xfId="69" applyNumberFormat="1" applyFont="1" applyFill="1" applyBorder="1" applyAlignment="1" applyProtection="1">
      <alignment horizontal="center" vertical="center"/>
    </xf>
    <xf numFmtId="0" fontId="40" fillId="0" borderId="0" xfId="69" applyNumberFormat="1" applyFont="1" applyFill="1" applyBorder="1" applyAlignment="1" applyProtection="1">
      <alignment horizontal="right" vertical="center"/>
    </xf>
    <xf numFmtId="0" fontId="40" fillId="0" borderId="52" xfId="69" applyNumberFormat="1" applyFont="1" applyFill="1" applyBorder="1" applyAlignment="1" applyProtection="1">
      <alignment vertical="center"/>
    </xf>
    <xf numFmtId="0" fontId="9" fillId="0" borderId="0" xfId="159" applyNumberFormat="1" applyFont="1" applyFill="1" applyBorder="1" applyAlignment="1" applyProtection="1">
      <alignment horizontal="left" vertical="center" shrinkToFit="1"/>
    </xf>
    <xf numFmtId="0" fontId="9" fillId="34" borderId="0" xfId="159" applyNumberFormat="1" applyFont="1" applyFill="1" applyBorder="1" applyAlignment="1" applyProtection="1">
      <alignment vertical="center"/>
    </xf>
    <xf numFmtId="0" fontId="39" fillId="0" borderId="0" xfId="159" applyNumberFormat="1" applyFont="1" applyFill="1" applyBorder="1" applyAlignment="1" applyProtection="1">
      <alignment vertical="center"/>
    </xf>
    <xf numFmtId="0" fontId="9" fillId="44" borderId="0" xfId="159" applyNumberFormat="1" applyFont="1" applyFill="1" applyBorder="1" applyAlignment="1" applyProtection="1">
      <alignment vertical="center"/>
    </xf>
    <xf numFmtId="0" fontId="38" fillId="34" borderId="0" xfId="158" applyNumberFormat="1" applyFont="1" applyFill="1" applyBorder="1" applyAlignment="1" applyProtection="1">
      <alignment vertical="center"/>
      <protection locked="0"/>
    </xf>
    <xf numFmtId="0" fontId="38" fillId="44" borderId="0" xfId="158" applyNumberFormat="1" applyFont="1" applyFill="1" applyBorder="1" applyAlignment="1" applyProtection="1">
      <alignment vertical="center"/>
      <protection locked="0"/>
    </xf>
    <xf numFmtId="0" fontId="38" fillId="32" borderId="0" xfId="158" applyNumberFormat="1" applyFont="1" applyFill="1" applyBorder="1" applyAlignment="1" applyProtection="1">
      <alignment vertical="center"/>
    </xf>
    <xf numFmtId="0" fontId="5" fillId="0" borderId="0" xfId="0" applyNumberFormat="1" applyFont="1" applyFill="1" applyBorder="1" applyAlignment="1" applyProtection="1">
      <alignment vertical="center" wrapText="1"/>
    </xf>
    <xf numFmtId="0" fontId="38" fillId="0" borderId="0" xfId="156" applyNumberFormat="1" applyFont="1" applyFill="1" applyBorder="1" applyAlignment="1" applyProtection="1">
      <alignment vertical="top"/>
    </xf>
    <xf numFmtId="0" fontId="38" fillId="0" borderId="0" xfId="156" applyNumberFormat="1" applyFont="1" applyFill="1" applyBorder="1" applyAlignment="1" applyProtection="1">
      <alignment vertical="top" wrapText="1"/>
    </xf>
    <xf numFmtId="0" fontId="38" fillId="0" borderId="0" xfId="157" applyNumberFormat="1" applyFont="1" applyFill="1" applyBorder="1" applyAlignment="1" applyProtection="1">
      <alignment vertical="top" wrapText="1"/>
    </xf>
    <xf numFmtId="0" fontId="0" fillId="0" borderId="0" xfId="51" applyNumberFormat="1" applyFont="1" applyFill="1" applyBorder="1" applyAlignment="1" applyProtection="1"/>
    <xf numFmtId="0" fontId="81" fillId="0" borderId="0" xfId="51" applyNumberFormat="1" applyFont="1" applyFill="1" applyBorder="1" applyAlignment="1" applyProtection="1"/>
    <xf numFmtId="0" fontId="83" fillId="0" borderId="76" xfId="51" applyNumberFormat="1" applyFont="1" applyFill="1" applyBorder="1" applyAlignment="1" applyProtection="1">
      <alignment vertical="center"/>
    </xf>
    <xf numFmtId="0" fontId="83" fillId="0" borderId="0" xfId="51" applyNumberFormat="1" applyFont="1" applyFill="1" applyBorder="1" applyAlignment="1" applyProtection="1"/>
    <xf numFmtId="0" fontId="84" fillId="0" borderId="0" xfId="51" applyNumberFormat="1" applyFont="1" applyFill="1" applyBorder="1" applyAlignment="1" applyProtection="1">
      <alignment vertical="center"/>
    </xf>
    <xf numFmtId="0" fontId="81" fillId="0" borderId="0" xfId="51" applyNumberFormat="1" applyFont="1" applyFill="1" applyBorder="1" applyAlignment="1" applyProtection="1">
      <alignment vertical="center"/>
    </xf>
    <xf numFmtId="0" fontId="86" fillId="0" borderId="0" xfId="51" applyNumberFormat="1" applyFont="1" applyFill="1" applyBorder="1" applyAlignment="1" applyProtection="1"/>
    <xf numFmtId="0" fontId="87" fillId="0" borderId="0" xfId="51" applyNumberFormat="1" applyFont="1" applyFill="1" applyBorder="1" applyAlignment="1" applyProtection="1">
      <alignment vertical="center"/>
    </xf>
    <xf numFmtId="0" fontId="88" fillId="0" borderId="0" xfId="51" applyNumberFormat="1" applyFont="1" applyFill="1" applyBorder="1" applyAlignment="1" applyProtection="1">
      <alignment vertical="center"/>
    </xf>
    <xf numFmtId="0" fontId="89" fillId="0" borderId="0" xfId="51" applyNumberFormat="1" applyFont="1" applyFill="1" applyBorder="1" applyAlignment="1" applyProtection="1">
      <alignment vertical="center"/>
    </xf>
    <xf numFmtId="0" fontId="90" fillId="0" borderId="0" xfId="51" applyNumberFormat="1" applyFont="1" applyFill="1" applyBorder="1" applyAlignment="1" applyProtection="1">
      <alignment vertical="center"/>
    </xf>
    <xf numFmtId="0" fontId="91" fillId="0" borderId="0" xfId="51" applyNumberFormat="1" applyFont="1" applyFill="1" applyBorder="1" applyAlignment="1" applyProtection="1">
      <alignment vertical="center"/>
    </xf>
    <xf numFmtId="0" fontId="92" fillId="0" borderId="0" xfId="51" applyNumberFormat="1" applyFont="1" applyFill="1" applyBorder="1" applyAlignment="1" applyProtection="1">
      <alignment vertical="center"/>
    </xf>
    <xf numFmtId="0" fontId="0" fillId="0" borderId="0" xfId="51" applyNumberFormat="1" applyFont="1" applyFill="1" applyBorder="1" applyAlignment="1" applyProtection="1">
      <alignment vertical="center"/>
    </xf>
    <xf numFmtId="0" fontId="81" fillId="0" borderId="77" xfId="51" applyNumberFormat="1" applyFont="1" applyFill="1" applyBorder="1" applyAlignment="1" applyProtection="1">
      <alignment horizontal="center" vertical="center"/>
    </xf>
    <xf numFmtId="0" fontId="81" fillId="0" borderId="78" xfId="51" applyNumberFormat="1" applyFont="1" applyFill="1" applyBorder="1" applyAlignment="1" applyProtection="1">
      <alignment horizontal="center" vertical="center"/>
    </xf>
    <xf numFmtId="0" fontId="93" fillId="0" borderId="79" xfId="51" applyNumberFormat="1" applyFont="1" applyFill="1" applyBorder="1" applyAlignment="1" applyProtection="1">
      <alignment horizontal="center" vertical="center"/>
    </xf>
    <xf numFmtId="0" fontId="81" fillId="0" borderId="0" xfId="51" applyNumberFormat="1" applyFont="1" applyFill="1" applyBorder="1" applyAlignment="1" applyProtection="1">
      <alignment horizontal="center" vertical="center"/>
    </xf>
    <xf numFmtId="0" fontId="91" fillId="0" borderId="0" xfId="51" applyNumberFormat="1" applyFont="1" applyFill="1" applyBorder="1" applyAlignment="1" applyProtection="1">
      <alignment horizontal="left" vertical="center" shrinkToFit="1"/>
    </xf>
    <xf numFmtId="0" fontId="91" fillId="0" borderId="0" xfId="51" applyNumberFormat="1" applyFont="1" applyFill="1" applyBorder="1" applyAlignment="1" applyProtection="1">
      <alignment horizontal="left" shrinkToFit="1"/>
    </xf>
    <xf numFmtId="0" fontId="91" fillId="0" borderId="0" xfId="51" applyNumberFormat="1" applyFont="1" applyFill="1" applyBorder="1" applyAlignment="1" applyProtection="1"/>
    <xf numFmtId="0" fontId="85" fillId="0" borderId="0" xfId="51" applyNumberFormat="1" applyFont="1" applyFill="1" applyBorder="1" applyAlignment="1" applyProtection="1">
      <alignment horizontal="left" vertical="center"/>
    </xf>
    <xf numFmtId="0" fontId="81" fillId="0" borderId="80" xfId="51" applyNumberFormat="1" applyFont="1" applyFill="1" applyBorder="1" applyAlignment="1" applyProtection="1">
      <alignment horizontal="center" vertical="center" wrapText="1"/>
    </xf>
    <xf numFmtId="0" fontId="81" fillId="0" borderId="81" xfId="51" applyNumberFormat="1" applyFont="1" applyFill="1" applyBorder="1" applyAlignment="1" applyProtection="1">
      <alignment horizontal="center" vertical="center"/>
    </xf>
    <xf numFmtId="0" fontId="91" fillId="0" borderId="81" xfId="51" applyNumberFormat="1" applyFont="1" applyFill="1" applyBorder="1" applyAlignment="1" applyProtection="1">
      <alignment horizontal="left" vertical="center" shrinkToFit="1"/>
    </xf>
    <xf numFmtId="0" fontId="91" fillId="0" borderId="81" xfId="51" applyNumberFormat="1" applyFont="1" applyFill="1" applyBorder="1" applyAlignment="1" applyProtection="1">
      <alignment horizontal="left" shrinkToFit="1"/>
    </xf>
    <xf numFmtId="0" fontId="85" fillId="0" borderId="0" xfId="51" applyNumberFormat="1" applyFont="1" applyFill="1" applyBorder="1" applyAlignment="1" applyProtection="1">
      <alignment vertical="center"/>
    </xf>
    <xf numFmtId="0" fontId="94" fillId="0" borderId="0" xfId="51" applyNumberFormat="1" applyFont="1" applyFill="1" applyBorder="1" applyAlignment="1" applyProtection="1">
      <alignment vertical="center"/>
    </xf>
    <xf numFmtId="0" fontId="81" fillId="0" borderId="82" xfId="51" applyNumberFormat="1" applyFont="1" applyFill="1" applyBorder="1" applyAlignment="1" applyProtection="1">
      <alignment horizontal="center" vertical="center"/>
    </xf>
    <xf numFmtId="0" fontId="81" fillId="0" borderId="79" xfId="51" applyNumberFormat="1" applyFont="1" applyFill="1" applyBorder="1" applyAlignment="1" applyProtection="1">
      <alignment horizontal="center" vertical="center"/>
    </xf>
    <xf numFmtId="0" fontId="81" fillId="0" borderId="84" xfId="51" applyNumberFormat="1" applyFont="1" applyFill="1" applyBorder="1" applyAlignment="1" applyProtection="1">
      <alignment horizontal="left" vertical="center"/>
    </xf>
    <xf numFmtId="0" fontId="81" fillId="0" borderId="85" xfId="51" applyNumberFormat="1" applyFont="1" applyFill="1" applyBorder="1" applyAlignment="1" applyProtection="1">
      <alignment horizontal="left" vertical="center"/>
    </xf>
    <xf numFmtId="0" fontId="81" fillId="0" borderId="86" xfId="51" applyNumberFormat="1" applyFont="1" applyFill="1" applyBorder="1" applyAlignment="1" applyProtection="1">
      <alignment horizontal="left" vertical="center"/>
    </xf>
    <xf numFmtId="0" fontId="96" fillId="0" borderId="0" xfId="51" applyNumberFormat="1" applyFont="1" applyFill="1" applyBorder="1" applyAlignment="1" applyProtection="1">
      <alignment horizontal="center"/>
    </xf>
    <xf numFmtId="0" fontId="81" fillId="0" borderId="0" xfId="51" applyNumberFormat="1" applyFont="1" applyFill="1" applyBorder="1" applyAlignment="1" applyProtection="1">
      <alignment horizontal="center"/>
    </xf>
    <xf numFmtId="0" fontId="90" fillId="0" borderId="0" xfId="51" applyNumberFormat="1" applyFont="1" applyFill="1" applyBorder="1" applyAlignment="1" applyProtection="1">
      <alignment vertical="center" wrapText="1"/>
    </xf>
    <xf numFmtId="0" fontId="97" fillId="0" borderId="0" xfId="51" applyNumberFormat="1" applyFont="1" applyFill="1" applyBorder="1" applyAlignment="1" applyProtection="1"/>
    <xf numFmtId="0" fontId="96" fillId="0" borderId="0" xfId="51" applyNumberFormat="1" applyFont="1" applyFill="1" applyBorder="1" applyAlignment="1" applyProtection="1"/>
    <xf numFmtId="0" fontId="98" fillId="0" borderId="0" xfId="175" applyNumberFormat="1" applyFont="1" applyFill="1" applyBorder="1" applyAlignment="1" applyProtection="1">
      <alignment vertical="center"/>
    </xf>
    <xf numFmtId="0" fontId="85" fillId="0" borderId="0" xfId="175" applyNumberFormat="1" applyFont="1" applyFill="1" applyBorder="1" applyAlignment="1" applyProtection="1">
      <alignment vertical="center"/>
    </xf>
    <xf numFmtId="0" fontId="81" fillId="0" borderId="0" xfId="175" applyNumberFormat="1" applyFont="1" applyFill="1" applyBorder="1" applyAlignment="1" applyProtection="1">
      <alignment vertical="center"/>
    </xf>
    <xf numFmtId="0" fontId="0" fillId="0" borderId="0" xfId="175" applyNumberFormat="1" applyFont="1" applyFill="1" applyBorder="1" applyAlignment="1" applyProtection="1">
      <alignment vertical="center"/>
    </xf>
    <xf numFmtId="0" fontId="1" fillId="0" borderId="0" xfId="175" applyNumberFormat="1" applyFont="1" applyFill="1" applyBorder="1" applyAlignment="1" applyProtection="1">
      <alignment vertical="center"/>
    </xf>
    <xf numFmtId="0" fontId="99" fillId="0" borderId="0" xfId="175" applyNumberFormat="1" applyFont="1" applyFill="1" applyBorder="1" applyAlignment="1" applyProtection="1">
      <alignment vertical="center"/>
    </xf>
    <xf numFmtId="0" fontId="100" fillId="0" borderId="0" xfId="175" applyNumberFormat="1" applyFont="1" applyFill="1" applyBorder="1" applyAlignment="1" applyProtection="1">
      <alignment vertical="center"/>
    </xf>
    <xf numFmtId="0" fontId="101" fillId="0" borderId="0" xfId="175" applyNumberFormat="1" applyFont="1" applyFill="1" applyBorder="1" applyAlignment="1" applyProtection="1">
      <alignment vertical="center"/>
    </xf>
    <xf numFmtId="0" fontId="1" fillId="0" borderId="0" xfId="175" applyNumberFormat="1" applyFont="1" applyFill="1" applyBorder="1" applyAlignment="1" applyProtection="1">
      <alignment horizontal="right" vertical="center"/>
    </xf>
    <xf numFmtId="0" fontId="102" fillId="0" borderId="0" xfId="175" applyNumberFormat="1" applyFont="1" applyFill="1" applyBorder="1" applyAlignment="1" applyProtection="1">
      <alignment horizontal="right" vertical="center"/>
    </xf>
    <xf numFmtId="0" fontId="103" fillId="0" borderId="0" xfId="51" applyNumberFormat="1" applyFont="1" applyFill="1" applyBorder="1" applyAlignment="1" applyProtection="1">
      <alignment vertical="center"/>
    </xf>
    <xf numFmtId="0" fontId="104" fillId="0" borderId="0" xfId="175" applyNumberFormat="1" applyFont="1" applyFill="1" applyBorder="1" applyAlignment="1" applyProtection="1">
      <alignment vertical="center"/>
    </xf>
    <xf numFmtId="0" fontId="90" fillId="0" borderId="0" xfId="175" applyNumberFormat="1" applyFont="1" applyFill="1" applyBorder="1" applyAlignment="1" applyProtection="1">
      <alignment vertical="center"/>
    </xf>
    <xf numFmtId="0" fontId="91" fillId="0" borderId="0" xfId="175" applyNumberFormat="1" applyFont="1" applyFill="1" applyBorder="1" applyAlignment="1" applyProtection="1">
      <alignment vertical="center"/>
    </xf>
    <xf numFmtId="0" fontId="91" fillId="0" borderId="0" xfId="175" applyNumberFormat="1" applyFont="1" applyFill="1" applyBorder="1" applyAlignment="1" applyProtection="1">
      <alignment horizontal="right" vertical="center"/>
    </xf>
    <xf numFmtId="0" fontId="90" fillId="0" borderId="0" xfId="175" applyNumberFormat="1" applyFont="1" applyFill="1" applyBorder="1" applyAlignment="1" applyProtection="1">
      <alignment horizontal="left" vertical="center"/>
    </xf>
    <xf numFmtId="0" fontId="90" fillId="0" borderId="0" xfId="175" applyNumberFormat="1" applyFont="1" applyFill="1" applyBorder="1" applyAlignment="1" applyProtection="1">
      <alignment horizontal="right" vertical="center"/>
    </xf>
    <xf numFmtId="0" fontId="81" fillId="0" borderId="0" xfId="175" applyNumberFormat="1" applyFont="1" applyFill="1" applyBorder="1" applyAlignment="1" applyProtection="1">
      <alignment horizontal="center" vertical="center"/>
    </xf>
    <xf numFmtId="0" fontId="81" fillId="0" borderId="0" xfId="175" applyNumberFormat="1" applyFont="1" applyFill="1" applyBorder="1" applyAlignment="1" applyProtection="1">
      <alignment horizontal="right" vertical="center"/>
    </xf>
    <xf numFmtId="0" fontId="81" fillId="0" borderId="0" xfId="175" applyNumberFormat="1" applyFont="1" applyFill="1" applyBorder="1" applyAlignment="1" applyProtection="1">
      <alignment horizontal="left" vertical="center"/>
    </xf>
    <xf numFmtId="0" fontId="84" fillId="0" borderId="0" xfId="175" applyNumberFormat="1" applyFont="1" applyFill="1" applyBorder="1" applyAlignment="1" applyProtection="1">
      <alignment vertical="center"/>
    </xf>
    <xf numFmtId="0" fontId="105" fillId="0" borderId="0" xfId="51"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0" fontId="73"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vertical="distributed" wrapText="1"/>
    </xf>
    <xf numFmtId="0" fontId="9" fillId="0" borderId="0" xfId="0" applyNumberFormat="1" applyFont="1" applyFill="1" applyBorder="1" applyAlignment="1" applyProtection="1">
      <alignment vertical="distributed"/>
    </xf>
    <xf numFmtId="0" fontId="106" fillId="0" borderId="0" xfId="0" applyNumberFormat="1" applyFont="1" applyFill="1" applyBorder="1" applyAlignment="1" applyProtection="1">
      <alignment horizontal="left" vertical="center"/>
    </xf>
    <xf numFmtId="187" fontId="9" fillId="25" borderId="0" xfId="0" applyNumberFormat="1" applyFont="1" applyFill="1" applyBorder="1" applyAlignment="1" applyProtection="1">
      <alignment horizontal="center" vertical="center"/>
    </xf>
    <xf numFmtId="181" fontId="9" fillId="0" borderId="0" xfId="0" applyNumberFormat="1" applyFont="1" applyFill="1" applyBorder="1" applyAlignment="1" applyProtection="1">
      <alignment horizontal="center" vertical="center"/>
    </xf>
    <xf numFmtId="188" fontId="9" fillId="25" borderId="0" xfId="0" applyNumberFormat="1" applyFont="1" applyFill="1" applyBorder="1" applyAlignment="1" applyProtection="1">
      <alignment horizontal="center" vertical="center"/>
    </xf>
    <xf numFmtId="189" fontId="9" fillId="25"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wrapText="1"/>
    </xf>
    <xf numFmtId="0" fontId="9" fillId="0" borderId="0" xfId="0" applyNumberFormat="1" applyFont="1" applyFill="1" applyBorder="1" applyAlignment="1" applyProtection="1">
      <alignment vertical="center" wrapText="1"/>
    </xf>
    <xf numFmtId="0" fontId="9" fillId="0" borderId="0" xfId="0" applyNumberFormat="1" applyFont="1" applyFill="1" applyBorder="1" applyAlignment="1" applyProtection="1">
      <alignment horizontal="right"/>
    </xf>
    <xf numFmtId="0" fontId="9" fillId="0" borderId="0" xfId="0" applyNumberFormat="1" applyFont="1" applyFill="1" applyBorder="1" applyAlignment="1" applyProtection="1">
      <alignment horizontal="center"/>
    </xf>
    <xf numFmtId="0" fontId="9" fillId="0" borderId="57" xfId="0" applyNumberFormat="1" applyFont="1" applyFill="1" applyBorder="1" applyAlignment="1" applyProtection="1">
      <alignment vertical="center"/>
    </xf>
    <xf numFmtId="0" fontId="9" fillId="0" borderId="57" xfId="0" applyNumberFormat="1" applyFont="1" applyFill="1" applyBorder="1" applyAlignment="1" applyProtection="1">
      <alignment vertical="top"/>
    </xf>
    <xf numFmtId="0" fontId="9" fillId="0" borderId="0" xfId="0" applyNumberFormat="1" applyFont="1" applyFill="1" applyBorder="1" applyAlignment="1" applyProtection="1">
      <alignment vertical="top"/>
    </xf>
    <xf numFmtId="0" fontId="9" fillId="0" borderId="55" xfId="0" applyNumberFormat="1" applyFont="1" applyFill="1" applyBorder="1" applyAlignment="1" applyProtection="1">
      <alignment horizontal="left" vertical="center" wrapText="1"/>
    </xf>
    <xf numFmtId="0" fontId="9" fillId="0" borderId="55" xfId="0" applyNumberFormat="1" applyFont="1" applyFill="1" applyBorder="1" applyAlignment="1" applyProtection="1">
      <alignment vertical="center" wrapText="1"/>
    </xf>
    <xf numFmtId="0" fontId="9" fillId="0" borderId="55" xfId="0" applyNumberFormat="1" applyFont="1" applyFill="1" applyBorder="1" applyAlignment="1" applyProtection="1">
      <alignment vertical="center"/>
    </xf>
    <xf numFmtId="0" fontId="9" fillId="0" borderId="55" xfId="0" applyNumberFormat="1" applyFont="1" applyFill="1" applyBorder="1" applyAlignment="1" applyProtection="1">
      <alignment vertical="top"/>
    </xf>
    <xf numFmtId="0" fontId="9" fillId="0" borderId="14" xfId="0" applyNumberFormat="1" applyFont="1" applyFill="1" applyBorder="1" applyAlignment="1" applyProtection="1">
      <alignment vertical="top"/>
    </xf>
    <xf numFmtId="0" fontId="9" fillId="0" borderId="11" xfId="0" applyNumberFormat="1" applyFont="1" applyFill="1" applyBorder="1" applyAlignment="1" applyProtection="1">
      <alignment horizontal="justify" vertical="center" wrapText="1"/>
    </xf>
    <xf numFmtId="0" fontId="9" fillId="0" borderId="15" xfId="0" applyNumberFormat="1" applyFont="1" applyFill="1" applyBorder="1" applyAlignment="1" applyProtection="1">
      <alignment vertical="top"/>
    </xf>
    <xf numFmtId="0" fontId="9" fillId="0" borderId="0" xfId="0" applyNumberFormat="1" applyFont="1" applyFill="1" applyBorder="1" applyAlignment="1" applyProtection="1">
      <alignment horizontal="left" vertical="top"/>
    </xf>
    <xf numFmtId="0" fontId="74" fillId="0" borderId="0" xfId="0" applyNumberFormat="1" applyFont="1" applyFill="1" applyBorder="1" applyAlignment="1" applyProtection="1">
      <alignment horizontal="center" vertical="center"/>
    </xf>
    <xf numFmtId="0" fontId="9" fillId="0" borderId="57" xfId="0" applyNumberFormat="1" applyFont="1" applyFill="1" applyBorder="1" applyAlignment="1" applyProtection="1">
      <alignment wrapText="1"/>
    </xf>
    <xf numFmtId="0" fontId="9" fillId="0" borderId="0" xfId="0" applyNumberFormat="1" applyFont="1" applyFill="1" applyBorder="1" applyAlignment="1" applyProtection="1"/>
    <xf numFmtId="0" fontId="9" fillId="0" borderId="0" xfId="0" applyNumberFormat="1" applyFont="1" applyFill="1" applyBorder="1" applyAlignment="1" applyProtection="1">
      <alignment horizontal="left" vertical="center"/>
    </xf>
    <xf numFmtId="0" fontId="106" fillId="0" borderId="0" xfId="0" applyNumberFormat="1" applyFont="1" applyFill="1" applyBorder="1" applyAlignment="1" applyProtection="1">
      <alignment horizontal="center" vertical="center"/>
    </xf>
    <xf numFmtId="0" fontId="107" fillId="0" borderId="0" xfId="0" applyNumberFormat="1" applyFont="1" applyFill="1" applyBorder="1" applyAlignment="1" applyProtection="1">
      <alignment vertical="center"/>
      <protection locked="0"/>
    </xf>
    <xf numFmtId="0" fontId="107" fillId="0" borderId="0" xfId="0" applyNumberFormat="1" applyFont="1" applyFill="1" applyBorder="1" applyAlignment="1" applyProtection="1">
      <alignment vertical="center"/>
    </xf>
    <xf numFmtId="0" fontId="106" fillId="0" borderId="57" xfId="0" applyNumberFormat="1" applyFont="1" applyFill="1" applyBorder="1" applyAlignment="1" applyProtection="1">
      <alignment vertical="center"/>
    </xf>
    <xf numFmtId="0" fontId="106" fillId="0" borderId="57" xfId="0" applyNumberFormat="1" applyFont="1" applyFill="1" applyBorder="1" applyAlignment="1" applyProtection="1">
      <alignment horizontal="center" vertical="center"/>
    </xf>
    <xf numFmtId="0" fontId="106" fillId="0" borderId="0" xfId="0" applyNumberFormat="1" applyFont="1" applyFill="1" applyBorder="1" applyAlignment="1" applyProtection="1">
      <alignment vertical="center"/>
    </xf>
    <xf numFmtId="0" fontId="108" fillId="0" borderId="0" xfId="0" applyNumberFormat="1" applyFont="1" applyFill="1" applyBorder="1" applyAlignment="1" applyProtection="1">
      <alignment vertical="center"/>
    </xf>
    <xf numFmtId="0" fontId="106" fillId="0" borderId="0" xfId="0" applyNumberFormat="1" applyFont="1" applyFill="1" applyBorder="1" applyAlignment="1" applyProtection="1">
      <alignment horizontal="right" vertical="center"/>
    </xf>
    <xf numFmtId="0" fontId="0" fillId="0" borderId="0" xfId="0" applyNumberFormat="1" applyFont="1" applyFill="1" applyBorder="1" applyAlignment="1" applyProtection="1">
      <alignment vertical="center" shrinkToFit="1"/>
    </xf>
    <xf numFmtId="0" fontId="106" fillId="27" borderId="0" xfId="0" applyNumberFormat="1" applyFont="1" applyFill="1" applyBorder="1" applyAlignment="1" applyProtection="1">
      <alignment horizontal="right" vertical="center"/>
    </xf>
    <xf numFmtId="0" fontId="106" fillId="0" borderId="55" xfId="0" applyNumberFormat="1" applyFont="1" applyFill="1" applyBorder="1" applyAlignment="1" applyProtection="1">
      <alignment vertical="center"/>
    </xf>
    <xf numFmtId="0" fontId="106" fillId="0" borderId="0" xfId="0" applyNumberFormat="1" applyFont="1" applyFill="1" applyBorder="1" applyAlignment="1" applyProtection="1">
      <alignment vertical="center" shrinkToFit="1"/>
    </xf>
    <xf numFmtId="0" fontId="106" fillId="25" borderId="0" xfId="0" applyNumberFormat="1" applyFont="1" applyFill="1" applyBorder="1" applyAlignment="1" applyProtection="1">
      <alignment horizontal="right" vertical="center"/>
    </xf>
    <xf numFmtId="0" fontId="106" fillId="0" borderId="55" xfId="0" applyNumberFormat="1" applyFont="1" applyFill="1" applyBorder="1" applyAlignment="1" applyProtection="1">
      <alignment vertical="center"/>
      <protection locked="0"/>
    </xf>
    <xf numFmtId="0" fontId="106" fillId="0" borderId="0" xfId="0" applyNumberFormat="1" applyFont="1" applyFill="1" applyBorder="1" applyAlignment="1" applyProtection="1">
      <alignment vertical="center"/>
      <protection locked="0"/>
    </xf>
    <xf numFmtId="0" fontId="106" fillId="0" borderId="55" xfId="0" applyNumberFormat="1" applyFont="1" applyFill="1" applyBorder="1" applyAlignment="1" applyProtection="1">
      <alignment horizontal="right" vertical="center"/>
    </xf>
    <xf numFmtId="0" fontId="62" fillId="0" borderId="0" xfId="176" applyNumberFormat="1" applyFont="1" applyFill="1" applyBorder="1" applyAlignment="1" applyProtection="1">
      <alignment vertical="center"/>
      <protection locked="0"/>
    </xf>
    <xf numFmtId="0" fontId="106" fillId="0" borderId="0" xfId="177" applyNumberFormat="1" applyFont="1" applyFill="1" applyBorder="1" applyAlignment="1" applyProtection="1">
      <alignment horizontal="center" vertical="center"/>
      <protection locked="0"/>
    </xf>
    <xf numFmtId="0" fontId="106" fillId="0" borderId="0" xfId="177" applyNumberFormat="1" applyFont="1" applyFill="1" applyBorder="1" applyAlignment="1" applyProtection="1">
      <alignment vertical="center"/>
      <protection locked="0"/>
    </xf>
    <xf numFmtId="0" fontId="106" fillId="0" borderId="56" xfId="177" applyNumberFormat="1" applyFont="1" applyFill="1" applyBorder="1" applyAlignment="1" applyProtection="1">
      <alignment vertical="center"/>
    </xf>
    <xf numFmtId="0" fontId="106" fillId="0" borderId="56" xfId="177" applyNumberFormat="1" applyFont="1" applyFill="1" applyBorder="1" applyAlignment="1" applyProtection="1">
      <alignment vertical="center"/>
      <protection locked="0"/>
    </xf>
    <xf numFmtId="0" fontId="106" fillId="0" borderId="0" xfId="177" applyNumberFormat="1" applyFont="1" applyFill="1" applyBorder="1" applyAlignment="1" applyProtection="1">
      <alignment vertical="center"/>
    </xf>
    <xf numFmtId="0" fontId="106" fillId="25" borderId="0" xfId="177" applyNumberFormat="1" applyFont="1" applyFill="1" applyBorder="1" applyAlignment="1" applyProtection="1">
      <alignment horizontal="right" vertical="center"/>
      <protection locked="0"/>
    </xf>
    <xf numFmtId="0" fontId="106" fillId="0" borderId="0" xfId="177" applyNumberFormat="1" applyFont="1" applyFill="1" applyBorder="1" applyAlignment="1" applyProtection="1">
      <alignment horizontal="left" vertical="center"/>
    </xf>
    <xf numFmtId="0" fontId="106" fillId="0" borderId="0" xfId="177" applyNumberFormat="1" applyFont="1" applyFill="1" applyBorder="1" applyAlignment="1" applyProtection="1">
      <alignment horizontal="center" vertical="center"/>
    </xf>
    <xf numFmtId="0" fontId="106" fillId="25" borderId="56" xfId="177" applyNumberFormat="1" applyFont="1" applyFill="1" applyBorder="1" applyAlignment="1" applyProtection="1">
      <alignment horizontal="right" vertical="center"/>
      <protection locked="0"/>
    </xf>
    <xf numFmtId="0" fontId="106" fillId="0" borderId="56" xfId="177" applyNumberFormat="1" applyFont="1" applyFill="1" applyBorder="1" applyAlignment="1" applyProtection="1">
      <alignment horizontal="right" vertical="center"/>
      <protection locked="0"/>
    </xf>
    <xf numFmtId="0" fontId="106" fillId="0" borderId="56" xfId="177" applyNumberFormat="1" applyFont="1" applyFill="1" applyBorder="1" applyAlignment="1" applyProtection="1">
      <alignment horizontal="center" vertical="center"/>
      <protection locked="0"/>
    </xf>
    <xf numFmtId="0" fontId="106" fillId="0" borderId="0" xfId="177" applyNumberFormat="1" applyFont="1" applyFill="1" applyBorder="1" applyAlignment="1" applyProtection="1">
      <alignment horizontal="right" vertical="center"/>
      <protection locked="0"/>
    </xf>
    <xf numFmtId="0" fontId="110" fillId="0" borderId="0" xfId="177" applyNumberFormat="1" applyFont="1" applyFill="1" applyBorder="1" applyAlignment="1" applyProtection="1">
      <alignment vertical="top" wrapText="1"/>
      <protection locked="0"/>
    </xf>
    <xf numFmtId="0" fontId="106" fillId="0" borderId="55" xfId="177" applyNumberFormat="1" applyFont="1" applyFill="1" applyBorder="1" applyAlignment="1" applyProtection="1">
      <alignment vertical="center"/>
    </xf>
    <xf numFmtId="0" fontId="106" fillId="0" borderId="55" xfId="177" applyNumberFormat="1" applyFont="1" applyFill="1" applyBorder="1" applyAlignment="1" applyProtection="1">
      <alignment vertical="center"/>
      <protection locked="0"/>
    </xf>
    <xf numFmtId="0" fontId="106" fillId="0" borderId="57" xfId="177" applyNumberFormat="1" applyFont="1" applyFill="1" applyBorder="1" applyAlignment="1" applyProtection="1">
      <alignment vertical="center"/>
      <protection locked="0"/>
    </xf>
    <xf numFmtId="0" fontId="106" fillId="0" borderId="57" xfId="177" applyNumberFormat="1" applyFont="1" applyFill="1" applyBorder="1" applyAlignment="1" applyProtection="1">
      <alignment vertical="center"/>
    </xf>
    <xf numFmtId="0" fontId="106" fillId="0" borderId="0" xfId="177" applyNumberFormat="1" applyFont="1" applyFill="1" applyBorder="1" applyAlignment="1" applyProtection="1">
      <alignment horizontal="left" vertical="center"/>
      <protection locked="0"/>
    </xf>
    <xf numFmtId="0" fontId="106" fillId="25" borderId="0" xfId="177" applyNumberFormat="1" applyFont="1" applyFill="1" applyBorder="1" applyAlignment="1" applyProtection="1">
      <alignment horizontal="center" vertical="center"/>
      <protection locked="0"/>
    </xf>
    <xf numFmtId="0" fontId="111" fillId="0" borderId="0" xfId="177" applyNumberFormat="1" applyFont="1" applyFill="1" applyBorder="1" applyAlignment="1" applyProtection="1">
      <alignment vertical="center"/>
      <protection locked="0"/>
    </xf>
    <xf numFmtId="49" fontId="106" fillId="0" borderId="57" xfId="177" applyNumberFormat="1" applyFont="1" applyFill="1" applyBorder="1" applyAlignment="1" applyProtection="1">
      <alignment vertical="center"/>
      <protection locked="0"/>
    </xf>
    <xf numFmtId="0" fontId="106" fillId="0" borderId="55" xfId="177" applyNumberFormat="1" applyFont="1" applyFill="1" applyBorder="1" applyAlignment="1" applyProtection="1">
      <alignment horizontal="right" vertical="center"/>
      <protection locked="0"/>
    </xf>
    <xf numFmtId="200" fontId="106" fillId="0" borderId="0" xfId="177" applyNumberFormat="1" applyFont="1" applyFill="1" applyBorder="1" applyAlignment="1" applyProtection="1">
      <alignment horizontal="center" vertical="center"/>
      <protection locked="0"/>
    </xf>
    <xf numFmtId="200" fontId="106" fillId="0" borderId="0" xfId="177" applyNumberFormat="1" applyFont="1" applyFill="1" applyBorder="1" applyAlignment="1" applyProtection="1">
      <alignment horizontal="center" vertical="center"/>
    </xf>
    <xf numFmtId="0" fontId="106" fillId="0" borderId="57" xfId="177" applyNumberFormat="1" applyFont="1" applyFill="1" applyBorder="1" applyAlignment="1" applyProtection="1">
      <alignment horizontal="center" vertical="center"/>
    </xf>
    <xf numFmtId="0" fontId="106" fillId="0" borderId="0" xfId="177" applyNumberFormat="1" applyFont="1" applyFill="1" applyBorder="1" applyAlignment="1" applyProtection="1">
      <alignment horizontal="right" vertical="center"/>
    </xf>
    <xf numFmtId="0" fontId="106" fillId="0" borderId="0" xfId="0" applyNumberFormat="1" applyFont="1" applyFill="1" applyBorder="1" applyAlignment="1" applyProtection="1">
      <alignment vertical="top"/>
    </xf>
    <xf numFmtId="0" fontId="106" fillId="0" borderId="57" xfId="0" applyNumberFormat="1" applyFont="1" applyFill="1" applyBorder="1" applyAlignment="1" applyProtection="1">
      <alignment vertical="top"/>
    </xf>
    <xf numFmtId="0" fontId="106" fillId="25" borderId="57" xfId="177" applyNumberFormat="1" applyFont="1" applyFill="1" applyBorder="1" applyAlignment="1" applyProtection="1">
      <alignment horizontal="right" vertical="center"/>
      <protection locked="0"/>
    </xf>
    <xf numFmtId="0" fontId="110" fillId="0" borderId="0" xfId="177" applyNumberFormat="1" applyFont="1" applyFill="1" applyBorder="1" applyAlignment="1" applyProtection="1">
      <alignment vertical="center"/>
      <protection locked="0"/>
    </xf>
    <xf numFmtId="0" fontId="112" fillId="0" borderId="0" xfId="177" applyNumberFormat="1" applyFont="1" applyFill="1" applyBorder="1" applyAlignment="1" applyProtection="1">
      <alignment vertical="center"/>
      <protection locked="0"/>
    </xf>
    <xf numFmtId="187" fontId="106" fillId="25" borderId="56" xfId="177" applyNumberFormat="1" applyFont="1" applyFill="1" applyBorder="1" applyAlignment="1" applyProtection="1">
      <alignment vertical="center"/>
      <protection locked="0"/>
    </xf>
    <xf numFmtId="188" fontId="106" fillId="25" borderId="55" xfId="177" applyNumberFormat="1" applyFont="1" applyFill="1" applyBorder="1" applyAlignment="1" applyProtection="1">
      <alignment vertical="center"/>
      <protection locked="0"/>
    </xf>
    <xf numFmtId="189" fontId="106" fillId="25" borderId="56" xfId="177" applyNumberFormat="1" applyFont="1" applyFill="1" applyBorder="1" applyAlignment="1" applyProtection="1">
      <alignment vertical="center"/>
      <protection locked="0"/>
    </xf>
    <xf numFmtId="188" fontId="106" fillId="25" borderId="56" xfId="177" applyNumberFormat="1" applyFont="1" applyFill="1" applyBorder="1" applyAlignment="1" applyProtection="1">
      <alignment vertical="center"/>
      <protection locked="0"/>
    </xf>
    <xf numFmtId="189" fontId="106" fillId="25" borderId="0" xfId="177" applyNumberFormat="1" applyFont="1" applyFill="1" applyBorder="1" applyAlignment="1" applyProtection="1">
      <alignment vertical="center"/>
      <protection locked="0"/>
    </xf>
    <xf numFmtId="187" fontId="106" fillId="25" borderId="0" xfId="177" applyNumberFormat="1" applyFont="1" applyFill="1" applyBorder="1" applyAlignment="1" applyProtection="1">
      <alignment vertical="center"/>
      <protection locked="0"/>
    </xf>
    <xf numFmtId="188" fontId="106" fillId="25" borderId="0" xfId="177" applyNumberFormat="1" applyFont="1" applyFill="1" applyBorder="1" applyAlignment="1" applyProtection="1">
      <alignment vertical="center"/>
      <protection locked="0"/>
    </xf>
    <xf numFmtId="0" fontId="106" fillId="0" borderId="55" xfId="0" applyNumberFormat="1" applyFont="1" applyFill="1" applyBorder="1" applyAlignment="1" applyProtection="1">
      <alignment vertical="top"/>
    </xf>
    <xf numFmtId="0" fontId="113" fillId="0" borderId="55" xfId="0" applyNumberFormat="1" applyFont="1" applyFill="1" applyBorder="1" applyAlignment="1" applyProtection="1">
      <alignment horizontal="right" vertical="top"/>
    </xf>
    <xf numFmtId="0" fontId="113" fillId="0" borderId="55" xfId="0" applyNumberFormat="1" applyFont="1" applyFill="1" applyBorder="1" applyAlignment="1" applyProtection="1">
      <alignment horizontal="left" vertical="top"/>
    </xf>
    <xf numFmtId="181" fontId="113" fillId="0" borderId="55" xfId="0" applyNumberFormat="1" applyFont="1" applyFill="1" applyBorder="1" applyAlignment="1" applyProtection="1">
      <alignment horizontal="left" vertical="top"/>
    </xf>
    <xf numFmtId="0" fontId="106" fillId="0" borderId="0" xfId="0" applyNumberFormat="1" applyFont="1" applyFill="1" applyBorder="1" applyAlignment="1" applyProtection="1">
      <alignment horizontal="left" vertical="top"/>
    </xf>
    <xf numFmtId="0" fontId="106" fillId="0" borderId="0" xfId="0" applyNumberFormat="1" applyFont="1" applyFill="1" applyBorder="1" applyAlignment="1" applyProtection="1">
      <alignment horizontal="right" vertical="top"/>
    </xf>
    <xf numFmtId="181" fontId="106" fillId="0" borderId="0" xfId="0" applyNumberFormat="1" applyFont="1" applyFill="1" applyBorder="1" applyAlignment="1" applyProtection="1">
      <alignment horizontal="left" vertical="top"/>
    </xf>
    <xf numFmtId="181" fontId="106" fillId="25" borderId="0" xfId="0" applyNumberFormat="1" applyFont="1" applyFill="1" applyBorder="1" applyAlignment="1" applyProtection="1">
      <alignment horizontal="left" vertical="top"/>
    </xf>
    <xf numFmtId="0" fontId="69" fillId="0" borderId="0" xfId="177" applyNumberFormat="1" applyFont="1" applyFill="1" applyBorder="1" applyAlignment="1" applyProtection="1">
      <alignment vertical="center"/>
      <protection locked="0"/>
    </xf>
    <xf numFmtId="0" fontId="106" fillId="25" borderId="0" xfId="0" applyNumberFormat="1" applyFont="1" applyFill="1" applyBorder="1" applyAlignment="1" applyProtection="1">
      <alignment vertical="top"/>
    </xf>
    <xf numFmtId="0" fontId="106" fillId="0" borderId="57" xfId="0" applyNumberFormat="1" applyFont="1" applyFill="1" applyBorder="1" applyAlignment="1" applyProtection="1">
      <alignment horizontal="right" vertical="top"/>
    </xf>
    <xf numFmtId="0" fontId="106" fillId="25" borderId="57" xfId="0" applyNumberFormat="1" applyFont="1" applyFill="1" applyBorder="1" applyAlignment="1" applyProtection="1">
      <alignment vertical="top"/>
    </xf>
    <xf numFmtId="0" fontId="106" fillId="0" borderId="57" xfId="0" applyNumberFormat="1" applyFont="1" applyFill="1" applyBorder="1" applyAlignment="1" applyProtection="1">
      <alignment horizontal="left" vertical="top"/>
    </xf>
    <xf numFmtId="181" fontId="106" fillId="0" borderId="57" xfId="0" applyNumberFormat="1" applyFont="1" applyFill="1" applyBorder="1" applyAlignment="1" applyProtection="1">
      <alignment horizontal="left" vertical="top"/>
    </xf>
    <xf numFmtId="0" fontId="114" fillId="0" borderId="0" xfId="176" applyNumberFormat="1" applyFont="1" applyFill="1" applyBorder="1" applyAlignment="1" applyProtection="1">
      <alignment vertical="center"/>
      <protection locked="0"/>
    </xf>
    <xf numFmtId="0" fontId="109" fillId="0" borderId="0" xfId="177" applyNumberFormat="1" applyFont="1" applyFill="1" applyBorder="1" applyAlignment="1" applyProtection="1">
      <alignment vertical="center"/>
    </xf>
    <xf numFmtId="0" fontId="109" fillId="0" borderId="0" xfId="177" applyNumberFormat="1" applyFont="1" applyFill="1" applyBorder="1" applyAlignment="1" applyProtection="1">
      <alignment vertical="center"/>
      <protection locked="0"/>
    </xf>
    <xf numFmtId="0" fontId="106" fillId="0" borderId="0" xfId="0" applyNumberFormat="1" applyFont="1" applyFill="1" applyBorder="1" applyAlignment="1" applyProtection="1">
      <alignment horizontal="center" vertical="center"/>
      <protection locked="0"/>
    </xf>
    <xf numFmtId="0" fontId="106" fillId="0" borderId="56" xfId="0" applyNumberFormat="1" applyFont="1" applyFill="1" applyBorder="1" applyAlignment="1" applyProtection="1">
      <alignment vertical="center"/>
    </xf>
    <xf numFmtId="0" fontId="106" fillId="0" borderId="56" xfId="0" applyNumberFormat="1" applyFont="1" applyFill="1" applyBorder="1" applyAlignment="1" applyProtection="1">
      <alignment vertical="center"/>
      <protection locked="0"/>
    </xf>
    <xf numFmtId="0" fontId="106" fillId="35" borderId="56" xfId="0" applyNumberFormat="1" applyFont="1" applyFill="1" applyBorder="1" applyAlignment="1" applyProtection="1">
      <alignment horizontal="center" vertical="center"/>
      <protection locked="0"/>
    </xf>
    <xf numFmtId="0" fontId="106" fillId="27" borderId="55" xfId="0" applyNumberFormat="1" applyFont="1" applyFill="1" applyBorder="1" applyAlignment="1" applyProtection="1">
      <alignment horizontal="right" vertical="center"/>
      <protection locked="0"/>
    </xf>
    <xf numFmtId="0" fontId="106" fillId="0" borderId="55" xfId="0" applyNumberFormat="1" applyFont="1" applyFill="1" applyBorder="1" applyAlignment="1" applyProtection="1">
      <alignment horizontal="left" vertical="center"/>
      <protection locked="0"/>
    </xf>
    <xf numFmtId="0" fontId="106" fillId="27" borderId="0" xfId="0" applyNumberFormat="1" applyFont="1" applyFill="1" applyBorder="1" applyAlignment="1" applyProtection="1">
      <alignment horizontal="right" vertical="center"/>
      <protection locked="0"/>
    </xf>
    <xf numFmtId="0" fontId="106" fillId="0" borderId="55" xfId="178" applyNumberFormat="1" applyFont="1" applyFill="1" applyBorder="1" applyAlignment="1" applyProtection="1">
      <alignment vertical="center"/>
    </xf>
    <xf numFmtId="0" fontId="106" fillId="0" borderId="55" xfId="178" applyNumberFormat="1" applyFont="1" applyFill="1" applyBorder="1" applyAlignment="1" applyProtection="1">
      <alignment vertical="center"/>
      <protection locked="0"/>
    </xf>
    <xf numFmtId="0" fontId="106" fillId="0" borderId="0" xfId="178" applyNumberFormat="1" applyFont="1" applyFill="1" applyBorder="1" applyAlignment="1" applyProtection="1">
      <alignment vertical="center"/>
      <protection locked="0"/>
    </xf>
    <xf numFmtId="0" fontId="106" fillId="27" borderId="0" xfId="178" applyNumberFormat="1" applyFont="1" applyFill="1" applyBorder="1" applyAlignment="1" applyProtection="1">
      <alignment horizontal="right" vertical="center"/>
      <protection locked="0"/>
    </xf>
    <xf numFmtId="0" fontId="106" fillId="0" borderId="0" xfId="178" applyNumberFormat="1" applyFont="1" applyFill="1" applyBorder="1" applyAlignment="1" applyProtection="1">
      <alignment vertical="center"/>
    </xf>
    <xf numFmtId="0" fontId="106" fillId="0" borderId="0" xfId="178" applyNumberFormat="1" applyFont="1" applyFill="1" applyBorder="1" applyAlignment="1" applyProtection="1">
      <alignment vertical="center" shrinkToFit="1"/>
      <protection locked="0"/>
    </xf>
    <xf numFmtId="0" fontId="106" fillId="27" borderId="0" xfId="178" applyNumberFormat="1" applyFont="1" applyFill="1" applyBorder="1" applyAlignment="1" applyProtection="1">
      <alignment horizontal="center" vertical="center"/>
      <protection locked="0"/>
    </xf>
    <xf numFmtId="0" fontId="106" fillId="35" borderId="0" xfId="178" applyNumberFormat="1" applyFont="1" applyFill="1" applyBorder="1" applyAlignment="1" applyProtection="1">
      <alignment vertical="center"/>
      <protection locked="0"/>
    </xf>
    <xf numFmtId="0" fontId="115" fillId="0" borderId="0" xfId="0" applyNumberFormat="1" applyFont="1" applyFill="1" applyBorder="1" applyAlignment="1" applyProtection="1">
      <alignment vertical="center"/>
      <protection locked="0"/>
    </xf>
    <xf numFmtId="0" fontId="106" fillId="0" borderId="55" xfId="178" applyNumberFormat="1" applyFont="1" applyFill="1" applyBorder="1" applyAlignment="1" applyProtection="1">
      <alignment horizontal="center" vertical="center"/>
    </xf>
    <xf numFmtId="0" fontId="106" fillId="27" borderId="0" xfId="0" applyNumberFormat="1" applyFont="1" applyFill="1" applyBorder="1" applyAlignment="1" applyProtection="1">
      <alignment vertical="center"/>
      <protection locked="0"/>
    </xf>
    <xf numFmtId="0" fontId="106" fillId="0" borderId="0" xfId="0" applyNumberFormat="1" applyFont="1" applyFill="1" applyBorder="1" applyAlignment="1" applyProtection="1">
      <alignment horizontal="right" vertical="center"/>
      <protection locked="0"/>
    </xf>
    <xf numFmtId="0" fontId="106" fillId="0" borderId="0" xfId="0" applyNumberFormat="1" applyFont="1" applyFill="1" applyBorder="1" applyAlignment="1" applyProtection="1">
      <alignment vertical="center" wrapText="1"/>
      <protection locked="0"/>
    </xf>
    <xf numFmtId="0" fontId="106" fillId="35" borderId="0" xfId="0" applyNumberFormat="1" applyFont="1" applyFill="1" applyBorder="1" applyAlignment="1" applyProtection="1">
      <alignment horizontal="center" vertical="center"/>
      <protection locked="0"/>
    </xf>
    <xf numFmtId="0" fontId="108" fillId="0" borderId="55" xfId="0" applyNumberFormat="1" applyFont="1" applyFill="1" applyBorder="1" applyAlignment="1" applyProtection="1">
      <alignment vertical="center"/>
    </xf>
    <xf numFmtId="0" fontId="106" fillId="0" borderId="57" xfId="0" applyNumberFormat="1" applyFont="1" applyFill="1" applyBorder="1" applyAlignment="1" applyProtection="1">
      <alignment vertical="center"/>
      <protection locked="0"/>
    </xf>
    <xf numFmtId="0" fontId="106" fillId="27" borderId="56" xfId="0" applyNumberFormat="1" applyFont="1" applyFill="1" applyBorder="1" applyAlignment="1" applyProtection="1">
      <alignment horizontal="right" vertical="center"/>
      <protection locked="0"/>
    </xf>
    <xf numFmtId="0" fontId="0" fillId="0" borderId="0" xfId="0" applyNumberFormat="1" applyFont="1" applyFill="1" applyBorder="1" applyAlignment="1" applyProtection="1">
      <alignment vertical="center"/>
      <protection locked="0"/>
    </xf>
    <xf numFmtId="0" fontId="106" fillId="0" borderId="56" xfId="0" applyNumberFormat="1" applyFont="1" applyFill="1" applyBorder="1" applyAlignment="1" applyProtection="1">
      <alignment horizontal="center" vertical="center"/>
      <protection locked="0"/>
    </xf>
    <xf numFmtId="0" fontId="106" fillId="35" borderId="56" xfId="0" applyNumberFormat="1" applyFont="1" applyFill="1" applyBorder="1" applyAlignment="1" applyProtection="1">
      <alignment horizontal="center" vertical="center" shrinkToFit="1"/>
      <protection locked="0"/>
    </xf>
    <xf numFmtId="49" fontId="106" fillId="0" borderId="0" xfId="0" applyNumberFormat="1" applyFont="1" applyFill="1" applyBorder="1" applyAlignment="1" applyProtection="1">
      <alignment vertical="center"/>
      <protection locked="0"/>
    </xf>
    <xf numFmtId="49" fontId="106" fillId="0" borderId="0" xfId="0" applyNumberFormat="1" applyFont="1" applyFill="1" applyBorder="1" applyAlignment="1" applyProtection="1">
      <alignment vertical="center"/>
    </xf>
    <xf numFmtId="0" fontId="106" fillId="35" borderId="0" xfId="0" applyNumberFormat="1" applyFont="1" applyFill="1" applyBorder="1" applyAlignment="1" applyProtection="1">
      <alignment vertical="center"/>
      <protection locked="0"/>
    </xf>
    <xf numFmtId="0" fontId="40" fillId="0" borderId="0" xfId="55" applyNumberFormat="1" applyFont="1" applyFill="1" applyBorder="1" applyAlignment="1" applyProtection="1">
      <alignment horizontal="left" vertical="center"/>
    </xf>
    <xf numFmtId="202" fontId="40" fillId="0" borderId="0" xfId="55" applyNumberFormat="1" applyFont="1" applyFill="1" applyBorder="1" applyAlignment="1" applyProtection="1">
      <alignment vertical="center" shrinkToFit="1"/>
    </xf>
    <xf numFmtId="0" fontId="40" fillId="0" borderId="57" xfId="55" applyNumberFormat="1" applyFont="1" applyFill="1" applyBorder="1" applyAlignment="1" applyProtection="1">
      <alignment horizontal="left" vertical="center"/>
    </xf>
    <xf numFmtId="0" fontId="40" fillId="0" borderId="57" xfId="55" applyNumberFormat="1" applyFont="1" applyFill="1" applyBorder="1" applyAlignment="1" applyProtection="1">
      <alignment vertical="center"/>
    </xf>
    <xf numFmtId="0" fontId="41" fillId="0" borderId="0" xfId="55" applyNumberFormat="1" applyFont="1" applyFill="1" applyBorder="1" applyAlignment="1" applyProtection="1">
      <alignment horizontal="left" vertical="center"/>
    </xf>
    <xf numFmtId="0" fontId="5" fillId="0" borderId="0" xfId="55" applyNumberFormat="1" applyFont="1" applyFill="1" applyBorder="1" applyAlignment="1" applyProtection="1">
      <alignment horizontal="left" vertical="center"/>
    </xf>
    <xf numFmtId="0" fontId="41" fillId="0" borderId="0" xfId="55" applyNumberFormat="1" applyFont="1" applyFill="1" applyBorder="1" applyAlignment="1" applyProtection="1">
      <alignment horizontal="left" vertical="top"/>
    </xf>
    <xf numFmtId="0" fontId="41" fillId="0" borderId="0" xfId="55" applyNumberFormat="1" applyFont="1" applyFill="1" applyBorder="1" applyAlignment="1" applyProtection="1">
      <alignment vertical="top"/>
    </xf>
    <xf numFmtId="0" fontId="41" fillId="0" borderId="0" xfId="55" applyNumberFormat="1" applyFont="1" applyFill="1" applyBorder="1" applyAlignment="1" applyProtection="1">
      <alignment vertical="top" wrapText="1"/>
    </xf>
    <xf numFmtId="0" fontId="41" fillId="0" borderId="57" xfId="55" applyNumberFormat="1" applyFont="1" applyFill="1" applyBorder="1" applyAlignment="1" applyProtection="1">
      <alignment horizontal="left" vertical="center"/>
    </xf>
    <xf numFmtId="0" fontId="41" fillId="0" borderId="57" xfId="55" applyNumberFormat="1" applyFont="1" applyFill="1" applyBorder="1" applyAlignment="1" applyProtection="1">
      <alignment horizontal="left" vertical="top"/>
    </xf>
    <xf numFmtId="0" fontId="41" fillId="0" borderId="0" xfId="55" applyNumberFormat="1" applyFont="1" applyFill="1" applyBorder="1" applyAlignment="1" applyProtection="1">
      <alignment horizontal="right" vertical="top"/>
    </xf>
    <xf numFmtId="0" fontId="41" fillId="0" borderId="0" xfId="55" applyNumberFormat="1" applyFont="1" applyFill="1" applyBorder="1" applyAlignment="1" applyProtection="1">
      <alignment horizontal="center" vertical="top"/>
    </xf>
    <xf numFmtId="0" fontId="41" fillId="0" borderId="57" xfId="55" applyNumberFormat="1" applyFont="1" applyFill="1" applyBorder="1" applyAlignment="1" applyProtection="1">
      <alignment vertical="top"/>
    </xf>
    <xf numFmtId="0" fontId="41" fillId="0" borderId="57" xfId="55" applyNumberFormat="1" applyFont="1" applyFill="1" applyBorder="1" applyAlignment="1" applyProtection="1">
      <alignment vertical="top" wrapText="1"/>
    </xf>
    <xf numFmtId="0" fontId="41" fillId="0" borderId="57" xfId="55" applyNumberFormat="1" applyFont="1" applyFill="1" applyBorder="1" applyAlignment="1" applyProtection="1">
      <alignment horizontal="right" vertical="top"/>
    </xf>
    <xf numFmtId="0" fontId="10" fillId="0" borderId="0" xfId="55" applyNumberFormat="1" applyFont="1" applyFill="1" applyBorder="1" applyAlignment="1" applyProtection="1">
      <alignment horizontal="left" vertical="center"/>
    </xf>
    <xf numFmtId="0" fontId="41" fillId="0" borderId="55" xfId="55" applyNumberFormat="1" applyFont="1" applyFill="1" applyBorder="1" applyAlignment="1" applyProtection="1">
      <alignment vertical="top" wrapText="1"/>
    </xf>
    <xf numFmtId="0" fontId="41" fillId="0" borderId="55" xfId="55" applyNumberFormat="1" applyFont="1" applyFill="1" applyBorder="1" applyAlignment="1" applyProtection="1">
      <alignment horizontal="left" vertical="center"/>
    </xf>
    <xf numFmtId="0" fontId="40" fillId="0" borderId="55" xfId="55" applyNumberFormat="1" applyFont="1" applyFill="1" applyBorder="1" applyAlignment="1" applyProtection="1">
      <alignment horizontal="left" vertical="center"/>
    </xf>
    <xf numFmtId="0" fontId="41" fillId="25" borderId="0" xfId="55" applyNumberFormat="1" applyFont="1" applyFill="1" applyBorder="1" applyAlignment="1" applyProtection="1">
      <alignment horizontal="left" vertical="center"/>
    </xf>
    <xf numFmtId="0" fontId="41" fillId="0" borderId="0" xfId="55" applyNumberFormat="1" applyFont="1" applyFill="1" applyBorder="1" applyAlignment="1" applyProtection="1">
      <alignment horizontal="center" vertical="center"/>
    </xf>
    <xf numFmtId="0" fontId="5" fillId="0" borderId="0" xfId="55" applyNumberFormat="1" applyFont="1" applyFill="1" applyBorder="1" applyAlignment="1" applyProtection="1">
      <alignment horizontal="left" vertical="top"/>
    </xf>
    <xf numFmtId="49" fontId="41" fillId="0" borderId="0" xfId="55" applyNumberFormat="1" applyFont="1" applyFill="1" applyBorder="1" applyAlignment="1" applyProtection="1">
      <alignment horizontal="right" vertical="top"/>
    </xf>
    <xf numFmtId="0" fontId="41" fillId="0" borderId="0" xfId="55" applyNumberFormat="1" applyFont="1" applyFill="1" applyBorder="1" applyAlignment="1" applyProtection="1">
      <alignment vertical="center"/>
    </xf>
    <xf numFmtId="0" fontId="10" fillId="0" borderId="0" xfId="55" applyNumberFormat="1" applyFont="1" applyFill="1" applyBorder="1" applyAlignment="1" applyProtection="1">
      <alignment vertical="center"/>
    </xf>
    <xf numFmtId="0" fontId="41" fillId="0" borderId="0" xfId="55" applyNumberFormat="1" applyFont="1" applyFill="1" applyBorder="1" applyAlignment="1" applyProtection="1">
      <alignment horizontal="right" vertical="center"/>
    </xf>
    <xf numFmtId="177" fontId="41" fillId="0" borderId="0" xfId="55" applyNumberFormat="1" applyFont="1" applyFill="1" applyBorder="1" applyAlignment="1" applyProtection="1">
      <alignment horizontal="right" vertical="center" shrinkToFit="1"/>
    </xf>
    <xf numFmtId="0" fontId="41" fillId="0" borderId="0" xfId="55" applyNumberFormat="1" applyFont="1" applyFill="1" applyBorder="1" applyAlignment="1" applyProtection="1">
      <alignment horizontal="right" vertical="center" shrinkToFit="1"/>
    </xf>
    <xf numFmtId="0" fontId="116" fillId="0" borderId="0" xfId="0" applyNumberFormat="1" applyFont="1" applyFill="1" applyBorder="1" applyAlignment="1" applyProtection="1">
      <alignment vertical="center"/>
    </xf>
    <xf numFmtId="0" fontId="41" fillId="0" borderId="0" xfId="0" applyNumberFormat="1" applyFont="1" applyFill="1" applyBorder="1" applyAlignment="1" applyProtection="1">
      <alignment horizontal="right" vertical="center"/>
    </xf>
    <xf numFmtId="0" fontId="41" fillId="0" borderId="0" xfId="0" applyNumberFormat="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194" fontId="41" fillId="25" borderId="0" xfId="55" applyNumberFormat="1" applyFont="1" applyFill="1" applyBorder="1" applyAlignment="1" applyProtection="1">
      <alignment horizontal="center" vertical="center" shrinkToFit="1"/>
    </xf>
    <xf numFmtId="0" fontId="41" fillId="25" borderId="0" xfId="55" applyNumberFormat="1" applyFont="1" applyFill="1" applyBorder="1" applyAlignment="1" applyProtection="1">
      <alignment horizontal="right" vertical="center"/>
    </xf>
    <xf numFmtId="49" fontId="117" fillId="0" borderId="0" xfId="179" applyNumberFormat="1" applyFont="1" applyFill="1" applyBorder="1" applyAlignment="1" applyProtection="1"/>
    <xf numFmtId="0" fontId="117" fillId="0" borderId="0" xfId="179" applyNumberFormat="1" applyFont="1" applyFill="1" applyBorder="1" applyAlignment="1" applyProtection="1"/>
    <xf numFmtId="0" fontId="117" fillId="0" borderId="0" xfId="179" applyNumberFormat="1" applyFont="1" applyFill="1" applyBorder="1" applyAlignment="1" applyProtection="1">
      <alignment horizontal="left" shrinkToFit="1"/>
      <protection locked="0"/>
    </xf>
    <xf numFmtId="0" fontId="117" fillId="0" borderId="0" xfId="69" applyNumberFormat="1" applyFont="1" applyFill="1" applyBorder="1" applyAlignment="1" applyProtection="1"/>
    <xf numFmtId="49" fontId="117" fillId="0" borderId="55" xfId="69" applyNumberFormat="1" applyFont="1" applyFill="1" applyBorder="1" applyAlignment="1" applyProtection="1">
      <protection locked="0"/>
    </xf>
    <xf numFmtId="0" fontId="117" fillId="0" borderId="55" xfId="69" applyNumberFormat="1" applyFont="1" applyFill="1" applyBorder="1" applyAlignment="1" applyProtection="1">
      <protection locked="0"/>
    </xf>
    <xf numFmtId="49" fontId="117" fillId="0" borderId="0" xfId="69" applyNumberFormat="1" applyFont="1" applyFill="1" applyBorder="1" applyAlignment="1" applyProtection="1">
      <protection locked="0"/>
    </xf>
    <xf numFmtId="0" fontId="117" fillId="0" borderId="0" xfId="69" applyNumberFormat="1" applyFont="1" applyFill="1" applyBorder="1" applyAlignment="1" applyProtection="1">
      <protection locked="0"/>
    </xf>
    <xf numFmtId="49" fontId="117" fillId="0" borderId="0" xfId="69" applyNumberFormat="1" applyFont="1" applyFill="1" applyBorder="1" applyAlignment="1" applyProtection="1"/>
    <xf numFmtId="49" fontId="117" fillId="0" borderId="0" xfId="179" applyNumberFormat="1" applyFont="1" applyFill="1" applyBorder="1" applyAlignment="1" applyProtection="1">
      <protection locked="0"/>
    </xf>
    <xf numFmtId="0" fontId="117" fillId="0" borderId="0" xfId="179" applyNumberFormat="1" applyFont="1" applyFill="1" applyBorder="1" applyAlignment="1" applyProtection="1">
      <protection locked="0"/>
    </xf>
    <xf numFmtId="49" fontId="117" fillId="0" borderId="57" xfId="179" applyNumberFormat="1" applyFont="1" applyFill="1" applyBorder="1" applyAlignment="1" applyProtection="1">
      <protection locked="0"/>
    </xf>
    <xf numFmtId="0" fontId="117" fillId="0" borderId="57" xfId="179" applyNumberFormat="1" applyFont="1" applyFill="1" applyBorder="1" applyAlignment="1" applyProtection="1">
      <protection locked="0"/>
    </xf>
    <xf numFmtId="49" fontId="117" fillId="0" borderId="57" xfId="69" applyNumberFormat="1" applyFont="1" applyFill="1" applyBorder="1" applyAlignment="1" applyProtection="1"/>
    <xf numFmtId="0" fontId="117" fillId="0" borderId="57" xfId="69" applyNumberFormat="1" applyFont="1" applyFill="1" applyBorder="1" applyAlignment="1" applyProtection="1"/>
    <xf numFmtId="0" fontId="117" fillId="0" borderId="55" xfId="179" applyNumberFormat="1" applyFont="1" applyFill="1" applyBorder="1" applyAlignment="1" applyProtection="1"/>
    <xf numFmtId="0" fontId="38" fillId="0" borderId="0" xfId="0" applyNumberFormat="1" applyFont="1" applyFill="1" applyBorder="1" applyAlignment="1" applyProtection="1">
      <alignment vertical="center"/>
    </xf>
    <xf numFmtId="49" fontId="38" fillId="0" borderId="0" xfId="0" applyNumberFormat="1" applyFont="1" applyFill="1" applyBorder="1" applyAlignment="1" applyProtection="1">
      <alignment vertical="center"/>
    </xf>
    <xf numFmtId="49" fontId="38" fillId="0" borderId="57" xfId="0" applyNumberFormat="1" applyFont="1" applyFill="1" applyBorder="1" applyAlignment="1" applyProtection="1">
      <alignment vertical="center"/>
    </xf>
    <xf numFmtId="0" fontId="4" fillId="24" borderId="19" xfId="0" applyNumberFormat="1" applyFont="1" applyFill="1" applyBorder="1" applyAlignment="1" applyProtection="1">
      <alignment vertical="center" shrinkToFit="1"/>
    </xf>
    <xf numFmtId="0" fontId="4" fillId="24" borderId="47" xfId="0" applyNumberFormat="1" applyFont="1" applyFill="1" applyBorder="1" applyAlignment="1" applyProtection="1">
      <alignment vertical="center" shrinkToFit="1"/>
    </xf>
    <xf numFmtId="49" fontId="4" fillId="24" borderId="49" xfId="0" applyNumberFormat="1" applyFont="1" applyFill="1" applyBorder="1" applyAlignment="1" applyProtection="1">
      <alignment vertical="center" shrinkToFit="1"/>
    </xf>
    <xf numFmtId="49" fontId="38" fillId="0" borderId="10" xfId="0" applyNumberFormat="1" applyFont="1" applyFill="1" applyBorder="1" applyAlignment="1" applyProtection="1">
      <alignment vertical="center"/>
    </xf>
    <xf numFmtId="49" fontId="38" fillId="0" borderId="55" xfId="0" applyNumberFormat="1" applyFont="1" applyFill="1" applyBorder="1" applyAlignment="1" applyProtection="1">
      <alignment vertical="center"/>
    </xf>
    <xf numFmtId="49" fontId="38" fillId="0" borderId="14" xfId="0" applyNumberFormat="1" applyFont="1" applyFill="1" applyBorder="1" applyAlignment="1" applyProtection="1">
      <alignment vertical="center"/>
    </xf>
    <xf numFmtId="49" fontId="38" fillId="0" borderId="11" xfId="0" applyNumberFormat="1" applyFont="1" applyFill="1" applyBorder="1" applyAlignment="1" applyProtection="1">
      <alignment vertical="center"/>
    </xf>
    <xf numFmtId="49" fontId="38" fillId="0" borderId="0" xfId="0" applyNumberFormat="1" applyFont="1" applyFill="1" applyBorder="1" applyAlignment="1" applyProtection="1">
      <alignment horizontal="right" vertical="center"/>
    </xf>
    <xf numFmtId="49" fontId="38" fillId="0" borderId="15" xfId="0" applyNumberFormat="1" applyFont="1" applyFill="1" applyBorder="1" applyAlignment="1" applyProtection="1">
      <alignment vertical="center"/>
    </xf>
    <xf numFmtId="49" fontId="38" fillId="0" borderId="12" xfId="0" applyNumberFormat="1" applyFont="1" applyFill="1" applyBorder="1" applyAlignment="1" applyProtection="1">
      <alignment vertical="center"/>
    </xf>
    <xf numFmtId="49" fontId="38" fillId="0" borderId="57" xfId="0" applyNumberFormat="1" applyFont="1" applyFill="1" applyBorder="1" applyAlignment="1" applyProtection="1">
      <alignment horizontal="right" vertical="center"/>
    </xf>
    <xf numFmtId="49" fontId="38" fillId="0" borderId="22" xfId="0" applyNumberFormat="1" applyFont="1" applyFill="1" applyBorder="1" applyAlignment="1" applyProtection="1">
      <alignment vertical="center"/>
    </xf>
    <xf numFmtId="0" fontId="3" fillId="45" borderId="0" xfId="180" applyAlignment="1"/>
    <xf numFmtId="0" fontId="123" fillId="0" borderId="0" xfId="51" applyNumberFormat="1" applyFont="1" applyFill="1" applyBorder="1" applyAlignment="1" applyProtection="1"/>
    <xf numFmtId="0" fontId="91" fillId="32" borderId="52" xfId="51" applyNumberFormat="1" applyFont="1" applyFill="1" applyBorder="1" applyAlignment="1" applyProtection="1">
      <alignment horizontal="left" vertical="center" shrinkToFit="1"/>
    </xf>
    <xf numFmtId="0" fontId="91" fillId="32" borderId="107" xfId="51" applyNumberFormat="1" applyFont="1" applyFill="1" applyBorder="1" applyAlignment="1" applyProtection="1">
      <alignment horizontal="left" vertical="center" shrinkToFit="1"/>
    </xf>
    <xf numFmtId="0" fontId="91" fillId="32" borderId="51" xfId="51" applyNumberFormat="1" applyFont="1" applyFill="1" applyBorder="1" applyAlignment="1" applyProtection="1">
      <alignment horizontal="center" vertical="center" shrinkToFit="1"/>
    </xf>
    <xf numFmtId="0" fontId="91" fillId="32" borderId="52" xfId="51" applyNumberFormat="1" applyFont="1" applyFill="1" applyBorder="1" applyAlignment="1" applyProtection="1">
      <alignment horizontal="center" vertical="center" shrinkToFit="1"/>
    </xf>
    <xf numFmtId="0" fontId="91" fillId="32" borderId="107" xfId="51" applyNumberFormat="1" applyFont="1" applyFill="1" applyBorder="1" applyAlignment="1" applyProtection="1">
      <alignment horizontal="center" vertical="center" shrinkToFit="1"/>
    </xf>
    <xf numFmtId="0" fontId="91" fillId="32" borderId="52" xfId="51" applyNumberFormat="1" applyFont="1" applyFill="1" applyBorder="1" applyAlignment="1" applyProtection="1">
      <alignment horizontal="left" vertical="center" shrinkToFit="1"/>
    </xf>
    <xf numFmtId="0" fontId="91" fillId="32" borderId="51" xfId="51" applyNumberFormat="1" applyFont="1" applyFill="1" applyBorder="1" applyAlignment="1" applyProtection="1">
      <alignment horizontal="left" vertical="center" shrinkToFit="1"/>
    </xf>
    <xf numFmtId="0" fontId="85" fillId="0" borderId="0" xfId="51" applyNumberFormat="1" applyFont="1" applyFill="1" applyBorder="1" applyAlignment="1" applyProtection="1">
      <alignment vertical="center" wrapText="1"/>
    </xf>
    <xf numFmtId="0" fontId="85" fillId="0" borderId="0" xfId="51" applyNumberFormat="1" applyFont="1" applyFill="1" applyBorder="1" applyAlignment="1" applyProtection="1"/>
    <xf numFmtId="0" fontId="81" fillId="0" borderId="11" xfId="51" applyNumberFormat="1" applyFont="1" applyFill="1" applyBorder="1" applyAlignment="1" applyProtection="1">
      <alignment horizontal="left" vertical="center"/>
    </xf>
    <xf numFmtId="0" fontId="81" fillId="0" borderId="0" xfId="51" applyNumberFormat="1" applyFont="1" applyFill="1" applyBorder="1" applyAlignment="1" applyProtection="1">
      <alignment horizontal="left" vertical="center"/>
    </xf>
    <xf numFmtId="0" fontId="81" fillId="0" borderId="115" xfId="51" applyNumberFormat="1" applyFont="1" applyFill="1" applyBorder="1" applyAlignment="1" applyProtection="1">
      <alignment horizontal="left" vertical="center"/>
    </xf>
    <xf numFmtId="0" fontId="80" fillId="0" borderId="0" xfId="51" applyNumberFormat="1" applyFont="1" applyFill="1" applyBorder="1" applyAlignment="1" applyProtection="1"/>
    <xf numFmtId="0" fontId="84" fillId="0" borderId="0" xfId="51" applyNumberFormat="1" applyFont="1" applyFill="1" applyBorder="1" applyAlignment="1" applyProtection="1">
      <alignment horizontal="left" vertical="center"/>
    </xf>
    <xf numFmtId="0" fontId="91" fillId="32" borderId="53" xfId="51" applyNumberFormat="1" applyFont="1" applyFill="1" applyBorder="1" applyAlignment="1" applyProtection="1">
      <alignment horizontal="left" vertical="center" shrinkToFit="1"/>
    </xf>
    <xf numFmtId="0" fontId="91" fillId="32" borderId="51" xfId="51" applyNumberFormat="1" applyFont="1" applyFill="1" applyBorder="1" applyAlignment="1" applyProtection="1">
      <alignment vertical="center" shrinkToFit="1"/>
    </xf>
    <xf numFmtId="0" fontId="91" fillId="32" borderId="52" xfId="51" applyNumberFormat="1" applyFont="1" applyFill="1" applyBorder="1" applyAlignment="1" applyProtection="1">
      <alignment vertical="center" shrinkToFit="1"/>
    </xf>
    <xf numFmtId="0" fontId="91" fillId="32" borderId="107" xfId="51" applyNumberFormat="1" applyFont="1" applyFill="1" applyBorder="1" applyAlignment="1" applyProtection="1">
      <alignment vertical="center" shrinkToFit="1"/>
    </xf>
    <xf numFmtId="0" fontId="91" fillId="32" borderId="53" xfId="51" applyNumberFormat="1" applyFont="1" applyFill="1" applyBorder="1" applyAlignment="1" applyProtection="1">
      <alignment vertical="center" shrinkToFit="1"/>
    </xf>
    <xf numFmtId="0" fontId="104" fillId="0" borderId="0" xfId="51" applyNumberFormat="1" applyFont="1" applyFill="1" applyBorder="1" applyAlignment="1" applyProtection="1"/>
    <xf numFmtId="0" fontId="81" fillId="0" borderId="0" xfId="51"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4" fillId="24" borderId="16" xfId="0" applyNumberFormat="1" applyFont="1" applyFill="1" applyBorder="1" applyAlignment="1" applyProtection="1">
      <alignment horizontal="left" vertical="center" wrapText="1"/>
    </xf>
    <xf numFmtId="0" fontId="4" fillId="24" borderId="17" xfId="0" applyNumberFormat="1" applyFont="1" applyFill="1" applyBorder="1" applyAlignment="1" applyProtection="1">
      <alignment horizontal="left" vertical="center" wrapText="1"/>
    </xf>
    <xf numFmtId="49" fontId="4" fillId="24" borderId="49" xfId="0" applyNumberFormat="1" applyFont="1" applyFill="1" applyBorder="1" applyAlignment="1" applyProtection="1">
      <alignment horizontal="left" vertical="top" wrapText="1" shrinkToFit="1"/>
    </xf>
    <xf numFmtId="49" fontId="4" fillId="24" borderId="50" xfId="0" applyNumberFormat="1" applyFont="1" applyFill="1" applyBorder="1" applyAlignment="1" applyProtection="1">
      <alignment horizontal="left" vertical="top" wrapText="1" shrinkToFit="1"/>
    </xf>
    <xf numFmtId="49" fontId="4" fillId="24" borderId="30" xfId="0" applyNumberFormat="1" applyFont="1" applyFill="1" applyBorder="1" applyAlignment="1" applyProtection="1">
      <alignment horizontal="left" vertical="top" wrapText="1" shrinkToFit="1"/>
    </xf>
    <xf numFmtId="0" fontId="4" fillId="37" borderId="0" xfId="0" applyNumberFormat="1" applyFont="1" applyFill="1" applyBorder="1" applyAlignment="1" applyProtection="1">
      <alignment horizontal="center" vertical="center"/>
    </xf>
    <xf numFmtId="0" fontId="9" fillId="0" borderId="13" xfId="0" applyNumberFormat="1" applyFont="1" applyFill="1" applyBorder="1" applyAlignment="1" applyProtection="1">
      <alignment horizontal="center" vertical="center" shrinkToFit="1"/>
    </xf>
    <xf numFmtId="0" fontId="9" fillId="0" borderId="10" xfId="0" applyNumberFormat="1" applyFont="1" applyFill="1" applyBorder="1" applyAlignment="1" applyProtection="1">
      <alignment horizontal="center" vertical="center"/>
    </xf>
    <xf numFmtId="0" fontId="9" fillId="0" borderId="55" xfId="0" applyNumberFormat="1" applyFont="1" applyFill="1" applyBorder="1" applyAlignment="1" applyProtection="1">
      <alignment horizontal="center" vertical="center"/>
    </xf>
    <xf numFmtId="0" fontId="9" fillId="0" borderId="14" xfId="0" applyNumberFormat="1" applyFont="1" applyFill="1" applyBorder="1" applyAlignment="1" applyProtection="1">
      <alignment horizontal="center" vertical="center"/>
    </xf>
    <xf numFmtId="0" fontId="9" fillId="0" borderId="11"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9" fillId="0" borderId="15" xfId="0" applyNumberFormat="1" applyFont="1" applyFill="1" applyBorder="1" applyAlignment="1" applyProtection="1">
      <alignment horizontal="center" vertical="center"/>
    </xf>
    <xf numFmtId="0" fontId="9" fillId="0" borderId="12" xfId="0" applyNumberFormat="1" applyFont="1" applyFill="1" applyBorder="1" applyAlignment="1" applyProtection="1">
      <alignment horizontal="center" vertical="center"/>
    </xf>
    <xf numFmtId="0" fontId="9" fillId="0" borderId="57" xfId="0" applyNumberFormat="1" applyFont="1" applyFill="1" applyBorder="1" applyAlignment="1" applyProtection="1">
      <alignment horizontal="center" vertical="center"/>
    </xf>
    <xf numFmtId="0" fontId="9" fillId="0" borderId="22" xfId="0" applyNumberFormat="1" applyFont="1" applyFill="1" applyBorder="1" applyAlignment="1" applyProtection="1">
      <alignment horizontal="center" vertical="center"/>
    </xf>
    <xf numFmtId="0" fontId="9" fillId="0" borderId="13" xfId="0" applyNumberFormat="1" applyFont="1" applyFill="1" applyBorder="1" applyAlignment="1" applyProtection="1">
      <alignment horizontal="center" vertical="center"/>
    </xf>
    <xf numFmtId="0" fontId="9" fillId="0" borderId="13" xfId="0" applyNumberFormat="1" applyFont="1" applyFill="1" applyBorder="1" applyAlignment="1" applyProtection="1">
      <alignment horizontal="left" vertical="center"/>
    </xf>
    <xf numFmtId="0" fontId="9" fillId="25" borderId="0" xfId="0" applyNumberFormat="1" applyFont="1" applyFill="1" applyBorder="1" applyAlignment="1" applyProtection="1">
      <alignment horizontal="left" shrinkToFit="1"/>
    </xf>
    <xf numFmtId="0" fontId="9" fillId="0" borderId="10" xfId="0" applyNumberFormat="1" applyFont="1" applyFill="1" applyBorder="1" applyAlignment="1" applyProtection="1">
      <alignment horizontal="left" vertical="center" wrapText="1"/>
    </xf>
    <xf numFmtId="0" fontId="9" fillId="0" borderId="55" xfId="0" applyNumberFormat="1" applyFont="1" applyFill="1" applyBorder="1" applyAlignment="1" applyProtection="1">
      <alignment horizontal="left" vertical="center" wrapText="1"/>
    </xf>
    <xf numFmtId="0" fontId="63"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vertical="distributed" wrapText="1"/>
    </xf>
    <xf numFmtId="197" fontId="9" fillId="0" borderId="0" xfId="0" applyNumberFormat="1" applyFont="1" applyFill="1" applyBorder="1" applyAlignment="1" applyProtection="1">
      <alignment horizontal="right" vertical="center"/>
    </xf>
    <xf numFmtId="0" fontId="9" fillId="25" borderId="0" xfId="0" applyNumberFormat="1" applyFont="1" applyFill="1" applyBorder="1" applyAlignment="1" applyProtection="1">
      <alignment horizontal="left" wrapText="1"/>
    </xf>
    <xf numFmtId="0" fontId="9" fillId="0" borderId="13" xfId="0" applyNumberFormat="1" applyFont="1" applyFill="1" applyBorder="1" applyAlignment="1" applyProtection="1">
      <alignment horizontal="center" vertical="top"/>
    </xf>
    <xf numFmtId="0" fontId="9" fillId="25" borderId="0" xfId="0" applyNumberFormat="1" applyFont="1" applyFill="1" applyBorder="1" applyAlignment="1" applyProtection="1">
      <alignment horizontal="left" vertical="top"/>
    </xf>
    <xf numFmtId="0" fontId="9" fillId="25" borderId="0" xfId="0" applyNumberFormat="1" applyFont="1" applyFill="1" applyBorder="1" applyAlignment="1" applyProtection="1">
      <alignment horizontal="left" vertical="top" wrapText="1"/>
    </xf>
    <xf numFmtId="181" fontId="9" fillId="25"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center"/>
    </xf>
    <xf numFmtId="0" fontId="9" fillId="25" borderId="0" xfId="0" applyNumberFormat="1" applyFont="1" applyFill="1" applyBorder="1" applyAlignment="1" applyProtection="1">
      <alignment horizontal="center" vertical="top"/>
    </xf>
    <xf numFmtId="0" fontId="106" fillId="25" borderId="0" xfId="0" applyNumberFormat="1" applyFont="1" applyFill="1" applyBorder="1" applyAlignment="1" applyProtection="1">
      <alignment vertical="center" shrinkToFit="1"/>
    </xf>
    <xf numFmtId="0" fontId="0" fillId="25" borderId="0" xfId="0" applyNumberFormat="1" applyFont="1" applyFill="1" applyBorder="1" applyAlignment="1" applyProtection="1">
      <alignment vertical="center" shrinkToFit="1"/>
    </xf>
    <xf numFmtId="0" fontId="106" fillId="25" borderId="57" xfId="0" applyNumberFormat="1" applyFont="1" applyFill="1" applyBorder="1" applyAlignment="1" applyProtection="1">
      <alignment vertical="center" shrinkToFit="1"/>
    </xf>
    <xf numFmtId="0" fontId="0" fillId="25" borderId="57" xfId="0" applyNumberFormat="1" applyFont="1" applyFill="1" applyBorder="1" applyAlignment="1" applyProtection="1">
      <alignment vertical="center" shrinkToFit="1"/>
    </xf>
    <xf numFmtId="0" fontId="106" fillId="25" borderId="55" xfId="0" applyNumberFormat="1" applyFont="1" applyFill="1" applyBorder="1" applyAlignment="1" applyProtection="1">
      <alignment vertical="center" shrinkToFit="1"/>
    </xf>
    <xf numFmtId="0" fontId="0" fillId="25" borderId="55" xfId="0" applyNumberFormat="1" applyFont="1" applyFill="1" applyBorder="1" applyAlignment="1" applyProtection="1">
      <alignment vertical="center" shrinkToFit="1"/>
    </xf>
    <xf numFmtId="0" fontId="106" fillId="25" borderId="0" xfId="0" applyNumberFormat="1" applyFont="1" applyFill="1" applyBorder="1" applyAlignment="1" applyProtection="1">
      <alignment vertical="center" wrapText="1"/>
      <protection locked="0"/>
    </xf>
    <xf numFmtId="0" fontId="106" fillId="25" borderId="0" xfId="0" applyNumberFormat="1" applyFont="1" applyFill="1" applyBorder="1" applyAlignment="1" applyProtection="1">
      <alignment horizontal="center" vertical="center" shrinkToFit="1"/>
    </xf>
    <xf numFmtId="0" fontId="0" fillId="25" borderId="0" xfId="0" applyNumberFormat="1" applyFont="1" applyFill="1" applyBorder="1" applyAlignment="1" applyProtection="1">
      <alignment horizontal="center" vertical="center" shrinkToFit="1"/>
    </xf>
    <xf numFmtId="0" fontId="9" fillId="25" borderId="0" xfId="0" applyNumberFormat="1" applyFont="1" applyFill="1" applyBorder="1" applyAlignment="1" applyProtection="1">
      <alignment horizontal="center" vertical="center" shrinkToFit="1"/>
    </xf>
    <xf numFmtId="0" fontId="106" fillId="25" borderId="0" xfId="0" applyNumberFormat="1" applyFont="1" applyFill="1" applyBorder="1" applyAlignment="1" applyProtection="1">
      <alignment horizontal="left" vertical="center" shrinkToFit="1"/>
    </xf>
    <xf numFmtId="0" fontId="0" fillId="25" borderId="0" xfId="0" applyNumberFormat="1" applyFont="1" applyFill="1" applyBorder="1" applyAlignment="1" applyProtection="1">
      <alignment horizontal="left" vertical="center" shrinkToFit="1"/>
    </xf>
    <xf numFmtId="0" fontId="9" fillId="25" borderId="0" xfId="0" applyNumberFormat="1" applyFont="1" applyFill="1" applyBorder="1" applyAlignment="1" applyProtection="1">
      <alignment vertical="center" shrinkToFit="1"/>
    </xf>
    <xf numFmtId="0" fontId="106" fillId="0" borderId="0" xfId="0" applyNumberFormat="1" applyFont="1" applyFill="1" applyBorder="1" applyAlignment="1" applyProtection="1">
      <alignment horizontal="center" vertical="center"/>
    </xf>
    <xf numFmtId="186" fontId="106" fillId="0" borderId="0" xfId="177" applyNumberFormat="1" applyFont="1" applyFill="1" applyBorder="1" applyAlignment="1" applyProtection="1">
      <alignment horizontal="center" vertical="center"/>
    </xf>
    <xf numFmtId="0" fontId="106" fillId="25" borderId="0" xfId="177" applyNumberFormat="1" applyFont="1" applyFill="1" applyBorder="1" applyAlignment="1" applyProtection="1">
      <alignment horizontal="center" vertical="center" shrinkToFit="1"/>
      <protection locked="0"/>
    </xf>
    <xf numFmtId="0" fontId="109" fillId="25" borderId="0" xfId="177" applyNumberFormat="1" applyFont="1" applyFill="1" applyBorder="1" applyAlignment="1" applyProtection="1">
      <alignment horizontal="center" vertical="center" shrinkToFit="1"/>
      <protection locked="0"/>
    </xf>
    <xf numFmtId="0" fontId="106" fillId="25" borderId="0" xfId="177" applyNumberFormat="1" applyFont="1" applyFill="1" applyBorder="1" applyAlignment="1" applyProtection="1">
      <alignment vertical="top" wrapText="1" shrinkToFit="1"/>
      <protection locked="0"/>
    </xf>
    <xf numFmtId="0" fontId="109" fillId="25" borderId="0" xfId="177" applyNumberFormat="1" applyFont="1" applyFill="1" applyBorder="1" applyAlignment="1" applyProtection="1">
      <alignment vertical="top" wrapText="1" shrinkToFit="1"/>
      <protection locked="0"/>
    </xf>
    <xf numFmtId="0" fontId="109" fillId="25" borderId="57" xfId="177" applyNumberFormat="1" applyFont="1" applyFill="1" applyBorder="1" applyAlignment="1" applyProtection="1">
      <alignment vertical="top" wrapText="1" shrinkToFit="1"/>
      <protection locked="0"/>
    </xf>
    <xf numFmtId="0" fontId="106" fillId="25" borderId="0" xfId="177" applyNumberFormat="1" applyFont="1" applyFill="1" applyBorder="1" applyAlignment="1" applyProtection="1">
      <alignment horizontal="left" vertical="top" wrapText="1"/>
      <protection locked="0"/>
    </xf>
    <xf numFmtId="186" fontId="106" fillId="0" borderId="56" xfId="177" applyNumberFormat="1" applyFont="1" applyFill="1" applyBorder="1" applyAlignment="1" applyProtection="1">
      <alignment horizontal="center" vertical="center"/>
    </xf>
    <xf numFmtId="0" fontId="106" fillId="25" borderId="0" xfId="177" applyNumberFormat="1" applyFont="1" applyFill="1" applyBorder="1" applyAlignment="1" applyProtection="1">
      <alignment horizontal="center" vertical="center"/>
      <protection locked="0"/>
    </xf>
    <xf numFmtId="0" fontId="106" fillId="25" borderId="0" xfId="177" applyNumberFormat="1" applyFont="1" applyFill="1" applyBorder="1" applyAlignment="1" applyProtection="1">
      <alignment horizontal="left" vertical="center" shrinkToFit="1"/>
      <protection locked="0"/>
    </xf>
    <xf numFmtId="2" fontId="106" fillId="25" borderId="0" xfId="177" applyNumberFormat="1" applyFont="1" applyFill="1" applyBorder="1" applyAlignment="1" applyProtection="1">
      <alignment horizontal="center" vertical="center"/>
      <protection locked="0"/>
    </xf>
    <xf numFmtId="2" fontId="106" fillId="25" borderId="57" xfId="177" applyNumberFormat="1" applyFont="1" applyFill="1" applyBorder="1" applyAlignment="1" applyProtection="1">
      <alignment horizontal="center" vertical="center"/>
      <protection locked="0"/>
    </xf>
    <xf numFmtId="0" fontId="106" fillId="0" borderId="0" xfId="177" applyNumberFormat="1" applyFont="1" applyFill="1" applyBorder="1" applyAlignment="1" applyProtection="1">
      <alignment horizontal="center" vertical="center" shrinkToFit="1"/>
      <protection locked="0"/>
    </xf>
    <xf numFmtId="201" fontId="106" fillId="25" borderId="0" xfId="177" applyNumberFormat="1" applyFont="1" applyFill="1" applyBorder="1" applyAlignment="1" applyProtection="1">
      <alignment horizontal="center" vertical="center"/>
      <protection locked="0"/>
    </xf>
    <xf numFmtId="2" fontId="106" fillId="25" borderId="0" xfId="177" applyNumberFormat="1" applyFont="1" applyFill="1" applyBorder="1" applyAlignment="1" applyProtection="1">
      <alignment horizontal="center" vertical="center"/>
    </xf>
    <xf numFmtId="0" fontId="106" fillId="0" borderId="0" xfId="0" applyNumberFormat="1" applyFont="1" applyFill="1" applyBorder="1" applyAlignment="1" applyProtection="1">
      <alignment horizontal="left" vertical="top" shrinkToFit="1"/>
    </xf>
    <xf numFmtId="200" fontId="106" fillId="25" borderId="57" xfId="177" applyNumberFormat="1" applyFont="1" applyFill="1" applyBorder="1" applyAlignment="1" applyProtection="1">
      <alignment horizontal="center" vertical="center"/>
      <protection locked="0"/>
    </xf>
    <xf numFmtId="0" fontId="106" fillId="0" borderId="57" xfId="177" applyNumberFormat="1" applyFont="1" applyFill="1" applyBorder="1" applyAlignment="1" applyProtection="1">
      <alignment horizontal="left" vertical="center" shrinkToFit="1"/>
      <protection locked="0"/>
    </xf>
    <xf numFmtId="200" fontId="106" fillId="25" borderId="0" xfId="177" applyNumberFormat="1" applyFont="1" applyFill="1" applyBorder="1" applyAlignment="1" applyProtection="1">
      <alignment horizontal="center" vertical="center"/>
      <protection locked="0"/>
    </xf>
    <xf numFmtId="200" fontId="106" fillId="25" borderId="0" xfId="177" applyNumberFormat="1" applyFont="1" applyFill="1" applyBorder="1" applyAlignment="1" applyProtection="1">
      <alignment horizontal="center" vertical="center"/>
    </xf>
    <xf numFmtId="199" fontId="106" fillId="25" borderId="0" xfId="177" applyNumberFormat="1" applyFont="1" applyFill="1" applyBorder="1" applyAlignment="1" applyProtection="1">
      <alignment horizontal="right" vertical="center" shrinkToFit="1"/>
    </xf>
    <xf numFmtId="182" fontId="106" fillId="25" borderId="0" xfId="177" applyNumberFormat="1" applyFont="1" applyFill="1" applyBorder="1" applyAlignment="1" applyProtection="1">
      <alignment horizontal="center" vertical="center" shrinkToFit="1"/>
      <protection locked="0"/>
    </xf>
    <xf numFmtId="0" fontId="106" fillId="25" borderId="57" xfId="177" applyNumberFormat="1" applyFont="1" applyFill="1" applyBorder="1" applyAlignment="1" applyProtection="1">
      <alignment horizontal="left" vertical="center" shrinkToFit="1"/>
      <protection locked="0"/>
    </xf>
    <xf numFmtId="0" fontId="106" fillId="0" borderId="0" xfId="177" applyNumberFormat="1" applyFont="1" applyFill="1" applyBorder="1" applyAlignment="1" applyProtection="1">
      <alignment horizontal="left" vertical="center"/>
    </xf>
    <xf numFmtId="199" fontId="106" fillId="25" borderId="0" xfId="177" applyNumberFormat="1" applyFont="1" applyFill="1" applyBorder="1" applyAlignment="1" applyProtection="1">
      <alignment horizontal="center" vertical="center"/>
      <protection locked="0"/>
    </xf>
    <xf numFmtId="0" fontId="106" fillId="0" borderId="0" xfId="177" applyNumberFormat="1" applyFont="1" applyFill="1" applyBorder="1" applyAlignment="1" applyProtection="1">
      <alignment horizontal="center" vertical="center"/>
    </xf>
    <xf numFmtId="198" fontId="106" fillId="25" borderId="57" xfId="177" applyNumberFormat="1" applyFont="1" applyFill="1" applyBorder="1" applyAlignment="1" applyProtection="1">
      <alignment vertical="center" shrinkToFit="1"/>
      <protection locked="0"/>
    </xf>
    <xf numFmtId="199" fontId="106" fillId="25" borderId="0" xfId="177" applyNumberFormat="1" applyFont="1" applyFill="1" applyBorder="1" applyAlignment="1" applyProtection="1">
      <alignment horizontal="center" vertical="center" shrinkToFit="1"/>
      <protection locked="0"/>
    </xf>
    <xf numFmtId="0" fontId="106" fillId="0" borderId="0" xfId="177" applyNumberFormat="1" applyFont="1" applyFill="1" applyBorder="1" applyAlignment="1" applyProtection="1">
      <alignment horizontal="center" vertical="center"/>
      <protection locked="0"/>
    </xf>
    <xf numFmtId="0" fontId="106" fillId="25" borderId="56" xfId="177" applyNumberFormat="1" applyFont="1" applyFill="1" applyBorder="1" applyAlignment="1" applyProtection="1">
      <alignment vertical="center" shrinkToFit="1"/>
    </xf>
    <xf numFmtId="0" fontId="109" fillId="25" borderId="56" xfId="177" applyNumberFormat="1" applyFont="1" applyFill="1" applyBorder="1" applyAlignment="1" applyProtection="1">
      <alignment vertical="center" shrinkToFit="1"/>
    </xf>
    <xf numFmtId="0" fontId="106" fillId="0" borderId="55" xfId="177" applyNumberFormat="1" applyFont="1" applyFill="1" applyBorder="1" applyAlignment="1" applyProtection="1">
      <alignment horizontal="center" vertical="center" shrinkToFit="1"/>
      <protection locked="0"/>
    </xf>
    <xf numFmtId="0" fontId="106" fillId="25" borderId="57" xfId="177" applyNumberFormat="1" applyFont="1" applyFill="1" applyBorder="1" applyAlignment="1" applyProtection="1">
      <alignment horizontal="left" vertical="top" wrapText="1"/>
      <protection locked="0"/>
    </xf>
    <xf numFmtId="198" fontId="106" fillId="25" borderId="0" xfId="177" applyNumberFormat="1" applyFont="1" applyFill="1" applyBorder="1" applyAlignment="1" applyProtection="1">
      <alignment vertical="center" shrinkToFit="1"/>
      <protection locked="0"/>
    </xf>
    <xf numFmtId="0" fontId="106" fillId="35" borderId="57" xfId="0" applyNumberFormat="1" applyFont="1" applyFill="1" applyBorder="1" applyAlignment="1" applyProtection="1">
      <alignment horizontal="left" vertical="center" shrinkToFit="1"/>
      <protection locked="0"/>
    </xf>
    <xf numFmtId="0" fontId="106" fillId="35" borderId="56" xfId="0" applyNumberFormat="1" applyFont="1" applyFill="1" applyBorder="1" applyAlignment="1" applyProtection="1">
      <alignment horizontal="center" vertical="center"/>
      <protection locked="0"/>
    </xf>
    <xf numFmtId="0" fontId="106" fillId="35" borderId="56" xfId="0" applyNumberFormat="1" applyFont="1" applyFill="1" applyBorder="1" applyAlignment="1" applyProtection="1">
      <alignment vertical="center" shrinkToFit="1"/>
      <protection locked="0"/>
    </xf>
    <xf numFmtId="0" fontId="0" fillId="35" borderId="56" xfId="0" applyNumberFormat="1" applyFont="1" applyFill="1" applyBorder="1" applyAlignment="1" applyProtection="1">
      <alignment vertical="center" shrinkToFit="1"/>
      <protection locked="0"/>
    </xf>
    <xf numFmtId="0" fontId="106" fillId="35" borderId="55" xfId="0" applyNumberFormat="1" applyFont="1" applyFill="1" applyBorder="1" applyAlignment="1" applyProtection="1">
      <alignment vertical="center" wrapText="1" shrinkToFit="1"/>
      <protection locked="0"/>
    </xf>
    <xf numFmtId="0" fontId="0" fillId="35" borderId="55" xfId="0" applyNumberFormat="1" applyFont="1" applyFill="1" applyBorder="1" applyAlignment="1" applyProtection="1">
      <alignment vertical="center" wrapText="1" shrinkToFit="1"/>
      <protection locked="0"/>
    </xf>
    <xf numFmtId="0" fontId="106" fillId="35" borderId="0" xfId="0" applyNumberFormat="1" applyFont="1" applyFill="1" applyBorder="1" applyAlignment="1" applyProtection="1">
      <alignment vertical="center" wrapText="1" shrinkToFit="1"/>
      <protection locked="0"/>
    </xf>
    <xf numFmtId="0" fontId="0" fillId="35" borderId="0" xfId="0" applyNumberFormat="1" applyFont="1" applyFill="1" applyBorder="1" applyAlignment="1" applyProtection="1">
      <alignment vertical="center" wrapText="1" shrinkToFit="1"/>
      <protection locked="0"/>
    </xf>
    <xf numFmtId="0" fontId="0" fillId="35" borderId="57" xfId="0" applyNumberFormat="1" applyFont="1" applyFill="1" applyBorder="1" applyAlignment="1" applyProtection="1">
      <alignment vertical="center" wrapText="1" shrinkToFit="1"/>
      <protection locked="0"/>
    </xf>
    <xf numFmtId="199" fontId="106" fillId="35" borderId="57" xfId="0" applyNumberFormat="1" applyFont="1" applyFill="1" applyBorder="1" applyAlignment="1" applyProtection="1">
      <alignment horizontal="center" vertical="center"/>
    </xf>
    <xf numFmtId="199" fontId="106" fillId="0" borderId="57" xfId="0" applyNumberFormat="1" applyFont="1" applyFill="1" applyBorder="1" applyAlignment="1" applyProtection="1">
      <alignment horizontal="center" vertical="center"/>
    </xf>
    <xf numFmtId="0" fontId="106" fillId="35" borderId="56" xfId="0" applyNumberFormat="1" applyFont="1" applyFill="1" applyBorder="1" applyAlignment="1" applyProtection="1">
      <alignment horizontal="left" vertical="center" shrinkToFit="1"/>
      <protection locked="0"/>
    </xf>
    <xf numFmtId="0" fontId="106" fillId="35" borderId="55" xfId="0" applyNumberFormat="1" applyFont="1" applyFill="1" applyBorder="1" applyAlignment="1" applyProtection="1">
      <alignment horizontal="left" vertical="center" shrinkToFit="1"/>
      <protection locked="0"/>
    </xf>
    <xf numFmtId="199" fontId="106" fillId="35" borderId="0" xfId="0" applyNumberFormat="1" applyFont="1" applyFill="1" applyBorder="1" applyAlignment="1" applyProtection="1">
      <alignment horizontal="center" vertical="center"/>
      <protection locked="0"/>
    </xf>
    <xf numFmtId="199" fontId="106" fillId="0" borderId="0" xfId="0" applyNumberFormat="1" applyFont="1" applyFill="1" applyBorder="1" applyAlignment="1" applyProtection="1">
      <alignment horizontal="center" vertical="center"/>
    </xf>
    <xf numFmtId="0" fontId="106" fillId="27" borderId="57" xfId="0" applyNumberFormat="1" applyFont="1" applyFill="1" applyBorder="1" applyAlignment="1" applyProtection="1">
      <alignment horizontal="left" vertical="center" shrinkToFit="1"/>
      <protection locked="0"/>
    </xf>
    <xf numFmtId="0" fontId="106" fillId="35" borderId="0" xfId="0" applyNumberFormat="1" applyFont="1" applyFill="1" applyBorder="1" applyAlignment="1" applyProtection="1">
      <alignment horizontal="center" vertical="center"/>
      <protection locked="0"/>
    </xf>
    <xf numFmtId="0" fontId="106" fillId="0" borderId="0" xfId="0" applyNumberFormat="1" applyFont="1" applyFill="1" applyBorder="1" applyAlignment="1" applyProtection="1">
      <alignment horizontal="left" vertical="center"/>
    </xf>
    <xf numFmtId="49" fontId="106" fillId="27" borderId="0" xfId="0" applyNumberFormat="1" applyFont="1" applyFill="1" applyBorder="1" applyAlignment="1" applyProtection="1">
      <alignment horizontal="center" vertical="center" shrinkToFit="1"/>
      <protection locked="0"/>
    </xf>
    <xf numFmtId="0" fontId="106" fillId="27" borderId="0" xfId="0" applyNumberFormat="1" applyFont="1" applyFill="1" applyBorder="1" applyAlignment="1" applyProtection="1">
      <alignment vertical="center" shrinkToFit="1"/>
      <protection locked="0"/>
    </xf>
    <xf numFmtId="0" fontId="0" fillId="27" borderId="0" xfId="0" applyNumberFormat="1" applyFont="1" applyFill="1" applyBorder="1" applyAlignment="1" applyProtection="1">
      <alignment vertical="center" shrinkToFit="1"/>
      <protection locked="0"/>
    </xf>
    <xf numFmtId="0" fontId="106" fillId="35" borderId="0" xfId="0" applyNumberFormat="1" applyFont="1" applyFill="1" applyBorder="1" applyAlignment="1" applyProtection="1">
      <alignment horizontal="center" vertical="center" shrinkToFit="1"/>
      <protection locked="0"/>
    </xf>
    <xf numFmtId="0" fontId="0" fillId="35" borderId="0" xfId="0" applyNumberFormat="1" applyFont="1" applyFill="1" applyBorder="1" applyAlignment="1" applyProtection="1">
      <alignment vertical="center" shrinkToFit="1"/>
      <protection locked="0"/>
    </xf>
    <xf numFmtId="0" fontId="106" fillId="0" borderId="0" xfId="178" applyNumberFormat="1" applyFont="1" applyFill="1" applyBorder="1" applyAlignment="1" applyProtection="1">
      <alignment vertical="center" shrinkToFit="1"/>
      <protection locked="0"/>
    </xf>
    <xf numFmtId="201" fontId="106" fillId="35" borderId="0" xfId="178" applyNumberFormat="1" applyFont="1" applyFill="1" applyBorder="1" applyAlignment="1" applyProtection="1">
      <alignment horizontal="center" vertical="center"/>
      <protection locked="0"/>
    </xf>
    <xf numFmtId="0" fontId="106" fillId="35" borderId="57" xfId="0" applyNumberFormat="1" applyFont="1" applyFill="1" applyBorder="1" applyAlignment="1" applyProtection="1">
      <alignment vertical="center" shrinkToFit="1"/>
      <protection locked="0"/>
    </xf>
    <xf numFmtId="0" fontId="0" fillId="35" borderId="57" xfId="0" applyNumberFormat="1" applyFont="1" applyFill="1" applyBorder="1" applyAlignment="1" applyProtection="1">
      <alignment vertical="center" shrinkToFit="1"/>
      <protection locked="0"/>
    </xf>
    <xf numFmtId="0" fontId="106" fillId="0" borderId="0" xfId="0" applyNumberFormat="1" applyFont="1" applyFill="1" applyBorder="1" applyAlignment="1" applyProtection="1">
      <alignment horizontal="left" vertical="center" shrinkToFit="1"/>
    </xf>
    <xf numFmtId="0" fontId="106" fillId="35" borderId="0" xfId="0" applyNumberFormat="1" applyFont="1" applyFill="1" applyBorder="1" applyAlignment="1" applyProtection="1">
      <alignment horizontal="left" vertical="center"/>
      <protection locked="0"/>
    </xf>
    <xf numFmtId="0" fontId="106" fillId="0" borderId="0" xfId="0" applyNumberFormat="1" applyFont="1" applyFill="1" applyBorder="1" applyAlignment="1" applyProtection="1">
      <alignment horizontal="center" vertical="center"/>
      <protection locked="0"/>
    </xf>
    <xf numFmtId="0" fontId="106" fillId="0" borderId="55" xfId="0" applyNumberFormat="1" applyFont="1" applyFill="1" applyBorder="1" applyAlignment="1" applyProtection="1">
      <alignment horizontal="left" vertical="center"/>
    </xf>
    <xf numFmtId="0" fontId="106" fillId="27" borderId="55" xfId="0" applyNumberFormat="1" applyFont="1" applyFill="1" applyBorder="1" applyAlignment="1" applyProtection="1">
      <alignment vertical="center" shrinkToFit="1"/>
      <protection locked="0"/>
    </xf>
    <xf numFmtId="0" fontId="0" fillId="27" borderId="55" xfId="0" applyNumberFormat="1" applyFont="1" applyFill="1" applyBorder="1" applyAlignment="1" applyProtection="1">
      <alignment vertical="center" shrinkToFit="1"/>
      <protection locked="0"/>
    </xf>
    <xf numFmtId="0" fontId="106" fillId="27" borderId="0" xfId="0" applyNumberFormat="1" applyFont="1" applyFill="1" applyBorder="1" applyAlignment="1" applyProtection="1">
      <alignment horizontal="center" vertical="center" shrinkToFit="1"/>
      <protection locked="0"/>
    </xf>
    <xf numFmtId="2" fontId="106" fillId="35" borderId="0" xfId="0" applyNumberFormat="1" applyFont="1" applyFill="1" applyBorder="1" applyAlignment="1" applyProtection="1">
      <alignment horizontal="center" vertical="center"/>
      <protection locked="0"/>
    </xf>
    <xf numFmtId="0" fontId="106" fillId="35" borderId="56" xfId="0" applyNumberFormat="1" applyFont="1" applyFill="1" applyBorder="1" applyAlignment="1" applyProtection="1">
      <alignment horizontal="center" vertical="center" shrinkToFit="1"/>
      <protection locked="0"/>
    </xf>
    <xf numFmtId="0" fontId="0" fillId="35" borderId="56" xfId="0" applyNumberFormat="1" applyFont="1" applyFill="1" applyBorder="1" applyAlignment="1" applyProtection="1">
      <alignment horizontal="center" vertical="center" shrinkToFit="1"/>
      <protection locked="0"/>
    </xf>
    <xf numFmtId="198" fontId="106" fillId="35" borderId="56" xfId="0" applyNumberFormat="1" applyFont="1" applyFill="1" applyBorder="1" applyAlignment="1" applyProtection="1">
      <alignment horizontal="center" vertical="center" shrinkToFit="1"/>
      <protection locked="0"/>
    </xf>
    <xf numFmtId="198" fontId="106" fillId="35" borderId="0" xfId="0" applyNumberFormat="1" applyFont="1" applyFill="1" applyBorder="1" applyAlignment="1" applyProtection="1">
      <alignment horizontal="center" vertical="center" shrinkToFit="1"/>
      <protection locked="0"/>
    </xf>
    <xf numFmtId="0" fontId="106" fillId="35" borderId="0" xfId="0" applyNumberFormat="1" applyFont="1" applyFill="1" applyBorder="1" applyAlignment="1" applyProtection="1">
      <alignment vertical="center" shrinkToFit="1"/>
      <protection locked="0"/>
    </xf>
    <xf numFmtId="199" fontId="106" fillId="35" borderId="56" xfId="0" applyNumberFormat="1" applyFont="1" applyFill="1" applyBorder="1" applyAlignment="1" applyProtection="1">
      <alignment horizontal="center" vertical="center" shrinkToFit="1"/>
      <protection locked="0"/>
    </xf>
    <xf numFmtId="0" fontId="41" fillId="25" borderId="0" xfId="55" applyNumberFormat="1" applyFont="1" applyFill="1" applyBorder="1" applyAlignment="1" applyProtection="1">
      <alignment horizontal="left" vertical="center" shrinkToFit="1"/>
    </xf>
    <xf numFmtId="0" fontId="41" fillId="25" borderId="0" xfId="55" applyNumberFormat="1" applyFont="1" applyFill="1" applyBorder="1" applyAlignment="1" applyProtection="1">
      <alignment horizontal="left" vertical="top" shrinkToFit="1"/>
    </xf>
    <xf numFmtId="0" fontId="41" fillId="25" borderId="57" xfId="55" applyNumberFormat="1" applyFont="1" applyFill="1" applyBorder="1" applyAlignment="1" applyProtection="1">
      <alignment horizontal="left" vertical="top" shrinkToFit="1"/>
    </xf>
    <xf numFmtId="0" fontId="41" fillId="25" borderId="55" xfId="55" applyNumberFormat="1" applyFont="1" applyFill="1" applyBorder="1" applyAlignment="1" applyProtection="1">
      <alignment horizontal="left" vertical="center" shrinkToFit="1"/>
    </xf>
    <xf numFmtId="0" fontId="41" fillId="25" borderId="0" xfId="55" applyNumberFormat="1" applyFont="1" applyFill="1" applyBorder="1" applyAlignment="1" applyProtection="1">
      <alignment horizontal="center" vertical="top" wrapText="1"/>
    </xf>
    <xf numFmtId="0" fontId="41" fillId="25" borderId="0" xfId="55" applyNumberFormat="1" applyFont="1" applyFill="1" applyBorder="1" applyAlignment="1" applyProtection="1">
      <alignment horizontal="center" vertical="center" shrinkToFit="1"/>
    </xf>
    <xf numFmtId="0" fontId="41" fillId="25" borderId="0" xfId="55" applyNumberFormat="1" applyFont="1" applyFill="1" applyBorder="1" applyAlignment="1" applyProtection="1">
      <alignment horizontal="center" vertical="top" shrinkToFit="1"/>
    </xf>
    <xf numFmtId="0" fontId="41" fillId="25" borderId="57" xfId="55" applyNumberFormat="1" applyFont="1" applyFill="1" applyBorder="1" applyAlignment="1" applyProtection="1">
      <alignment horizontal="left" vertical="center" shrinkToFit="1"/>
    </xf>
    <xf numFmtId="0" fontId="41" fillId="0" borderId="57" xfId="55" applyNumberFormat="1" applyFont="1" applyFill="1" applyBorder="1" applyAlignment="1" applyProtection="1">
      <alignment horizontal="left" vertical="top" shrinkToFit="1"/>
    </xf>
    <xf numFmtId="0" fontId="41" fillId="0" borderId="0" xfId="55" applyNumberFormat="1" applyFont="1" applyFill="1" applyBorder="1" applyAlignment="1" applyProtection="1">
      <alignment horizontal="left" vertical="top" shrinkToFit="1"/>
    </xf>
    <xf numFmtId="0" fontId="41" fillId="25" borderId="0" xfId="55" applyNumberFormat="1" applyFont="1" applyFill="1" applyBorder="1" applyAlignment="1" applyProtection="1">
      <alignment horizontal="left" vertical="top"/>
    </xf>
    <xf numFmtId="0" fontId="41" fillId="25" borderId="0" xfId="55" applyNumberFormat="1" applyFont="1" applyFill="1" applyBorder="1" applyAlignment="1" applyProtection="1">
      <alignment horizontal="left" vertical="top" wrapText="1"/>
    </xf>
    <xf numFmtId="0" fontId="35" fillId="0" borderId="0" xfId="55" applyNumberFormat="1" applyFont="1" applyFill="1" applyBorder="1" applyAlignment="1" applyProtection="1">
      <alignment horizontal="center" vertical="center"/>
    </xf>
    <xf numFmtId="181" fontId="41" fillId="25" borderId="0" xfId="55" applyNumberFormat="1" applyFont="1" applyFill="1" applyBorder="1" applyAlignment="1" applyProtection="1">
      <alignment horizontal="left" vertical="center" shrinkToFit="1"/>
    </xf>
    <xf numFmtId="0" fontId="41" fillId="25" borderId="57" xfId="55" applyNumberFormat="1" applyFont="1" applyFill="1" applyBorder="1" applyAlignment="1" applyProtection="1">
      <alignment horizontal="left" vertical="top" wrapText="1"/>
    </xf>
    <xf numFmtId="0" fontId="41" fillId="0" borderId="0" xfId="55" applyNumberFormat="1" applyFont="1" applyFill="1" applyBorder="1" applyAlignment="1" applyProtection="1">
      <alignment horizontal="center" vertical="center"/>
    </xf>
    <xf numFmtId="178" fontId="41" fillId="25" borderId="0" xfId="55" applyNumberFormat="1" applyFont="1" applyFill="1" applyBorder="1" applyAlignment="1" applyProtection="1">
      <alignment horizontal="right" vertical="center" shrinkToFit="1"/>
    </xf>
    <xf numFmtId="180" fontId="41" fillId="25" borderId="0" xfId="55" applyNumberFormat="1" applyFont="1" applyFill="1" applyBorder="1" applyAlignment="1" applyProtection="1">
      <alignment horizontal="right" vertical="center" shrinkToFit="1"/>
    </xf>
    <xf numFmtId="177" fontId="41" fillId="34" borderId="0" xfId="55" applyNumberFormat="1" applyFont="1" applyFill="1" applyBorder="1" applyAlignment="1" applyProtection="1">
      <alignment horizontal="right" vertical="center" shrinkToFit="1"/>
    </xf>
    <xf numFmtId="177" fontId="41" fillId="25" borderId="0" xfId="55" applyNumberFormat="1" applyFont="1" applyFill="1" applyBorder="1" applyAlignment="1" applyProtection="1">
      <alignment horizontal="right" vertical="center" shrinkToFit="1"/>
    </xf>
    <xf numFmtId="177" fontId="41" fillId="25" borderId="0" xfId="0" applyNumberFormat="1" applyFont="1" applyFill="1" applyBorder="1" applyAlignment="1" applyProtection="1">
      <alignment horizontal="right" vertical="center" shrinkToFit="1"/>
    </xf>
    <xf numFmtId="177" fontId="41" fillId="25" borderId="0" xfId="55" applyNumberFormat="1" applyFont="1" applyFill="1" applyBorder="1" applyAlignment="1" applyProtection="1">
      <alignment horizontal="right" vertical="top" shrinkToFit="1"/>
    </xf>
    <xf numFmtId="0" fontId="41" fillId="0" borderId="0" xfId="55" applyNumberFormat="1" applyFont="1" applyFill="1" applyBorder="1" applyAlignment="1" applyProtection="1">
      <alignment horizontal="center" vertical="top"/>
    </xf>
    <xf numFmtId="0" fontId="10" fillId="25" borderId="0" xfId="55" applyNumberFormat="1" applyFont="1" applyFill="1" applyBorder="1" applyAlignment="1" applyProtection="1">
      <alignment horizontal="left" vertical="center" wrapText="1"/>
    </xf>
    <xf numFmtId="0" fontId="41" fillId="25" borderId="0" xfId="55" applyNumberFormat="1" applyFont="1" applyFill="1" applyBorder="1" applyAlignment="1" applyProtection="1">
      <alignment vertical="center" shrinkToFit="1"/>
    </xf>
    <xf numFmtId="177" fontId="41" fillId="34" borderId="0" xfId="55" applyNumberFormat="1" applyFont="1" applyFill="1" applyBorder="1" applyAlignment="1" applyProtection="1">
      <alignment horizontal="right" vertical="top" shrinkToFit="1"/>
    </xf>
    <xf numFmtId="0" fontId="40" fillId="0" borderId="0" xfId="55" applyNumberFormat="1" applyFont="1" applyFill="1" applyBorder="1" applyAlignment="1" applyProtection="1">
      <alignment horizontal="center" vertical="center"/>
    </xf>
    <xf numFmtId="178" fontId="41" fillId="25" borderId="0" xfId="55" applyNumberFormat="1" applyFont="1" applyFill="1" applyBorder="1" applyAlignment="1" applyProtection="1">
      <alignment horizontal="center" vertical="center" shrinkToFit="1"/>
    </xf>
    <xf numFmtId="0" fontId="0"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vertical="center" wrapText="1"/>
    </xf>
    <xf numFmtId="0" fontId="46" fillId="0" borderId="0" xfId="0" applyNumberFormat="1" applyFont="1" applyFill="1" applyBorder="1" applyAlignment="1" applyProtection="1">
      <alignment vertical="center"/>
    </xf>
    <xf numFmtId="0" fontId="9" fillId="0" borderId="0" xfId="155" applyNumberFormat="1" applyFont="1" applyFill="1" applyBorder="1" applyAlignment="1" applyProtection="1">
      <alignment horizontal="center" vertical="center"/>
    </xf>
    <xf numFmtId="0" fontId="9" fillId="34" borderId="0" xfId="155" applyNumberFormat="1" applyFont="1" applyFill="1" applyBorder="1" applyAlignment="1" applyProtection="1">
      <alignment horizontal="right" vertical="center"/>
      <protection locked="0"/>
    </xf>
    <xf numFmtId="0" fontId="9" fillId="34" borderId="87" xfId="155" applyNumberFormat="1" applyFont="1" applyFill="1" applyBorder="1" applyAlignment="1" applyProtection="1">
      <alignment horizontal="right" vertical="center"/>
      <protection locked="0"/>
    </xf>
    <xf numFmtId="0" fontId="6" fillId="0" borderId="0" xfId="155" applyNumberFormat="1" applyFont="1" applyFill="1" applyBorder="1" applyAlignment="1" applyProtection="1">
      <alignment horizontal="left" vertical="center"/>
    </xf>
    <xf numFmtId="0" fontId="6" fillId="0" borderId="10" xfId="155" applyNumberFormat="1" applyFont="1" applyFill="1" applyBorder="1" applyAlignment="1" applyProtection="1">
      <alignment horizontal="left" vertical="center"/>
    </xf>
    <xf numFmtId="0" fontId="6" fillId="0" borderId="55" xfId="155" applyNumberFormat="1" applyFont="1" applyFill="1" applyBorder="1" applyAlignment="1" applyProtection="1">
      <alignment horizontal="left" vertical="center"/>
    </xf>
    <xf numFmtId="0" fontId="6" fillId="0" borderId="13" xfId="155" applyNumberFormat="1" applyFont="1" applyFill="1" applyBorder="1" applyAlignment="1" applyProtection="1">
      <alignment horizontal="left" vertical="center"/>
    </xf>
    <xf numFmtId="0" fontId="6" fillId="34" borderId="21" xfId="155" applyNumberFormat="1" applyFont="1" applyFill="1" applyBorder="1" applyAlignment="1" applyProtection="1">
      <alignment horizontal="left" vertical="center" shrinkToFit="1"/>
      <protection locked="0"/>
    </xf>
    <xf numFmtId="0" fontId="6" fillId="34" borderId="56" xfId="155" applyNumberFormat="1" applyFont="1" applyFill="1" applyBorder="1" applyAlignment="1" applyProtection="1">
      <alignment horizontal="left" vertical="center" shrinkToFit="1"/>
      <protection locked="0"/>
    </xf>
    <xf numFmtId="0" fontId="6" fillId="34" borderId="32" xfId="155" applyNumberFormat="1" applyFont="1" applyFill="1" applyBorder="1" applyAlignment="1" applyProtection="1">
      <alignment horizontal="left" vertical="center" shrinkToFit="1"/>
      <protection locked="0"/>
    </xf>
    <xf numFmtId="188" fontId="9" fillId="34" borderId="0" xfId="155" applyNumberFormat="1" applyFont="1" applyFill="1" applyBorder="1" applyAlignment="1" applyProtection="1">
      <alignment horizontal="center" vertical="center" shrinkToFit="1"/>
      <protection locked="0"/>
    </xf>
    <xf numFmtId="188" fontId="9" fillId="34" borderId="88" xfId="155" applyNumberFormat="1" applyFont="1" applyFill="1" applyBorder="1" applyAlignment="1" applyProtection="1">
      <alignment horizontal="center" vertical="center" shrinkToFit="1"/>
      <protection locked="0"/>
    </xf>
    <xf numFmtId="189" fontId="9" fillId="34" borderId="0" xfId="155" applyNumberFormat="1" applyFont="1" applyFill="1" applyBorder="1" applyAlignment="1" applyProtection="1">
      <alignment horizontal="center" vertical="center" shrinkToFit="1"/>
      <protection locked="0"/>
    </xf>
    <xf numFmtId="189" fontId="9" fillId="34" borderId="88" xfId="155" applyNumberFormat="1" applyFont="1" applyFill="1" applyBorder="1" applyAlignment="1" applyProtection="1">
      <alignment horizontal="center" vertical="center" shrinkToFit="1"/>
      <protection locked="0"/>
    </xf>
    <xf numFmtId="192" fontId="9" fillId="34" borderId="0" xfId="155" applyNumberFormat="1" applyFont="1" applyFill="1" applyBorder="1" applyAlignment="1" applyProtection="1">
      <alignment horizontal="center" vertical="center" shrinkToFit="1"/>
      <protection locked="0"/>
    </xf>
    <xf numFmtId="192" fontId="9" fillId="34" borderId="88" xfId="155" applyNumberFormat="1" applyFont="1" applyFill="1" applyBorder="1" applyAlignment="1" applyProtection="1">
      <alignment horizontal="center" vertical="center" shrinkToFit="1"/>
      <protection locked="0"/>
    </xf>
    <xf numFmtId="0" fontId="6" fillId="0" borderId="21" xfId="155" applyNumberFormat="1" applyFont="1" applyFill="1" applyBorder="1" applyAlignment="1" applyProtection="1">
      <alignment horizontal="left" vertical="center"/>
    </xf>
    <xf numFmtId="0" fontId="6" fillId="0" borderId="56" xfId="155" applyNumberFormat="1" applyFont="1" applyFill="1" applyBorder="1" applyAlignment="1" applyProtection="1">
      <alignment horizontal="left" vertical="center"/>
    </xf>
    <xf numFmtId="0" fontId="6" fillId="0" borderId="57" xfId="155" applyNumberFormat="1" applyFont="1" applyFill="1" applyBorder="1" applyAlignment="1" applyProtection="1">
      <alignment horizontal="left" vertical="center"/>
    </xf>
    <xf numFmtId="0" fontId="6" fillId="0" borderId="22" xfId="155" applyNumberFormat="1" applyFont="1" applyFill="1" applyBorder="1" applyAlignment="1" applyProtection="1">
      <alignment horizontal="left" vertical="center"/>
    </xf>
    <xf numFmtId="0" fontId="0" fillId="0" borderId="56" xfId="0" applyNumberFormat="1" applyFont="1" applyFill="1" applyBorder="1" applyAlignment="1" applyProtection="1">
      <alignment vertical="center" shrinkToFit="1"/>
    </xf>
    <xf numFmtId="0" fontId="0" fillId="0" borderId="32" xfId="0" applyNumberFormat="1" applyFont="1" applyFill="1" applyBorder="1" applyAlignment="1" applyProtection="1">
      <alignment vertical="center" shrinkToFit="1"/>
    </xf>
    <xf numFmtId="0" fontId="0" fillId="34" borderId="56" xfId="155" applyNumberFormat="1" applyFont="1" applyFill="1" applyBorder="1" applyAlignment="1" applyProtection="1">
      <alignment horizontal="left" vertical="center" shrinkToFit="1"/>
    </xf>
    <xf numFmtId="0" fontId="0" fillId="34" borderId="32" xfId="155" applyNumberFormat="1" applyFont="1" applyFill="1" applyBorder="1" applyAlignment="1" applyProtection="1">
      <alignment horizontal="left" vertical="center" shrinkToFit="1"/>
    </xf>
    <xf numFmtId="0" fontId="6" fillId="34" borderId="21" xfId="155" applyNumberFormat="1" applyFont="1" applyFill="1" applyBorder="1" applyAlignment="1" applyProtection="1">
      <alignment horizontal="left" vertical="center" wrapText="1"/>
      <protection locked="0"/>
    </xf>
    <xf numFmtId="0" fontId="6" fillId="34" borderId="56" xfId="155" applyNumberFormat="1" applyFont="1" applyFill="1" applyBorder="1" applyAlignment="1" applyProtection="1">
      <alignment horizontal="left" vertical="center" wrapText="1"/>
      <protection locked="0"/>
    </xf>
    <xf numFmtId="0" fontId="0" fillId="0" borderId="56" xfId="155" applyNumberFormat="1" applyFont="1" applyFill="1" applyBorder="1" applyAlignment="1" applyProtection="1">
      <alignment vertical="center" wrapText="1"/>
    </xf>
    <xf numFmtId="0" fontId="0" fillId="0" borderId="32" xfId="155" applyNumberFormat="1" applyFont="1" applyFill="1" applyBorder="1" applyAlignment="1" applyProtection="1">
      <alignment vertical="center" wrapText="1"/>
    </xf>
    <xf numFmtId="0" fontId="6" fillId="0" borderId="32" xfId="155" applyNumberFormat="1" applyFont="1" applyFill="1" applyBorder="1" applyAlignment="1" applyProtection="1">
      <alignment horizontal="left" vertical="center"/>
    </xf>
    <xf numFmtId="49" fontId="6" fillId="32" borderId="12" xfId="155" applyNumberFormat="1" applyFont="1" applyFill="1" applyBorder="1" applyAlignment="1" applyProtection="1">
      <alignment horizontal="center" vertical="center" wrapText="1"/>
      <protection locked="0"/>
    </xf>
    <xf numFmtId="49" fontId="6" fillId="32" borderId="57" xfId="155" applyNumberFormat="1" applyFont="1" applyFill="1" applyBorder="1" applyAlignment="1" applyProtection="1">
      <alignment horizontal="center" vertical="center" wrapText="1"/>
      <protection locked="0"/>
    </xf>
    <xf numFmtId="49" fontId="6" fillId="32" borderId="22" xfId="155" applyNumberFormat="1" applyFont="1" applyFill="1" applyBorder="1" applyAlignment="1" applyProtection="1">
      <alignment horizontal="center" vertical="center" wrapText="1"/>
      <protection locked="0"/>
    </xf>
    <xf numFmtId="0" fontId="0" fillId="0" borderId="56" xfId="0" applyNumberFormat="1" applyFont="1" applyFill="1" applyBorder="1" applyAlignment="1" applyProtection="1">
      <alignment vertical="center" wrapText="1"/>
    </xf>
    <xf numFmtId="0" fontId="0" fillId="0" borderId="32" xfId="0" applyNumberFormat="1" applyFont="1" applyFill="1" applyBorder="1" applyAlignment="1" applyProtection="1">
      <alignment vertical="center" wrapText="1"/>
    </xf>
    <xf numFmtId="49" fontId="6" fillId="32" borderId="21" xfId="155" applyNumberFormat="1" applyFont="1" applyFill="1" applyBorder="1" applyAlignment="1" applyProtection="1">
      <alignment horizontal="center" vertical="center"/>
    </xf>
    <xf numFmtId="49" fontId="6" fillId="32" borderId="56" xfId="155" applyNumberFormat="1" applyFont="1" applyFill="1" applyBorder="1" applyAlignment="1" applyProtection="1">
      <alignment horizontal="center" vertical="center"/>
    </xf>
    <xf numFmtId="49" fontId="6" fillId="32" borderId="32" xfId="155" applyNumberFormat="1" applyFont="1" applyFill="1" applyBorder="1" applyAlignment="1" applyProtection="1">
      <alignment horizontal="center" vertical="center"/>
    </xf>
    <xf numFmtId="0" fontId="6" fillId="0" borderId="11" xfId="155" applyNumberFormat="1" applyFont="1" applyFill="1" applyBorder="1" applyAlignment="1" applyProtection="1">
      <alignment horizontal="left" vertical="center"/>
    </xf>
    <xf numFmtId="0" fontId="6" fillId="0" borderId="21" xfId="155" applyNumberFormat="1" applyFont="1" applyFill="1" applyBorder="1" applyAlignment="1" applyProtection="1">
      <alignment horizontal="center" vertical="center"/>
    </xf>
    <xf numFmtId="0" fontId="6" fillId="0" borderId="56" xfId="155" applyNumberFormat="1" applyFont="1" applyFill="1" applyBorder="1" applyAlignment="1" applyProtection="1">
      <alignment horizontal="center" vertical="center"/>
    </xf>
    <xf numFmtId="0" fontId="6" fillId="34" borderId="56" xfId="155" applyNumberFormat="1" applyFont="1" applyFill="1" applyBorder="1" applyAlignment="1" applyProtection="1">
      <alignment horizontal="center" vertical="center"/>
    </xf>
    <xf numFmtId="0" fontId="6" fillId="34" borderId="32" xfId="155" applyNumberFormat="1" applyFont="1" applyFill="1" applyBorder="1" applyAlignment="1" applyProtection="1">
      <alignment horizontal="center" vertical="center"/>
    </xf>
    <xf numFmtId="49" fontId="6" fillId="32" borderId="21" xfId="155" applyNumberFormat="1" applyFont="1" applyFill="1" applyBorder="1" applyAlignment="1" applyProtection="1">
      <alignment horizontal="left" vertical="center" shrinkToFit="1"/>
      <protection locked="0"/>
    </xf>
    <xf numFmtId="49" fontId="6" fillId="32" borderId="56" xfId="155" applyNumberFormat="1" applyFont="1" applyFill="1" applyBorder="1" applyAlignment="1" applyProtection="1">
      <alignment horizontal="left" vertical="center" shrinkToFit="1"/>
      <protection locked="0"/>
    </xf>
    <xf numFmtId="49" fontId="6" fillId="32" borderId="32" xfId="155" applyNumberFormat="1" applyFont="1" applyFill="1" applyBorder="1" applyAlignment="1" applyProtection="1">
      <alignment horizontal="left" vertical="center" shrinkToFit="1"/>
      <protection locked="0"/>
    </xf>
    <xf numFmtId="0" fontId="6" fillId="0" borderId="21" xfId="155" applyNumberFormat="1" applyFont="1" applyFill="1" applyBorder="1" applyAlignment="1" applyProtection="1">
      <alignment horizontal="left" vertical="center" shrinkToFit="1"/>
    </xf>
    <xf numFmtId="0" fontId="6" fillId="0" borderId="56" xfId="155" applyNumberFormat="1" applyFont="1" applyFill="1" applyBorder="1" applyAlignment="1" applyProtection="1">
      <alignment horizontal="left" vertical="center" shrinkToFit="1"/>
    </xf>
    <xf numFmtId="0" fontId="6" fillId="0" borderId="32" xfId="155" applyNumberFormat="1" applyFont="1" applyFill="1" applyBorder="1" applyAlignment="1" applyProtection="1">
      <alignment horizontal="left" vertical="center" shrinkToFit="1"/>
    </xf>
    <xf numFmtId="186" fontId="6" fillId="0" borderId="21" xfId="155" applyNumberFormat="1" applyFont="1" applyFill="1" applyBorder="1" applyAlignment="1" applyProtection="1">
      <alignment horizontal="right" vertical="center"/>
    </xf>
    <xf numFmtId="186" fontId="0" fillId="0" borderId="56" xfId="0" applyNumberFormat="1" applyFont="1" applyFill="1" applyBorder="1" applyAlignment="1" applyProtection="1">
      <alignment horizontal="right" vertical="center"/>
    </xf>
    <xf numFmtId="192" fontId="6" fillId="34" borderId="56" xfId="155" applyNumberFormat="1" applyFont="1" applyFill="1" applyBorder="1" applyAlignment="1" applyProtection="1">
      <alignment horizontal="center" vertical="center" shrinkToFit="1"/>
      <protection locked="0"/>
    </xf>
    <xf numFmtId="192" fontId="0" fillId="34" borderId="56" xfId="0" applyNumberFormat="1" applyFont="1" applyFill="1" applyBorder="1" applyAlignment="1" applyProtection="1">
      <alignment horizontal="center" vertical="center" shrinkToFit="1"/>
    </xf>
    <xf numFmtId="188" fontId="6" fillId="34" borderId="56" xfId="155" applyNumberFormat="1" applyFont="1" applyFill="1" applyBorder="1" applyAlignment="1" applyProtection="1">
      <alignment horizontal="center" vertical="center" shrinkToFit="1"/>
      <protection locked="0"/>
    </xf>
    <xf numFmtId="189" fontId="6" fillId="34" borderId="56" xfId="155" applyNumberFormat="1" applyFont="1" applyFill="1" applyBorder="1" applyAlignment="1" applyProtection="1">
      <alignment horizontal="center" vertical="center" shrinkToFit="1"/>
      <protection locked="0"/>
    </xf>
    <xf numFmtId="49" fontId="6" fillId="32" borderId="21" xfId="155" applyNumberFormat="1" applyFont="1" applyFill="1" applyBorder="1" applyAlignment="1" applyProtection="1">
      <alignment horizontal="left" vertical="center"/>
    </xf>
    <xf numFmtId="49" fontId="6" fillId="32" borderId="56" xfId="155" applyNumberFormat="1" applyFont="1" applyFill="1" applyBorder="1" applyAlignment="1" applyProtection="1">
      <alignment horizontal="left" vertical="center"/>
    </xf>
    <xf numFmtId="49" fontId="6" fillId="32" borderId="32" xfId="155" applyNumberFormat="1" applyFont="1" applyFill="1" applyBorder="1" applyAlignment="1" applyProtection="1">
      <alignment horizontal="left" vertical="center"/>
    </xf>
    <xf numFmtId="49" fontId="6" fillId="32" borderId="21" xfId="155" applyNumberFormat="1" applyFont="1" applyFill="1" applyBorder="1" applyAlignment="1" applyProtection="1">
      <alignment horizontal="center" vertical="center" shrinkToFit="1"/>
      <protection locked="0"/>
    </xf>
    <xf numFmtId="49" fontId="6" fillId="32" borderId="56" xfId="155" applyNumberFormat="1" applyFont="1" applyFill="1" applyBorder="1" applyAlignment="1" applyProtection="1">
      <alignment horizontal="center" vertical="center" shrinkToFit="1"/>
      <protection locked="0"/>
    </xf>
    <xf numFmtId="49" fontId="6" fillId="32" borderId="32" xfId="155" applyNumberFormat="1" applyFont="1" applyFill="1" applyBorder="1" applyAlignment="1" applyProtection="1">
      <alignment horizontal="center" vertical="center" shrinkToFit="1"/>
      <protection locked="0"/>
    </xf>
    <xf numFmtId="49" fontId="6" fillId="32" borderId="56" xfId="155" applyNumberFormat="1" applyFont="1" applyFill="1" applyBorder="1" applyAlignment="1" applyProtection="1">
      <alignment horizontal="center" vertical="center" wrapText="1"/>
      <protection locked="0"/>
    </xf>
    <xf numFmtId="49" fontId="6" fillId="32" borderId="32" xfId="155" applyNumberFormat="1" applyFont="1" applyFill="1" applyBorder="1" applyAlignment="1" applyProtection="1">
      <alignment horizontal="center" vertical="center" wrapText="1"/>
      <protection locked="0"/>
    </xf>
    <xf numFmtId="186" fontId="6" fillId="0" borderId="56" xfId="155" applyNumberFormat="1" applyFont="1" applyFill="1" applyBorder="1" applyAlignment="1" applyProtection="1">
      <alignment horizontal="right" vertical="center"/>
    </xf>
    <xf numFmtId="192" fontId="0" fillId="0" borderId="56" xfId="0" applyNumberFormat="1" applyFont="1" applyFill="1" applyBorder="1" applyAlignment="1" applyProtection="1">
      <alignment horizontal="center" vertical="center" shrinkToFit="1"/>
    </xf>
    <xf numFmtId="0" fontId="6" fillId="0" borderId="0" xfId="155" applyNumberFormat="1" applyFont="1" applyFill="1" applyBorder="1" applyAlignment="1" applyProtection="1">
      <alignment horizontal="center" vertical="center" wrapText="1"/>
      <protection locked="0"/>
    </xf>
    <xf numFmtId="0" fontId="6" fillId="0" borderId="0" xfId="155" applyNumberFormat="1" applyFont="1" applyFill="1" applyBorder="1" applyAlignment="1" applyProtection="1">
      <alignment horizontal="center" vertical="center"/>
    </xf>
    <xf numFmtId="0" fontId="6" fillId="0" borderId="12" xfId="155" applyNumberFormat="1" applyFont="1" applyFill="1" applyBorder="1" applyAlignment="1" applyProtection="1">
      <alignment horizontal="left" vertical="center"/>
    </xf>
    <xf numFmtId="0" fontId="6" fillId="0" borderId="15" xfId="155" applyNumberFormat="1" applyFont="1" applyFill="1" applyBorder="1" applyAlignment="1" applyProtection="1">
      <alignment horizontal="left" vertical="center"/>
    </xf>
    <xf numFmtId="0" fontId="6" fillId="44" borderId="21" xfId="155" applyNumberFormat="1" applyFont="1" applyFill="1" applyBorder="1" applyAlignment="1" applyProtection="1">
      <alignment horizontal="center" vertical="center"/>
    </xf>
    <xf numFmtId="0" fontId="6" fillId="44" borderId="56" xfId="155" applyNumberFormat="1" applyFont="1" applyFill="1" applyBorder="1" applyAlignment="1" applyProtection="1">
      <alignment horizontal="center" vertical="center"/>
    </xf>
    <xf numFmtId="0" fontId="6" fillId="44" borderId="32" xfId="155" applyNumberFormat="1" applyFont="1" applyFill="1" applyBorder="1" applyAlignment="1" applyProtection="1">
      <alignment horizontal="center" vertical="center"/>
    </xf>
    <xf numFmtId="0" fontId="6" fillId="0" borderId="21" xfId="155" applyNumberFormat="1" applyFont="1" applyFill="1" applyBorder="1" applyAlignment="1" applyProtection="1">
      <alignment horizontal="left" vertical="center" wrapText="1"/>
    </xf>
    <xf numFmtId="0" fontId="6" fillId="0" borderId="56" xfId="155" applyNumberFormat="1" applyFont="1" applyFill="1" applyBorder="1" applyAlignment="1" applyProtection="1">
      <alignment horizontal="left" vertical="center" wrapText="1"/>
    </xf>
    <xf numFmtId="0" fontId="6" fillId="32" borderId="21" xfId="155" applyNumberFormat="1" applyFont="1" applyFill="1" applyBorder="1" applyAlignment="1" applyProtection="1">
      <alignment horizontal="left" vertical="center" wrapText="1"/>
    </xf>
    <xf numFmtId="0" fontId="6" fillId="32" borderId="56" xfId="155" applyNumberFormat="1" applyFont="1" applyFill="1" applyBorder="1" applyAlignment="1" applyProtection="1">
      <alignment horizontal="left" vertical="center" wrapText="1"/>
    </xf>
    <xf numFmtId="0" fontId="6" fillId="32" borderId="58" xfId="155" applyNumberFormat="1" applyFont="1" applyFill="1" applyBorder="1" applyAlignment="1" applyProtection="1">
      <alignment horizontal="left" vertical="center" wrapText="1"/>
    </xf>
    <xf numFmtId="0" fontId="6" fillId="0" borderId="14" xfId="155" applyNumberFormat="1" applyFont="1" applyFill="1" applyBorder="1" applyAlignment="1" applyProtection="1">
      <alignment horizontal="left" vertical="center"/>
    </xf>
    <xf numFmtId="0" fontId="6" fillId="0" borderId="10" xfId="155" applyNumberFormat="1" applyFont="1" applyFill="1" applyBorder="1" applyAlignment="1" applyProtection="1">
      <alignment horizontal="left" vertical="center" wrapText="1"/>
    </xf>
    <xf numFmtId="0" fontId="6" fillId="0" borderId="55" xfId="155" applyNumberFormat="1" applyFont="1" applyFill="1" applyBorder="1" applyAlignment="1" applyProtection="1">
      <alignment horizontal="left" vertical="center" wrapText="1"/>
    </xf>
    <xf numFmtId="0" fontId="6" fillId="0" borderId="14" xfId="155" applyNumberFormat="1" applyFont="1" applyFill="1" applyBorder="1" applyAlignment="1" applyProtection="1">
      <alignment horizontal="left" vertical="center" wrapText="1"/>
    </xf>
    <xf numFmtId="0" fontId="6" fillId="0" borderId="12" xfId="155" applyNumberFormat="1" applyFont="1" applyFill="1" applyBorder="1" applyAlignment="1" applyProtection="1">
      <alignment horizontal="left" vertical="center" wrapText="1"/>
    </xf>
    <xf numFmtId="0" fontId="6" fillId="0" borderId="57" xfId="155" applyNumberFormat="1" applyFont="1" applyFill="1" applyBorder="1" applyAlignment="1" applyProtection="1">
      <alignment horizontal="left" vertical="center" wrapText="1"/>
    </xf>
    <xf numFmtId="0" fontId="6" fillId="0" borderId="22" xfId="155" applyNumberFormat="1" applyFont="1" applyFill="1" applyBorder="1" applyAlignment="1" applyProtection="1">
      <alignment horizontal="left" vertical="center" wrapText="1"/>
    </xf>
    <xf numFmtId="0" fontId="6" fillId="34" borderId="21" xfId="155" applyNumberFormat="1" applyFont="1" applyFill="1" applyBorder="1" applyAlignment="1" applyProtection="1">
      <alignment horizontal="left" vertical="center" wrapText="1" shrinkToFit="1"/>
      <protection locked="0"/>
    </xf>
    <xf numFmtId="0" fontId="6" fillId="34" borderId="56" xfId="155" applyNumberFormat="1" applyFont="1" applyFill="1" applyBorder="1" applyAlignment="1" applyProtection="1">
      <alignment horizontal="left" vertical="center" wrapText="1" shrinkToFit="1"/>
      <protection locked="0"/>
    </xf>
    <xf numFmtId="0" fontId="0" fillId="34" borderId="56" xfId="0" applyNumberFormat="1" applyFont="1" applyFill="1" applyBorder="1" applyAlignment="1" applyProtection="1">
      <alignment horizontal="left" vertical="center" wrapText="1" shrinkToFit="1"/>
    </xf>
    <xf numFmtId="0" fontId="0" fillId="34" borderId="32" xfId="0" applyNumberFormat="1" applyFont="1" applyFill="1" applyBorder="1" applyAlignment="1" applyProtection="1">
      <alignment horizontal="left" vertical="center" wrapText="1" shrinkToFit="1"/>
    </xf>
    <xf numFmtId="0" fontId="6" fillId="44" borderId="21" xfId="155" applyNumberFormat="1" applyFont="1" applyFill="1" applyBorder="1" applyAlignment="1" applyProtection="1">
      <alignment horizontal="center" vertical="center" wrapText="1"/>
    </xf>
    <xf numFmtId="0" fontId="6" fillId="44" borderId="56" xfId="155" applyNumberFormat="1" applyFont="1" applyFill="1" applyBorder="1" applyAlignment="1" applyProtection="1">
      <alignment horizontal="center" vertical="center" wrapText="1"/>
    </xf>
    <xf numFmtId="0" fontId="6" fillId="44" borderId="58" xfId="155" applyNumberFormat="1" applyFont="1" applyFill="1" applyBorder="1" applyAlignment="1" applyProtection="1">
      <alignment horizontal="center" vertical="center" wrapText="1"/>
    </xf>
    <xf numFmtId="0" fontId="6" fillId="44" borderId="59" xfId="155" applyNumberFormat="1" applyFont="1" applyFill="1" applyBorder="1" applyAlignment="1" applyProtection="1">
      <alignment horizontal="center" vertical="center" wrapText="1"/>
    </xf>
    <xf numFmtId="0" fontId="6" fillId="44" borderId="32" xfId="155" applyNumberFormat="1" applyFont="1" applyFill="1" applyBorder="1" applyAlignment="1" applyProtection="1">
      <alignment horizontal="center" vertical="center" wrapText="1"/>
    </xf>
    <xf numFmtId="0" fontId="6" fillId="0" borderId="56" xfId="155" applyNumberFormat="1" applyFont="1" applyFill="1" applyBorder="1" applyAlignment="1" applyProtection="1">
      <alignment horizontal="center" vertical="center" wrapText="1"/>
    </xf>
    <xf numFmtId="0" fontId="0" fillId="0" borderId="56" xfId="0" applyNumberFormat="1" applyFont="1" applyFill="1" applyBorder="1" applyAlignment="1" applyProtection="1">
      <alignment horizontal="center" vertical="center" wrapText="1"/>
    </xf>
    <xf numFmtId="0" fontId="0" fillId="0" borderId="58" xfId="0" applyNumberFormat="1" applyFont="1" applyFill="1" applyBorder="1" applyAlignment="1" applyProtection="1">
      <alignment horizontal="center" vertical="center" wrapText="1"/>
    </xf>
    <xf numFmtId="0" fontId="6" fillId="32" borderId="59" xfId="155" applyNumberFormat="1" applyFont="1" applyFill="1" applyBorder="1" applyAlignment="1" applyProtection="1">
      <alignment horizontal="left" vertical="center" wrapText="1"/>
    </xf>
    <xf numFmtId="0" fontId="6" fillId="32" borderId="32" xfId="155" applyNumberFormat="1" applyFont="1" applyFill="1" applyBorder="1" applyAlignment="1" applyProtection="1">
      <alignment horizontal="left" vertical="center" wrapText="1"/>
    </xf>
    <xf numFmtId="0" fontId="6" fillId="0" borderId="10" xfId="155" applyNumberFormat="1" applyFont="1" applyFill="1" applyBorder="1" applyAlignment="1" applyProtection="1">
      <alignment horizontal="left" vertical="center" wrapText="1" shrinkToFit="1"/>
    </xf>
    <xf numFmtId="0" fontId="6" fillId="0" borderId="55" xfId="155" applyNumberFormat="1" applyFont="1" applyFill="1" applyBorder="1" applyAlignment="1" applyProtection="1">
      <alignment horizontal="left" vertical="center" shrinkToFit="1"/>
    </xf>
    <xf numFmtId="0" fontId="6" fillId="0" borderId="11" xfId="155" applyNumberFormat="1" applyFont="1" applyFill="1" applyBorder="1" applyAlignment="1" applyProtection="1">
      <alignment horizontal="left" vertical="center" shrinkToFit="1"/>
    </xf>
    <xf numFmtId="0" fontId="6" fillId="0" borderId="0" xfId="155" applyNumberFormat="1" applyFont="1" applyFill="1" applyBorder="1" applyAlignment="1" applyProtection="1">
      <alignment horizontal="left" vertical="center" shrinkToFit="1"/>
    </xf>
    <xf numFmtId="0" fontId="6" fillId="44" borderId="10" xfId="155" applyNumberFormat="1" applyFont="1" applyFill="1" applyBorder="1" applyAlignment="1" applyProtection="1">
      <alignment horizontal="center" vertical="center"/>
    </xf>
    <xf numFmtId="0" fontId="6" fillId="44" borderId="55" xfId="155" applyNumberFormat="1" applyFont="1" applyFill="1" applyBorder="1" applyAlignment="1" applyProtection="1">
      <alignment horizontal="center" vertical="center"/>
    </xf>
    <xf numFmtId="0" fontId="6" fillId="44" borderId="60" xfId="155" applyNumberFormat="1" applyFont="1" applyFill="1" applyBorder="1" applyAlignment="1" applyProtection="1">
      <alignment horizontal="center" vertical="center"/>
    </xf>
    <xf numFmtId="0" fontId="6" fillId="44" borderId="12" xfId="155" applyNumberFormat="1" applyFont="1" applyFill="1" applyBorder="1" applyAlignment="1" applyProtection="1">
      <alignment horizontal="center" vertical="center"/>
    </xf>
    <xf numFmtId="0" fontId="6" fillId="44" borderId="57" xfId="155" applyNumberFormat="1" applyFont="1" applyFill="1" applyBorder="1" applyAlignment="1" applyProtection="1">
      <alignment horizontal="center" vertical="center"/>
    </xf>
    <xf numFmtId="0" fontId="6" fillId="44" borderId="62" xfId="155" applyNumberFormat="1" applyFont="1" applyFill="1" applyBorder="1" applyAlignment="1" applyProtection="1">
      <alignment horizontal="center" vertical="center"/>
    </xf>
    <xf numFmtId="0" fontId="6" fillId="44" borderId="61" xfId="155" applyNumberFormat="1" applyFont="1" applyFill="1" applyBorder="1" applyAlignment="1" applyProtection="1">
      <alignment horizontal="center" vertical="center"/>
    </xf>
    <xf numFmtId="0" fontId="6" fillId="44" borderId="63" xfId="155" applyNumberFormat="1" applyFont="1" applyFill="1" applyBorder="1" applyAlignment="1" applyProtection="1">
      <alignment horizontal="center" vertical="center"/>
    </xf>
    <xf numFmtId="0" fontId="6" fillId="44" borderId="14" xfId="155" applyNumberFormat="1" applyFont="1" applyFill="1" applyBorder="1" applyAlignment="1" applyProtection="1">
      <alignment horizontal="center" vertical="center"/>
    </xf>
    <xf numFmtId="0" fontId="6" fillId="44" borderId="22" xfId="155" applyNumberFormat="1" applyFont="1" applyFill="1" applyBorder="1" applyAlignment="1" applyProtection="1">
      <alignment horizontal="center" vertical="center"/>
    </xf>
    <xf numFmtId="191" fontId="6" fillId="32" borderId="56" xfId="155" applyNumberFormat="1" applyFont="1" applyFill="1" applyBorder="1" applyAlignment="1" applyProtection="1">
      <alignment horizontal="center" vertical="center" shrinkToFit="1"/>
      <protection locked="0"/>
    </xf>
    <xf numFmtId="180" fontId="6" fillId="0" borderId="0" xfId="155" applyNumberFormat="1" applyFont="1" applyFill="1" applyBorder="1" applyAlignment="1" applyProtection="1">
      <alignment horizontal="center" vertical="center" shrinkToFit="1"/>
      <protection locked="0"/>
    </xf>
    <xf numFmtId="191" fontId="6" fillId="34" borderId="57" xfId="155" applyNumberFormat="1" applyFont="1" applyFill="1" applyBorder="1" applyAlignment="1" applyProtection="1">
      <alignment horizontal="center" vertical="center" shrinkToFit="1"/>
      <protection locked="0"/>
    </xf>
    <xf numFmtId="0" fontId="6" fillId="0" borderId="57" xfId="155" applyNumberFormat="1" applyFont="1" applyFill="1" applyBorder="1" applyAlignment="1" applyProtection="1">
      <alignment horizontal="center" vertical="center"/>
    </xf>
    <xf numFmtId="191" fontId="0" fillId="32" borderId="0" xfId="155" applyNumberFormat="1" applyFont="1" applyFill="1" applyBorder="1" applyAlignment="1" applyProtection="1">
      <alignment horizontal="center" vertical="center"/>
    </xf>
    <xf numFmtId="191" fontId="6" fillId="32" borderId="57" xfId="155" applyNumberFormat="1" applyFont="1" applyFill="1" applyBorder="1" applyAlignment="1" applyProtection="1">
      <alignment horizontal="center" vertical="center" shrinkToFit="1"/>
      <protection locked="0"/>
    </xf>
    <xf numFmtId="0" fontId="6" fillId="0" borderId="11" xfId="155" applyNumberFormat="1" applyFont="1" applyFill="1" applyBorder="1" applyAlignment="1" applyProtection="1">
      <alignment horizontal="left" vertical="center" wrapText="1"/>
    </xf>
    <xf numFmtId="0" fontId="6" fillId="0" borderId="0" xfId="155" applyNumberFormat="1" applyFont="1" applyFill="1" applyBorder="1" applyAlignment="1" applyProtection="1">
      <alignment horizontal="left" vertical="center" wrapText="1"/>
    </xf>
    <xf numFmtId="0" fontId="6" fillId="0" borderId="15" xfId="155" applyNumberFormat="1" applyFont="1" applyFill="1" applyBorder="1" applyAlignment="1" applyProtection="1">
      <alignment horizontal="left" vertical="center" wrapText="1"/>
    </xf>
    <xf numFmtId="182" fontId="6" fillId="0" borderId="21" xfId="155" applyNumberFormat="1" applyFont="1" applyFill="1" applyBorder="1" applyAlignment="1" applyProtection="1">
      <alignment horizontal="left" vertical="center" shrinkToFit="1"/>
      <protection locked="0"/>
    </xf>
    <xf numFmtId="182" fontId="6" fillId="0" borderId="56" xfId="155" applyNumberFormat="1" applyFont="1" applyFill="1" applyBorder="1" applyAlignment="1" applyProtection="1">
      <alignment horizontal="left" vertical="center" shrinkToFit="1"/>
      <protection locked="0"/>
    </xf>
    <xf numFmtId="182" fontId="6" fillId="0" borderId="32" xfId="155" applyNumberFormat="1" applyFont="1" applyFill="1" applyBorder="1" applyAlignment="1" applyProtection="1">
      <alignment horizontal="left" vertical="center" shrinkToFit="1"/>
      <protection locked="0"/>
    </xf>
    <xf numFmtId="182" fontId="6" fillId="44" borderId="56" xfId="155" applyNumberFormat="1" applyFont="1" applyFill="1" applyBorder="1" applyAlignment="1" applyProtection="1">
      <alignment horizontal="center" vertical="center" shrinkToFit="1"/>
      <protection locked="0"/>
    </xf>
    <xf numFmtId="182" fontId="6" fillId="44" borderId="58" xfId="155" applyNumberFormat="1" applyFont="1" applyFill="1" applyBorder="1" applyAlignment="1" applyProtection="1">
      <alignment horizontal="center" vertical="center" shrinkToFit="1"/>
      <protection locked="0"/>
    </xf>
    <xf numFmtId="182" fontId="6" fillId="44" borderId="21" xfId="155" applyNumberFormat="1" applyFont="1" applyFill="1" applyBorder="1" applyAlignment="1" applyProtection="1">
      <alignment horizontal="center" vertical="center" shrinkToFit="1"/>
      <protection locked="0"/>
    </xf>
    <xf numFmtId="182" fontId="6" fillId="44" borderId="32" xfId="155" applyNumberFormat="1" applyFont="1" applyFill="1" applyBorder="1" applyAlignment="1" applyProtection="1">
      <alignment horizontal="center" vertical="center" shrinkToFit="1"/>
      <protection locked="0"/>
    </xf>
    <xf numFmtId="191" fontId="6" fillId="32" borderId="21" xfId="155" applyNumberFormat="1" applyFont="1" applyFill="1" applyBorder="1" applyAlignment="1" applyProtection="1">
      <alignment horizontal="center" vertical="center"/>
    </xf>
    <xf numFmtId="191" fontId="6" fillId="32" borderId="56" xfId="155" applyNumberFormat="1" applyFont="1" applyFill="1" applyBorder="1" applyAlignment="1" applyProtection="1">
      <alignment horizontal="center" vertical="center"/>
    </xf>
    <xf numFmtId="180" fontId="6" fillId="0" borderId="57" xfId="155" applyNumberFormat="1" applyFont="1" applyFill="1" applyBorder="1" applyAlignment="1" applyProtection="1">
      <alignment horizontal="center" vertical="center" shrinkToFit="1"/>
      <protection locked="0"/>
    </xf>
    <xf numFmtId="0" fontId="6" fillId="0" borderId="10" xfId="155" applyNumberFormat="1" applyFont="1" applyFill="1" applyBorder="1" applyAlignment="1" applyProtection="1">
      <alignment horizontal="left" vertical="center" shrinkToFit="1"/>
    </xf>
    <xf numFmtId="0" fontId="6" fillId="0" borderId="12" xfId="155" applyNumberFormat="1" applyFont="1" applyFill="1" applyBorder="1" applyAlignment="1" applyProtection="1">
      <alignment horizontal="left" vertical="center" shrinkToFit="1"/>
    </xf>
    <xf numFmtId="0" fontId="6" fillId="0" borderId="57" xfId="155" applyNumberFormat="1" applyFont="1" applyFill="1" applyBorder="1" applyAlignment="1" applyProtection="1">
      <alignment horizontal="left" vertical="center" shrinkToFit="1"/>
    </xf>
    <xf numFmtId="0" fontId="6" fillId="0" borderId="11" xfId="155" applyNumberFormat="1" applyFont="1" applyFill="1" applyBorder="1" applyAlignment="1" applyProtection="1">
      <alignment horizontal="center" vertical="center"/>
    </xf>
    <xf numFmtId="191" fontId="6" fillId="34" borderId="56" xfId="155" applyNumberFormat="1" applyFont="1" applyFill="1" applyBorder="1" applyAlignment="1" applyProtection="1">
      <alignment vertical="center" shrinkToFit="1"/>
      <protection locked="0"/>
    </xf>
    <xf numFmtId="191" fontId="0" fillId="34" borderId="56" xfId="0" applyNumberFormat="1" applyFont="1" applyFill="1" applyBorder="1" applyAlignment="1" applyProtection="1">
      <alignment vertical="center" shrinkToFit="1"/>
    </xf>
    <xf numFmtId="190" fontId="6" fillId="32" borderId="21" xfId="155" applyNumberFormat="1" applyFont="1" applyFill="1" applyBorder="1" applyAlignment="1" applyProtection="1">
      <alignment horizontal="center" vertical="center"/>
      <protection locked="0"/>
    </xf>
    <xf numFmtId="190" fontId="6" fillId="32" borderId="56" xfId="155" applyNumberFormat="1" applyFont="1" applyFill="1" applyBorder="1" applyAlignment="1" applyProtection="1">
      <alignment horizontal="center" vertical="center"/>
      <protection locked="0"/>
    </xf>
    <xf numFmtId="190" fontId="6" fillId="32" borderId="32" xfId="155" applyNumberFormat="1" applyFont="1" applyFill="1" applyBorder="1" applyAlignment="1" applyProtection="1">
      <alignment horizontal="center" vertical="center"/>
      <protection locked="0"/>
    </xf>
    <xf numFmtId="180" fontId="6" fillId="0" borderId="55" xfId="155" applyNumberFormat="1" applyFont="1" applyFill="1" applyBorder="1" applyAlignment="1" applyProtection="1">
      <alignment horizontal="center" vertical="center" shrinkToFit="1"/>
      <protection locked="0"/>
    </xf>
    <xf numFmtId="0" fontId="6" fillId="0" borderId="14" xfId="155" applyNumberFormat="1" applyFont="1" applyFill="1" applyBorder="1" applyAlignment="1" applyProtection="1">
      <alignment horizontal="left" vertical="center" shrinkToFit="1"/>
    </xf>
    <xf numFmtId="0" fontId="6" fillId="0" borderId="22" xfId="155" applyNumberFormat="1" applyFont="1" applyFill="1" applyBorder="1" applyAlignment="1" applyProtection="1">
      <alignment horizontal="left" vertical="center" shrinkToFit="1"/>
    </xf>
    <xf numFmtId="0" fontId="6" fillId="0" borderId="58" xfId="155" applyNumberFormat="1" applyFont="1" applyFill="1" applyBorder="1" applyAlignment="1" applyProtection="1">
      <alignment horizontal="left" vertical="center"/>
    </xf>
    <xf numFmtId="191" fontId="6" fillId="32" borderId="56" xfId="155" applyNumberFormat="1" applyFont="1" applyFill="1" applyBorder="1" applyAlignment="1" applyProtection="1">
      <alignment horizontal="center" vertical="center"/>
      <protection locked="0"/>
    </xf>
    <xf numFmtId="0" fontId="6" fillId="0" borderId="13" xfId="155" applyNumberFormat="1" applyFont="1" applyFill="1" applyBorder="1" applyAlignment="1" applyProtection="1">
      <alignment horizontal="left" vertical="center" wrapText="1"/>
    </xf>
    <xf numFmtId="191" fontId="6" fillId="32" borderId="59" xfId="155" applyNumberFormat="1" applyFont="1" applyFill="1" applyBorder="1" applyAlignment="1" applyProtection="1">
      <alignment horizontal="center" vertical="center"/>
    </xf>
    <xf numFmtId="0" fontId="6" fillId="0" borderId="32" xfId="155" applyNumberFormat="1" applyFont="1" applyFill="1" applyBorder="1" applyAlignment="1" applyProtection="1">
      <alignment horizontal="left" vertical="center" wrapText="1"/>
    </xf>
    <xf numFmtId="191" fontId="6" fillId="32" borderId="21" xfId="155" applyNumberFormat="1" applyFont="1" applyFill="1" applyBorder="1" applyAlignment="1" applyProtection="1">
      <alignment horizontal="center" vertical="center" shrinkToFit="1"/>
      <protection locked="0"/>
    </xf>
    <xf numFmtId="0" fontId="6" fillId="0" borderId="0" xfId="136" applyNumberFormat="1" applyFont="1" applyFill="1" applyBorder="1" applyAlignment="1" applyProtection="1">
      <alignment horizontal="left" vertical="top" wrapText="1"/>
    </xf>
    <xf numFmtId="0" fontId="6" fillId="0" borderId="13" xfId="136" applyNumberFormat="1" applyFont="1" applyFill="1" applyBorder="1" applyAlignment="1" applyProtection="1">
      <alignment horizontal="left" vertical="top" wrapText="1"/>
    </xf>
    <xf numFmtId="49" fontId="6" fillId="0" borderId="21" xfId="136" applyNumberFormat="1" applyFont="1" applyFill="1" applyBorder="1" applyAlignment="1" applyProtection="1">
      <alignment horizontal="center" vertical="top" wrapText="1"/>
    </xf>
    <xf numFmtId="49" fontId="6" fillId="0" borderId="56" xfId="136" applyNumberFormat="1" applyFont="1" applyFill="1" applyBorder="1" applyAlignment="1" applyProtection="1">
      <alignment horizontal="center" vertical="top" wrapText="1"/>
    </xf>
    <xf numFmtId="49" fontId="6" fillId="0" borderId="32" xfId="136" applyNumberFormat="1" applyFont="1" applyFill="1" applyBorder="1" applyAlignment="1" applyProtection="1">
      <alignment horizontal="center" vertical="top" wrapText="1"/>
    </xf>
    <xf numFmtId="0" fontId="6" fillId="0" borderId="21" xfId="136" applyNumberFormat="1" applyFont="1" applyFill="1" applyBorder="1" applyAlignment="1" applyProtection="1">
      <alignment horizontal="left" vertical="top" wrapText="1"/>
    </xf>
    <xf numFmtId="0" fontId="6" fillId="0" borderId="56" xfId="136" applyNumberFormat="1" applyFont="1" applyFill="1" applyBorder="1" applyAlignment="1" applyProtection="1">
      <alignment horizontal="left" vertical="top" wrapText="1"/>
    </xf>
    <xf numFmtId="0" fontId="6" fillId="0" borderId="32" xfId="136" applyNumberFormat="1" applyFont="1" applyFill="1" applyBorder="1" applyAlignment="1" applyProtection="1">
      <alignment horizontal="left" vertical="top" wrapText="1"/>
    </xf>
    <xf numFmtId="49" fontId="6" fillId="0" borderId="21" xfId="136" applyNumberFormat="1" applyFont="1" applyFill="1" applyBorder="1" applyAlignment="1" applyProtection="1">
      <alignment horizontal="center" vertical="center" wrapText="1"/>
    </xf>
    <xf numFmtId="49" fontId="6" fillId="0" borderId="56" xfId="136" applyNumberFormat="1" applyFont="1" applyFill="1" applyBorder="1" applyAlignment="1" applyProtection="1">
      <alignment horizontal="center" vertical="center" wrapText="1"/>
    </xf>
    <xf numFmtId="49" fontId="6" fillId="0" borderId="32" xfId="136" applyNumberFormat="1" applyFont="1" applyFill="1" applyBorder="1" applyAlignment="1" applyProtection="1">
      <alignment horizontal="center" vertical="center" wrapText="1"/>
    </xf>
    <xf numFmtId="0" fontId="6" fillId="0" borderId="13" xfId="136" applyNumberFormat="1" applyFont="1" applyFill="1" applyBorder="1" applyAlignment="1" applyProtection="1">
      <alignment horizontal="center" vertical="top" wrapText="1"/>
    </xf>
    <xf numFmtId="0" fontId="6" fillId="0" borderId="21" xfId="136" applyNumberFormat="1" applyFont="1" applyFill="1" applyBorder="1" applyAlignment="1" applyProtection="1">
      <alignment horizontal="center" vertical="top" wrapText="1"/>
    </xf>
    <xf numFmtId="0" fontId="6" fillId="0" borderId="56" xfId="136" applyNumberFormat="1" applyFont="1" applyFill="1" applyBorder="1" applyAlignment="1" applyProtection="1">
      <alignment horizontal="center" vertical="top" wrapText="1"/>
    </xf>
    <xf numFmtId="0" fontId="6" fillId="0" borderId="32" xfId="136" applyNumberFormat="1" applyFont="1" applyFill="1" applyBorder="1" applyAlignment="1" applyProtection="1">
      <alignment horizontal="center" vertical="top" wrapText="1"/>
    </xf>
    <xf numFmtId="0" fontId="6" fillId="0" borderId="21" xfId="136" applyNumberFormat="1" applyFont="1" applyFill="1" applyBorder="1" applyAlignment="1" applyProtection="1">
      <alignment horizontal="left" vertical="center"/>
    </xf>
    <xf numFmtId="0" fontId="6" fillId="0" borderId="56" xfId="136" applyNumberFormat="1" applyFont="1" applyFill="1" applyBorder="1" applyAlignment="1" applyProtection="1">
      <alignment horizontal="left" vertical="center"/>
    </xf>
    <xf numFmtId="0" fontId="6" fillId="0" borderId="32" xfId="136" applyNumberFormat="1" applyFont="1" applyFill="1" applyBorder="1" applyAlignment="1" applyProtection="1">
      <alignment horizontal="left" vertical="center"/>
    </xf>
    <xf numFmtId="0" fontId="6" fillId="0" borderId="21" xfId="136" applyNumberFormat="1" applyFont="1" applyFill="1" applyBorder="1" applyAlignment="1" applyProtection="1">
      <alignment horizontal="center" vertical="center" wrapText="1"/>
    </xf>
    <xf numFmtId="0" fontId="6" fillId="0" borderId="56" xfId="136" applyNumberFormat="1" applyFont="1" applyFill="1" applyBorder="1" applyAlignment="1" applyProtection="1">
      <alignment horizontal="center" vertical="center" wrapText="1"/>
    </xf>
    <xf numFmtId="0" fontId="6" fillId="0" borderId="32" xfId="136" applyNumberFormat="1" applyFont="1" applyFill="1" applyBorder="1" applyAlignment="1" applyProtection="1">
      <alignment horizontal="center" vertical="center" wrapText="1"/>
    </xf>
    <xf numFmtId="0" fontId="6" fillId="0" borderId="13" xfId="136" applyNumberFormat="1" applyFont="1" applyFill="1" applyBorder="1" applyAlignment="1" applyProtection="1">
      <alignment horizontal="left" vertical="center"/>
    </xf>
    <xf numFmtId="0" fontId="6" fillId="0" borderId="13" xfId="136" applyNumberFormat="1" applyFont="1" applyFill="1" applyBorder="1" applyAlignment="1" applyProtection="1">
      <alignment horizontal="left" vertical="center" wrapText="1"/>
    </xf>
    <xf numFmtId="0" fontId="6" fillId="0" borderId="21" xfId="136" applyNumberFormat="1" applyFont="1" applyFill="1" applyBorder="1" applyAlignment="1" applyProtection="1">
      <alignment horizontal="left" vertical="center" wrapText="1"/>
    </xf>
    <xf numFmtId="0" fontId="6" fillId="0" borderId="56" xfId="136" applyNumberFormat="1" applyFont="1" applyFill="1" applyBorder="1" applyAlignment="1" applyProtection="1">
      <alignment horizontal="left" vertical="center" wrapText="1"/>
    </xf>
    <xf numFmtId="0" fontId="6" fillId="0" borderId="32" xfId="136" applyNumberFormat="1" applyFont="1" applyFill="1" applyBorder="1" applyAlignment="1" applyProtection="1">
      <alignment horizontal="left" vertical="center" wrapText="1"/>
    </xf>
    <xf numFmtId="0" fontId="6" fillId="0" borderId="0" xfId="136" applyNumberFormat="1" applyFont="1" applyFill="1" applyBorder="1" applyAlignment="1" applyProtection="1">
      <alignment horizontal="left" vertical="center" wrapText="1"/>
    </xf>
    <xf numFmtId="0" fontId="6" fillId="0" borderId="10" xfId="136" applyNumberFormat="1" applyFont="1" applyFill="1" applyBorder="1" applyAlignment="1" applyProtection="1">
      <alignment horizontal="center" vertical="center" wrapText="1"/>
    </xf>
    <xf numFmtId="0" fontId="6" fillId="0" borderId="55" xfId="136" applyNumberFormat="1" applyFont="1" applyFill="1" applyBorder="1" applyAlignment="1" applyProtection="1">
      <alignment horizontal="center" vertical="center" wrapText="1"/>
    </xf>
    <xf numFmtId="0" fontId="6" fillId="0" borderId="14" xfId="136" applyNumberFormat="1" applyFont="1" applyFill="1" applyBorder="1" applyAlignment="1" applyProtection="1">
      <alignment horizontal="center" vertical="center" wrapText="1"/>
    </xf>
    <xf numFmtId="0" fontId="6" fillId="0" borderId="12" xfId="136" applyNumberFormat="1" applyFont="1" applyFill="1" applyBorder="1" applyAlignment="1" applyProtection="1">
      <alignment horizontal="center" vertical="center" wrapText="1"/>
    </xf>
    <xf numFmtId="0" fontId="6" fillId="0" borderId="57" xfId="136" applyNumberFormat="1" applyFont="1" applyFill="1" applyBorder="1" applyAlignment="1" applyProtection="1">
      <alignment horizontal="center" vertical="center" wrapText="1"/>
    </xf>
    <xf numFmtId="0" fontId="6" fillId="0" borderId="22" xfId="136" applyNumberFormat="1" applyFont="1" applyFill="1" applyBorder="1" applyAlignment="1" applyProtection="1">
      <alignment horizontal="center" vertical="center" wrapText="1"/>
    </xf>
    <xf numFmtId="0" fontId="6" fillId="0" borderId="21" xfId="136" applyNumberFormat="1" applyFont="1" applyFill="1" applyBorder="1" applyAlignment="1" applyProtection="1">
      <alignment horizontal="center" vertical="center"/>
    </xf>
    <xf numFmtId="0" fontId="6" fillId="0" borderId="56" xfId="136" applyNumberFormat="1" applyFont="1" applyFill="1" applyBorder="1" applyAlignment="1" applyProtection="1">
      <alignment horizontal="center" vertical="center"/>
    </xf>
    <xf numFmtId="0" fontId="6" fillId="0" borderId="11" xfId="136" applyNumberFormat="1" applyFont="1" applyFill="1" applyBorder="1" applyAlignment="1" applyProtection="1">
      <alignment horizontal="left" vertical="center"/>
    </xf>
    <xf numFmtId="0" fontId="6" fillId="0" borderId="0" xfId="136" applyNumberFormat="1" applyFont="1" applyFill="1" applyBorder="1" applyAlignment="1" applyProtection="1">
      <alignment horizontal="left" vertical="center"/>
    </xf>
    <xf numFmtId="0" fontId="6" fillId="0" borderId="15" xfId="136" applyNumberFormat="1" applyFont="1" applyFill="1" applyBorder="1" applyAlignment="1" applyProtection="1">
      <alignment horizontal="left" vertical="center"/>
    </xf>
    <xf numFmtId="0" fontId="6" fillId="0" borderId="0" xfId="136" applyNumberFormat="1" applyFont="1" applyFill="1" applyBorder="1" applyAlignment="1" applyProtection="1">
      <alignment horizontal="center" vertical="center"/>
    </xf>
    <xf numFmtId="0" fontId="6" fillId="0" borderId="58" xfId="136" applyNumberFormat="1" applyFont="1" applyFill="1" applyBorder="1" applyAlignment="1" applyProtection="1">
      <alignment horizontal="center" vertical="center" wrapText="1"/>
    </xf>
    <xf numFmtId="0" fontId="6" fillId="0" borderId="59" xfId="136" applyNumberFormat="1" applyFont="1" applyFill="1" applyBorder="1" applyAlignment="1" applyProtection="1">
      <alignment horizontal="center" vertical="center" wrapText="1"/>
    </xf>
    <xf numFmtId="0" fontId="6" fillId="0" borderId="10" xfId="136" applyNumberFormat="1" applyFont="1" applyFill="1" applyBorder="1" applyAlignment="1" applyProtection="1">
      <alignment horizontal="left" vertical="center" wrapText="1"/>
    </xf>
    <xf numFmtId="0" fontId="6" fillId="0" borderId="55" xfId="136" applyNumberFormat="1" applyFont="1" applyFill="1" applyBorder="1" applyAlignment="1" applyProtection="1">
      <alignment horizontal="left" vertical="center"/>
    </xf>
    <xf numFmtId="0" fontId="6" fillId="0" borderId="12" xfId="136" applyNumberFormat="1" applyFont="1" applyFill="1" applyBorder="1" applyAlignment="1" applyProtection="1">
      <alignment horizontal="left" vertical="center"/>
    </xf>
    <xf numFmtId="0" fontId="6" fillId="0" borderId="57" xfId="136" applyNumberFormat="1" applyFont="1" applyFill="1" applyBorder="1" applyAlignment="1" applyProtection="1">
      <alignment horizontal="left" vertical="center"/>
    </xf>
    <xf numFmtId="0" fontId="6" fillId="0" borderId="10" xfId="136" applyNumberFormat="1" applyFont="1" applyFill="1" applyBorder="1" applyAlignment="1" applyProtection="1">
      <alignment horizontal="left" vertical="center" wrapText="1" shrinkToFit="1"/>
    </xf>
    <xf numFmtId="0" fontId="6" fillId="0" borderId="55" xfId="136" applyNumberFormat="1" applyFont="1" applyFill="1" applyBorder="1" applyAlignment="1" applyProtection="1">
      <alignment horizontal="left" vertical="center" shrinkToFit="1"/>
    </xf>
    <xf numFmtId="0" fontId="6" fillId="0" borderId="11" xfId="136" applyNumberFormat="1" applyFont="1" applyFill="1" applyBorder="1" applyAlignment="1" applyProtection="1">
      <alignment horizontal="left" vertical="center" shrinkToFit="1"/>
    </xf>
    <xf numFmtId="0" fontId="6" fillId="0" borderId="0" xfId="136" applyNumberFormat="1" applyFont="1" applyFill="1" applyBorder="1" applyAlignment="1" applyProtection="1">
      <alignment horizontal="left" vertical="center" shrinkToFit="1"/>
    </xf>
    <xf numFmtId="0" fontId="6" fillId="0" borderId="10" xfId="136" applyNumberFormat="1" applyFont="1" applyFill="1" applyBorder="1" applyAlignment="1" applyProtection="1">
      <alignment horizontal="center" vertical="center"/>
    </xf>
    <xf numFmtId="0" fontId="6" fillId="0" borderId="55" xfId="136" applyNumberFormat="1" applyFont="1" applyFill="1" applyBorder="1" applyAlignment="1" applyProtection="1">
      <alignment horizontal="center" vertical="center"/>
    </xf>
    <xf numFmtId="0" fontId="6" fillId="0" borderId="60" xfId="136" applyNumberFormat="1" applyFont="1" applyFill="1" applyBorder="1" applyAlignment="1" applyProtection="1">
      <alignment horizontal="center" vertical="center"/>
    </xf>
    <xf numFmtId="0" fontId="6" fillId="0" borderId="12" xfId="136" applyNumberFormat="1" applyFont="1" applyFill="1" applyBorder="1" applyAlignment="1" applyProtection="1">
      <alignment horizontal="center" vertical="center"/>
    </xf>
    <xf numFmtId="0" fontId="6" fillId="0" borderId="57" xfId="136" applyNumberFormat="1" applyFont="1" applyFill="1" applyBorder="1" applyAlignment="1" applyProtection="1">
      <alignment horizontal="center" vertical="center"/>
    </xf>
    <xf numFmtId="0" fontId="6" fillId="0" borderId="62" xfId="136" applyNumberFormat="1" applyFont="1" applyFill="1" applyBorder="1" applyAlignment="1" applyProtection="1">
      <alignment horizontal="center" vertical="center"/>
    </xf>
    <xf numFmtId="0" fontId="6" fillId="0" borderId="61" xfId="136" applyNumberFormat="1" applyFont="1" applyFill="1" applyBorder="1" applyAlignment="1" applyProtection="1">
      <alignment horizontal="center" vertical="center"/>
    </xf>
    <xf numFmtId="0" fontId="6" fillId="0" borderId="63" xfId="136" applyNumberFormat="1" applyFont="1" applyFill="1" applyBorder="1" applyAlignment="1" applyProtection="1">
      <alignment horizontal="center" vertical="center"/>
    </xf>
    <xf numFmtId="0" fontId="6" fillId="0" borderId="14" xfId="136" applyNumberFormat="1" applyFont="1" applyFill="1" applyBorder="1" applyAlignment="1" applyProtection="1">
      <alignment horizontal="center" vertical="center"/>
    </xf>
    <xf numFmtId="0" fontId="6" fillId="0" borderId="22" xfId="136" applyNumberFormat="1" applyFont="1" applyFill="1" applyBorder="1" applyAlignment="1" applyProtection="1">
      <alignment horizontal="center" vertical="center"/>
    </xf>
    <xf numFmtId="0" fontId="6" fillId="0" borderId="21" xfId="136" applyNumberFormat="1" applyFont="1" applyFill="1" applyBorder="1" applyAlignment="1" applyProtection="1">
      <alignment horizontal="left" vertical="center" shrinkToFit="1"/>
    </xf>
    <xf numFmtId="0" fontId="6" fillId="0" borderId="56" xfId="136" applyNumberFormat="1" applyFont="1" applyFill="1" applyBorder="1" applyAlignment="1" applyProtection="1">
      <alignment horizontal="left" vertical="center" shrinkToFit="1"/>
    </xf>
    <xf numFmtId="180" fontId="6" fillId="0" borderId="56" xfId="136" applyNumberFormat="1" applyFont="1" applyFill="1" applyBorder="1" applyAlignment="1" applyProtection="1">
      <alignment horizontal="center" vertical="center" shrinkToFit="1"/>
      <protection locked="0"/>
    </xf>
    <xf numFmtId="0" fontId="6" fillId="0" borderId="55" xfId="136" applyNumberFormat="1" applyFont="1" applyFill="1" applyBorder="1" applyAlignment="1" applyProtection="1">
      <alignment horizontal="left" vertical="center" wrapText="1"/>
    </xf>
    <xf numFmtId="0" fontId="6" fillId="0" borderId="12" xfId="136" applyNumberFormat="1" applyFont="1" applyFill="1" applyBorder="1" applyAlignment="1" applyProtection="1">
      <alignment horizontal="left" vertical="center" wrapText="1"/>
    </xf>
    <xf numFmtId="0" fontId="6" fillId="0" borderId="57" xfId="136" applyNumberFormat="1" applyFont="1" applyFill="1" applyBorder="1" applyAlignment="1" applyProtection="1">
      <alignment horizontal="left" vertical="center" wrapText="1"/>
    </xf>
    <xf numFmtId="180" fontId="6" fillId="0" borderId="0" xfId="136" applyNumberFormat="1" applyFont="1" applyFill="1" applyBorder="1" applyAlignment="1" applyProtection="1">
      <alignment horizontal="center" vertical="center" shrinkToFit="1"/>
      <protection locked="0"/>
    </xf>
    <xf numFmtId="180" fontId="6" fillId="0" borderId="57" xfId="136" applyNumberFormat="1" applyFont="1" applyFill="1" applyBorder="1" applyAlignment="1" applyProtection="1">
      <alignment horizontal="center" vertical="center" shrinkToFit="1"/>
      <protection locked="0"/>
    </xf>
    <xf numFmtId="0" fontId="0" fillId="0" borderId="0" xfId="136" applyNumberFormat="1" applyFont="1" applyFill="1" applyBorder="1" applyAlignment="1" applyProtection="1">
      <alignment horizontal="center" vertical="center"/>
    </xf>
    <xf numFmtId="0" fontId="6" fillId="0" borderId="14" xfId="136" applyNumberFormat="1" applyFont="1" applyFill="1" applyBorder="1" applyAlignment="1" applyProtection="1">
      <alignment horizontal="left" vertical="center" wrapText="1"/>
    </xf>
    <xf numFmtId="0" fontId="6" fillId="0" borderId="11" xfId="136" applyNumberFormat="1" applyFont="1" applyFill="1" applyBorder="1" applyAlignment="1" applyProtection="1">
      <alignment horizontal="left" vertical="center" wrapText="1"/>
    </xf>
    <xf numFmtId="0" fontId="6" fillId="0" borderId="15" xfId="136" applyNumberFormat="1" applyFont="1" applyFill="1" applyBorder="1" applyAlignment="1" applyProtection="1">
      <alignment horizontal="left" vertical="center" wrapText="1"/>
    </xf>
    <xf numFmtId="0" fontId="6" fillId="0" borderId="22" xfId="136" applyNumberFormat="1" applyFont="1" applyFill="1" applyBorder="1" applyAlignment="1" applyProtection="1">
      <alignment horizontal="left" vertical="center" wrapText="1"/>
    </xf>
    <xf numFmtId="182" fontId="6" fillId="0" borderId="21" xfId="136" applyNumberFormat="1" applyFont="1" applyFill="1" applyBorder="1" applyAlignment="1" applyProtection="1">
      <alignment horizontal="left" vertical="center" shrinkToFit="1"/>
      <protection locked="0"/>
    </xf>
    <xf numFmtId="182" fontId="6" fillId="0" borderId="56" xfId="136" applyNumberFormat="1" applyFont="1" applyFill="1" applyBorder="1" applyAlignment="1" applyProtection="1">
      <alignment horizontal="left" vertical="center" shrinkToFit="1"/>
      <protection locked="0"/>
    </xf>
    <xf numFmtId="182" fontId="6" fillId="0" borderId="32" xfId="136" applyNumberFormat="1" applyFont="1" applyFill="1" applyBorder="1" applyAlignment="1" applyProtection="1">
      <alignment horizontal="left" vertical="center" shrinkToFit="1"/>
      <protection locked="0"/>
    </xf>
    <xf numFmtId="182" fontId="6" fillId="0" borderId="56" xfId="136" applyNumberFormat="1" applyFont="1" applyFill="1" applyBorder="1" applyAlignment="1" applyProtection="1">
      <alignment horizontal="center" vertical="center" shrinkToFit="1"/>
      <protection locked="0"/>
    </xf>
    <xf numFmtId="182" fontId="6" fillId="0" borderId="58" xfId="136" applyNumberFormat="1" applyFont="1" applyFill="1" applyBorder="1" applyAlignment="1" applyProtection="1">
      <alignment horizontal="center" vertical="center" shrinkToFit="1"/>
      <protection locked="0"/>
    </xf>
    <xf numFmtId="182" fontId="6" fillId="0" borderId="21" xfId="136" applyNumberFormat="1" applyFont="1" applyFill="1" applyBorder="1" applyAlignment="1" applyProtection="1">
      <alignment horizontal="center" vertical="center" shrinkToFit="1"/>
      <protection locked="0"/>
    </xf>
    <xf numFmtId="182" fontId="6" fillId="0" borderId="32" xfId="136" applyNumberFormat="1" applyFont="1" applyFill="1" applyBorder="1" applyAlignment="1" applyProtection="1">
      <alignment horizontal="center" vertical="center" shrinkToFit="1"/>
      <protection locked="0"/>
    </xf>
    <xf numFmtId="191" fontId="6" fillId="0" borderId="56" xfId="136" applyNumberFormat="1" applyFont="1" applyFill="1" applyBorder="1" applyAlignment="1" applyProtection="1">
      <alignment horizontal="center" vertical="center" shrinkToFit="1"/>
      <protection locked="0"/>
    </xf>
    <xf numFmtId="0" fontId="6" fillId="0" borderId="10" xfId="136" applyNumberFormat="1" applyFont="1" applyFill="1" applyBorder="1" applyAlignment="1" applyProtection="1">
      <alignment horizontal="left" vertical="center" shrinkToFit="1"/>
    </xf>
    <xf numFmtId="0" fontId="6" fillId="0" borderId="12" xfId="136" applyNumberFormat="1" applyFont="1" applyFill="1" applyBorder="1" applyAlignment="1" applyProtection="1">
      <alignment horizontal="left" vertical="center" shrinkToFit="1"/>
    </xf>
    <xf numFmtId="0" fontId="6" fillId="0" borderId="57" xfId="136" applyNumberFormat="1" applyFont="1" applyFill="1" applyBorder="1" applyAlignment="1" applyProtection="1">
      <alignment horizontal="left" vertical="center" shrinkToFit="1"/>
    </xf>
    <xf numFmtId="180" fontId="6" fillId="0" borderId="55" xfId="136" applyNumberFormat="1" applyFont="1" applyFill="1" applyBorder="1" applyAlignment="1" applyProtection="1">
      <alignment horizontal="center" vertical="center" shrinkToFit="1"/>
      <protection locked="0"/>
    </xf>
    <xf numFmtId="190" fontId="6" fillId="0" borderId="21" xfId="136" applyNumberFormat="1" applyFont="1" applyFill="1" applyBorder="1" applyAlignment="1" applyProtection="1">
      <alignment horizontal="center" vertical="center"/>
      <protection locked="0"/>
    </xf>
    <xf numFmtId="190" fontId="6" fillId="0" borderId="56" xfId="136" applyNumberFormat="1" applyFont="1" applyFill="1" applyBorder="1" applyAlignment="1" applyProtection="1">
      <alignment horizontal="center" vertical="center"/>
      <protection locked="0"/>
    </xf>
    <xf numFmtId="190" fontId="6" fillId="0" borderId="32" xfId="136" applyNumberFormat="1" applyFont="1" applyFill="1" applyBorder="1" applyAlignment="1" applyProtection="1">
      <alignment horizontal="center" vertical="center"/>
      <protection locked="0"/>
    </xf>
    <xf numFmtId="0" fontId="6" fillId="0" borderId="14" xfId="136" applyNumberFormat="1" applyFont="1" applyFill="1" applyBorder="1" applyAlignment="1" applyProtection="1">
      <alignment horizontal="left" vertical="center" shrinkToFit="1"/>
    </xf>
    <xf numFmtId="0" fontId="6" fillId="0" borderId="22" xfId="136" applyNumberFormat="1" applyFont="1" applyFill="1" applyBorder="1" applyAlignment="1" applyProtection="1">
      <alignment horizontal="left" vertical="center" shrinkToFit="1"/>
    </xf>
    <xf numFmtId="0" fontId="6" fillId="0" borderId="14" xfId="136" applyNumberFormat="1" applyFont="1" applyFill="1" applyBorder="1" applyAlignment="1" applyProtection="1">
      <alignment horizontal="left" vertical="center"/>
    </xf>
    <xf numFmtId="0" fontId="6" fillId="0" borderId="32" xfId="136" applyNumberFormat="1" applyFont="1" applyFill="1" applyBorder="1" applyAlignment="1" applyProtection="1">
      <alignment horizontal="left" vertical="center" shrinkToFit="1"/>
    </xf>
    <xf numFmtId="0" fontId="6" fillId="0" borderId="58" xfId="136" applyNumberFormat="1" applyFont="1" applyFill="1" applyBorder="1" applyAlignment="1" applyProtection="1">
      <alignment horizontal="left" vertical="center"/>
    </xf>
    <xf numFmtId="0" fontId="6" fillId="0" borderId="59" xfId="136" applyNumberFormat="1" applyFont="1" applyFill="1" applyBorder="1" applyAlignment="1" applyProtection="1">
      <alignment horizontal="center" vertical="center"/>
    </xf>
    <xf numFmtId="190" fontId="6" fillId="0" borderId="59" xfId="136" applyNumberFormat="1" applyFont="1" applyFill="1" applyBorder="1" applyAlignment="1" applyProtection="1">
      <alignment horizontal="center" vertical="center"/>
      <protection locked="0"/>
    </xf>
    <xf numFmtId="0" fontId="38" fillId="0" borderId="0" xfId="156" applyNumberFormat="1" applyFont="1" applyFill="1" applyBorder="1" applyAlignment="1" applyProtection="1">
      <alignment vertical="top" wrapText="1"/>
    </xf>
    <xf numFmtId="0" fontId="40" fillId="0" borderId="21" xfId="156" applyNumberFormat="1" applyFont="1" applyFill="1" applyBorder="1" applyAlignment="1" applyProtection="1">
      <alignment horizontal="center" vertical="center"/>
    </xf>
    <xf numFmtId="0" fontId="0" fillId="0" borderId="56" xfId="156" applyNumberFormat="1" applyFont="1" applyFill="1" applyBorder="1" applyAlignment="1" applyProtection="1">
      <alignment horizontal="center" vertical="center"/>
    </xf>
    <xf numFmtId="0" fontId="0" fillId="0" borderId="32" xfId="156" applyNumberFormat="1" applyFont="1" applyFill="1" applyBorder="1" applyAlignment="1" applyProtection="1">
      <alignment horizontal="center" vertical="center"/>
    </xf>
    <xf numFmtId="0" fontId="38" fillId="0" borderId="11" xfId="156" applyNumberFormat="1" applyFont="1" applyFill="1" applyBorder="1" applyAlignment="1" applyProtection="1">
      <alignment horizontal="center" vertical="center" textRotation="255"/>
    </xf>
    <xf numFmtId="0" fontId="38" fillId="0" borderId="15" xfId="156" applyNumberFormat="1" applyFont="1" applyFill="1" applyBorder="1" applyAlignment="1" applyProtection="1">
      <alignment horizontal="center" vertical="center" textRotation="255"/>
    </xf>
    <xf numFmtId="0" fontId="38" fillId="0" borderId="12" xfId="156" applyNumberFormat="1" applyFont="1" applyFill="1" applyBorder="1" applyAlignment="1" applyProtection="1">
      <alignment horizontal="center" vertical="center" textRotation="255"/>
    </xf>
    <xf numFmtId="0" fontId="38" fillId="0" borderId="22" xfId="156" applyNumberFormat="1" applyFont="1" applyFill="1" applyBorder="1" applyAlignment="1" applyProtection="1">
      <alignment horizontal="center" vertical="center" textRotation="255"/>
    </xf>
    <xf numFmtId="0" fontId="44" fillId="0" borderId="0" xfId="156" applyNumberFormat="1" applyFont="1" applyFill="1" applyBorder="1" applyAlignment="1" applyProtection="1">
      <alignment horizontal="center" vertical="center"/>
    </xf>
    <xf numFmtId="0" fontId="38" fillId="0" borderId="0" xfId="156" applyNumberFormat="1" applyFont="1" applyFill="1" applyBorder="1" applyAlignment="1" applyProtection="1">
      <alignment horizontal="center" vertical="center"/>
    </xf>
    <xf numFmtId="0" fontId="38" fillId="34" borderId="0" xfId="156" applyNumberFormat="1" applyFont="1" applyFill="1" applyBorder="1" applyAlignment="1" applyProtection="1">
      <alignment vertical="center" shrinkToFit="1"/>
    </xf>
    <xf numFmtId="193" fontId="38" fillId="32" borderId="0" xfId="156" applyNumberFormat="1" applyFont="1" applyFill="1" applyBorder="1" applyAlignment="1" applyProtection="1">
      <alignment horizontal="left" vertical="center"/>
    </xf>
    <xf numFmtId="194" fontId="38" fillId="32" borderId="56" xfId="156" applyNumberFormat="1" applyFont="1" applyFill="1" applyBorder="1" applyAlignment="1" applyProtection="1">
      <alignment horizontal="right" vertical="center"/>
    </xf>
    <xf numFmtId="0" fontId="38" fillId="0" borderId="56" xfId="156" applyNumberFormat="1" applyFont="1" applyFill="1" applyBorder="1" applyAlignment="1" applyProtection="1">
      <alignment horizontal="left" vertical="center" shrinkToFit="1"/>
    </xf>
    <xf numFmtId="0" fontId="38" fillId="0" borderId="12" xfId="156" applyNumberFormat="1" applyFont="1" applyFill="1" applyBorder="1" applyAlignment="1" applyProtection="1">
      <alignment horizontal="right" vertical="center"/>
    </xf>
    <xf numFmtId="0" fontId="38" fillId="0" borderId="57" xfId="156" applyNumberFormat="1" applyFont="1" applyFill="1" applyBorder="1" applyAlignment="1" applyProtection="1">
      <alignment horizontal="right" vertical="center"/>
    </xf>
    <xf numFmtId="0" fontId="38" fillId="0" borderId="21" xfId="156" applyNumberFormat="1" applyFont="1" applyFill="1" applyBorder="1" applyAlignment="1" applyProtection="1">
      <alignment horizontal="right" vertical="center"/>
    </xf>
    <xf numFmtId="0" fontId="38" fillId="0" borderId="56" xfId="156" applyNumberFormat="1" applyFont="1" applyFill="1" applyBorder="1" applyAlignment="1" applyProtection="1">
      <alignment horizontal="right" vertical="center"/>
    </xf>
    <xf numFmtId="0" fontId="38" fillId="0" borderId="10" xfId="156" applyNumberFormat="1" applyFont="1" applyFill="1" applyBorder="1" applyAlignment="1" applyProtection="1">
      <alignment horizontal="center" vertical="center" textRotation="255"/>
    </xf>
    <xf numFmtId="0" fontId="38" fillId="0" borderId="14" xfId="156" applyNumberFormat="1" applyFont="1" applyFill="1" applyBorder="1" applyAlignment="1" applyProtection="1">
      <alignment horizontal="center" vertical="center" textRotation="255"/>
    </xf>
    <xf numFmtId="188" fontId="38" fillId="34" borderId="57" xfId="156" applyNumberFormat="1" applyFont="1" applyFill="1" applyBorder="1" applyAlignment="1" applyProtection="1">
      <alignment horizontal="right" vertical="center"/>
    </xf>
    <xf numFmtId="0" fontId="38" fillId="32" borderId="56" xfId="156" applyNumberFormat="1" applyFont="1" applyFill="1" applyBorder="1" applyAlignment="1" applyProtection="1">
      <alignment horizontal="right" vertical="center"/>
    </xf>
    <xf numFmtId="0" fontId="38" fillId="0" borderId="0" xfId="156" applyNumberFormat="1" applyFont="1" applyFill="1" applyBorder="1" applyAlignment="1" applyProtection="1">
      <alignment horizontal="left" vertical="top" wrapText="1"/>
    </xf>
    <xf numFmtId="0" fontId="35" fillId="34" borderId="56" xfId="156" applyNumberFormat="1" applyFont="1" applyFill="1" applyBorder="1" applyAlignment="1" applyProtection="1">
      <alignment horizontal="center" vertical="center"/>
    </xf>
    <xf numFmtId="0" fontId="35" fillId="34" borderId="32" xfId="156" applyNumberFormat="1" applyFont="1" applyFill="1" applyBorder="1" applyAlignment="1" applyProtection="1">
      <alignment horizontal="center" vertical="center"/>
    </xf>
    <xf numFmtId="0" fontId="38" fillId="0" borderId="21" xfId="156" applyNumberFormat="1" applyFont="1" applyFill="1" applyBorder="1" applyAlignment="1" applyProtection="1">
      <alignment horizontal="center" vertical="center"/>
    </xf>
    <xf numFmtId="0" fontId="38" fillId="0" borderId="56" xfId="156" applyNumberFormat="1" applyFont="1" applyFill="1" applyBorder="1" applyAlignment="1" applyProtection="1">
      <alignment horizontal="center" vertical="center"/>
    </xf>
    <xf numFmtId="0" fontId="41" fillId="0" borderId="21" xfId="156" applyNumberFormat="1" applyFont="1" applyFill="1" applyBorder="1" applyAlignment="1" applyProtection="1">
      <alignment horizontal="center" vertical="center" wrapText="1" shrinkToFit="1"/>
    </xf>
    <xf numFmtId="0" fontId="41" fillId="0" borderId="56" xfId="156" applyNumberFormat="1" applyFont="1" applyFill="1" applyBorder="1" applyAlignment="1" applyProtection="1">
      <alignment horizontal="center" vertical="center" wrapText="1" shrinkToFit="1"/>
    </xf>
    <xf numFmtId="0" fontId="38" fillId="0" borderId="21" xfId="156" applyNumberFormat="1" applyFont="1" applyFill="1" applyBorder="1" applyAlignment="1" applyProtection="1">
      <alignment horizontal="center" vertical="center" shrinkToFit="1"/>
    </xf>
    <xf numFmtId="0" fontId="38" fillId="0" borderId="56" xfId="156" applyNumberFormat="1" applyFont="1" applyFill="1" applyBorder="1" applyAlignment="1" applyProtection="1">
      <alignment horizontal="center" vertical="center" shrinkToFit="1"/>
    </xf>
    <xf numFmtId="0" fontId="38" fillId="0" borderId="21" xfId="156" applyNumberFormat="1" applyFont="1" applyFill="1" applyBorder="1" applyAlignment="1" applyProtection="1">
      <alignment horizontal="distributed" vertical="center"/>
    </xf>
    <xf numFmtId="0" fontId="38" fillId="0" borderId="56" xfId="156" applyNumberFormat="1" applyFont="1" applyFill="1" applyBorder="1" applyAlignment="1" applyProtection="1">
      <alignment horizontal="distributed" vertical="center"/>
    </xf>
    <xf numFmtId="0" fontId="38" fillId="34" borderId="21" xfId="156" applyNumberFormat="1" applyFont="1" applyFill="1" applyBorder="1" applyAlignment="1" applyProtection="1">
      <alignment horizontal="left" vertical="center" shrinkToFit="1"/>
    </xf>
    <xf numFmtId="0" fontId="38" fillId="34" borderId="56" xfId="156" applyNumberFormat="1" applyFont="1" applyFill="1" applyBorder="1" applyAlignment="1" applyProtection="1">
      <alignment horizontal="left" vertical="center" shrinkToFit="1"/>
    </xf>
    <xf numFmtId="0" fontId="38" fillId="34" borderId="32" xfId="156" applyNumberFormat="1" applyFont="1" applyFill="1" applyBorder="1" applyAlignment="1" applyProtection="1">
      <alignment horizontal="left" vertical="center" shrinkToFit="1"/>
    </xf>
    <xf numFmtId="189" fontId="38" fillId="34" borderId="57" xfId="156" applyNumberFormat="1" applyFont="1" applyFill="1" applyBorder="1" applyAlignment="1" applyProtection="1">
      <alignment horizontal="right" vertical="center"/>
    </xf>
    <xf numFmtId="187" fontId="38" fillId="34" borderId="57" xfId="156" applyNumberFormat="1" applyFont="1" applyFill="1" applyBorder="1" applyAlignment="1" applyProtection="1">
      <alignment horizontal="right" vertical="center"/>
    </xf>
    <xf numFmtId="193" fontId="38" fillId="32" borderId="0" xfId="157" applyNumberFormat="1" applyFont="1" applyFill="1" applyBorder="1" applyAlignment="1" applyProtection="1">
      <alignment horizontal="left" vertical="center"/>
    </xf>
    <xf numFmtId="0" fontId="46" fillId="0" borderId="21" xfId="157" applyNumberFormat="1" applyFont="1" applyFill="1" applyBorder="1" applyAlignment="1" applyProtection="1">
      <alignment horizontal="center" vertical="center" wrapText="1"/>
    </xf>
    <xf numFmtId="0" fontId="46" fillId="0" borderId="56" xfId="157" applyNumberFormat="1" applyFont="1" applyFill="1" applyBorder="1" applyAlignment="1" applyProtection="1">
      <alignment horizontal="center" vertical="center" wrapText="1"/>
    </xf>
    <xf numFmtId="0" fontId="46" fillId="0" borderId="32" xfId="157" applyNumberFormat="1" applyFont="1" applyFill="1" applyBorder="1" applyAlignment="1" applyProtection="1">
      <alignment horizontal="center" vertical="center" wrapText="1"/>
    </xf>
    <xf numFmtId="0" fontId="40" fillId="0" borderId="21" xfId="157" applyNumberFormat="1" applyFont="1" applyFill="1" applyBorder="1" applyAlignment="1" applyProtection="1">
      <alignment horizontal="center" vertical="center"/>
    </xf>
    <xf numFmtId="0" fontId="40" fillId="0" borderId="56" xfId="157" applyNumberFormat="1" applyFont="1" applyFill="1" applyBorder="1" applyAlignment="1" applyProtection="1">
      <alignment horizontal="center" vertical="center"/>
    </xf>
    <xf numFmtId="0" fontId="40" fillId="0" borderId="32" xfId="157" applyNumberFormat="1" applyFont="1" applyFill="1" applyBorder="1" applyAlignment="1" applyProtection="1">
      <alignment horizontal="center" vertical="center"/>
    </xf>
    <xf numFmtId="0" fontId="38" fillId="32" borderId="56" xfId="157" applyNumberFormat="1" applyFont="1" applyFill="1" applyBorder="1" applyAlignment="1" applyProtection="1">
      <alignment horizontal="right" vertical="center"/>
    </xf>
    <xf numFmtId="0" fontId="38" fillId="34" borderId="56" xfId="157" applyNumberFormat="1" applyFont="1" applyFill="1" applyBorder="1" applyAlignment="1" applyProtection="1">
      <alignment horizontal="left" vertical="center"/>
    </xf>
    <xf numFmtId="0" fontId="38" fillId="34" borderId="32" xfId="157" applyNumberFormat="1" applyFont="1" applyFill="1" applyBorder="1" applyAlignment="1" applyProtection="1">
      <alignment horizontal="left" vertical="center"/>
    </xf>
    <xf numFmtId="189" fontId="38" fillId="34" borderId="56" xfId="157" applyNumberFormat="1" applyFont="1" applyFill="1" applyBorder="1" applyAlignment="1" applyProtection="1">
      <alignment horizontal="right" vertical="center"/>
    </xf>
    <xf numFmtId="188" fontId="38" fillId="34" borderId="56" xfId="157" applyNumberFormat="1" applyFont="1" applyFill="1" applyBorder="1" applyAlignment="1" applyProtection="1">
      <alignment horizontal="right" vertical="center"/>
    </xf>
    <xf numFmtId="187" fontId="38" fillId="34" borderId="56" xfId="157" applyNumberFormat="1" applyFont="1" applyFill="1" applyBorder="1" applyAlignment="1" applyProtection="1">
      <alignment horizontal="right" vertical="center"/>
    </xf>
    <xf numFmtId="187" fontId="0" fillId="34" borderId="56" xfId="157" applyNumberFormat="1" applyFont="1" applyFill="1" applyBorder="1" applyAlignment="1" applyProtection="1">
      <alignment horizontal="right" vertical="center"/>
    </xf>
    <xf numFmtId="194" fontId="38" fillId="32" borderId="56" xfId="157" applyNumberFormat="1" applyFont="1" applyFill="1" applyBorder="1" applyAlignment="1" applyProtection="1">
      <alignment horizontal="right" vertical="center"/>
    </xf>
    <xf numFmtId="0" fontId="0" fillId="32" borderId="56" xfId="157" applyNumberFormat="1" applyFont="1" applyFill="1" applyBorder="1" applyAlignment="1" applyProtection="1">
      <alignment horizontal="right" vertical="center"/>
    </xf>
    <xf numFmtId="0" fontId="38" fillId="34" borderId="21" xfId="157" applyNumberFormat="1" applyFont="1" applyFill="1" applyBorder="1" applyAlignment="1" applyProtection="1">
      <alignment horizontal="left" vertical="center" shrinkToFit="1"/>
    </xf>
    <xf numFmtId="0" fontId="38" fillId="34" borderId="56" xfId="157" applyNumberFormat="1" applyFont="1" applyFill="1" applyBorder="1" applyAlignment="1" applyProtection="1">
      <alignment horizontal="left" vertical="center" shrinkToFit="1"/>
    </xf>
    <xf numFmtId="0" fontId="38" fillId="34" borderId="32" xfId="157" applyNumberFormat="1" applyFont="1" applyFill="1" applyBorder="1" applyAlignment="1" applyProtection="1">
      <alignment horizontal="left" vertical="center" shrinkToFit="1"/>
    </xf>
    <xf numFmtId="0" fontId="38" fillId="0" borderId="0" xfId="157" applyNumberFormat="1" applyFont="1" applyFill="1" applyBorder="1" applyAlignment="1" applyProtection="1">
      <alignment horizontal="left" vertical="top" wrapText="1"/>
    </xf>
    <xf numFmtId="0" fontId="38" fillId="0" borderId="0" xfId="157" applyNumberFormat="1" applyFont="1" applyFill="1" applyBorder="1" applyAlignment="1" applyProtection="1">
      <alignment vertical="top" wrapText="1"/>
    </xf>
    <xf numFmtId="0" fontId="38" fillId="0" borderId="21" xfId="157" applyNumberFormat="1" applyFont="1" applyFill="1" applyBorder="1" applyAlignment="1" applyProtection="1">
      <alignment horizontal="right" vertical="center"/>
    </xf>
    <xf numFmtId="0" fontId="38" fillId="0" borderId="56" xfId="157" applyNumberFormat="1" applyFont="1" applyFill="1" applyBorder="1" applyAlignment="1" applyProtection="1">
      <alignment horizontal="right" vertical="center"/>
    </xf>
    <xf numFmtId="0" fontId="44" fillId="0" borderId="0" xfId="157" applyNumberFormat="1" applyFont="1" applyFill="1" applyBorder="1" applyAlignment="1" applyProtection="1">
      <alignment horizontal="center" vertical="center"/>
    </xf>
    <xf numFmtId="0" fontId="38" fillId="34" borderId="0" xfId="157" applyNumberFormat="1" applyFont="1" applyFill="1" applyBorder="1" applyAlignment="1" applyProtection="1">
      <alignment vertical="center" shrinkToFit="1"/>
    </xf>
    <xf numFmtId="0" fontId="38" fillId="0" borderId="10" xfId="157" applyNumberFormat="1" applyFont="1" applyFill="1" applyBorder="1" applyAlignment="1" applyProtection="1">
      <alignment horizontal="center" vertical="center" textRotation="255"/>
    </xf>
    <xf numFmtId="0" fontId="38" fillId="0" borderId="14" xfId="157" applyNumberFormat="1" applyFont="1" applyFill="1" applyBorder="1" applyAlignment="1" applyProtection="1">
      <alignment horizontal="center" vertical="center" textRotation="255"/>
    </xf>
    <xf numFmtId="0" fontId="38" fillId="0" borderId="11" xfId="157" applyNumberFormat="1" applyFont="1" applyFill="1" applyBorder="1" applyAlignment="1" applyProtection="1">
      <alignment horizontal="center" vertical="center" textRotation="255"/>
    </xf>
    <xf numFmtId="0" fontId="38" fillId="0" borderId="15" xfId="157" applyNumberFormat="1" applyFont="1" applyFill="1" applyBorder="1" applyAlignment="1" applyProtection="1">
      <alignment horizontal="center" vertical="center" textRotation="255"/>
    </xf>
    <xf numFmtId="0" fontId="38" fillId="0" borderId="12" xfId="157" applyNumberFormat="1" applyFont="1" applyFill="1" applyBorder="1" applyAlignment="1" applyProtection="1">
      <alignment horizontal="center" vertical="center" textRotation="255"/>
    </xf>
    <xf numFmtId="0" fontId="38" fillId="0" borderId="22" xfId="157" applyNumberFormat="1" applyFont="1" applyFill="1" applyBorder="1" applyAlignment="1" applyProtection="1">
      <alignment horizontal="center" vertical="center" textRotation="255"/>
    </xf>
    <xf numFmtId="0" fontId="38" fillId="0" borderId="21" xfId="157" applyNumberFormat="1" applyFont="1" applyFill="1" applyBorder="1" applyAlignment="1" applyProtection="1">
      <alignment horizontal="distributed" vertical="center"/>
    </xf>
    <xf numFmtId="0" fontId="38" fillId="0" borderId="56" xfId="157" applyNumberFormat="1" applyFont="1" applyFill="1" applyBorder="1" applyAlignment="1" applyProtection="1">
      <alignment horizontal="distributed" vertical="center"/>
    </xf>
    <xf numFmtId="0" fontId="38" fillId="0" borderId="21" xfId="157" applyNumberFormat="1" applyFont="1" applyFill="1" applyBorder="1" applyAlignment="1" applyProtection="1">
      <alignment horizontal="distributed" vertical="center" shrinkToFit="1"/>
    </xf>
    <xf numFmtId="0" fontId="38" fillId="0" borderId="56" xfId="157" applyNumberFormat="1" applyFont="1" applyFill="1" applyBorder="1" applyAlignment="1" applyProtection="1">
      <alignment horizontal="distributed" vertical="center" shrinkToFit="1"/>
    </xf>
    <xf numFmtId="49" fontId="38" fillId="32" borderId="0" xfId="171" applyNumberFormat="1" applyFont="1" applyFill="1" applyBorder="1" applyAlignment="1" applyProtection="1">
      <alignment horizontal="center" vertical="center"/>
    </xf>
    <xf numFmtId="49" fontId="38" fillId="0" borderId="0" xfId="171" applyNumberFormat="1" applyFont="1" applyFill="1" applyBorder="1" applyAlignment="1" applyProtection="1">
      <alignment horizontal="center" vertical="center"/>
    </xf>
    <xf numFmtId="0" fontId="38" fillId="34" borderId="0" xfId="171" applyNumberFormat="1" applyFont="1" applyFill="1" applyBorder="1" applyAlignment="1" applyProtection="1">
      <alignment vertical="center"/>
    </xf>
    <xf numFmtId="49" fontId="38" fillId="32" borderId="0" xfId="171" applyNumberFormat="1" applyFont="1" applyFill="1" applyBorder="1" applyAlignment="1" applyProtection="1">
      <alignment horizontal="left" vertical="center" shrinkToFit="1"/>
    </xf>
    <xf numFmtId="0" fontId="38" fillId="34" borderId="0" xfId="171" applyNumberFormat="1" applyFont="1" applyFill="1" applyBorder="1" applyAlignment="1" applyProtection="1">
      <alignment horizontal="left" vertical="top" wrapText="1" shrinkToFit="1"/>
    </xf>
    <xf numFmtId="0" fontId="38" fillId="0" borderId="10" xfId="171" applyNumberFormat="1" applyFont="1" applyFill="1" applyBorder="1" applyAlignment="1" applyProtection="1">
      <alignment horizontal="left" vertical="top"/>
    </xf>
    <xf numFmtId="0" fontId="38" fillId="0" borderId="55" xfId="171" applyNumberFormat="1" applyFont="1" applyFill="1" applyBorder="1" applyAlignment="1" applyProtection="1">
      <alignment horizontal="left" vertical="top"/>
    </xf>
    <xf numFmtId="0" fontId="38" fillId="0" borderId="14" xfId="171" applyNumberFormat="1" applyFont="1" applyFill="1" applyBorder="1" applyAlignment="1" applyProtection="1">
      <alignment horizontal="left" vertical="top"/>
    </xf>
    <xf numFmtId="0" fontId="38" fillId="0" borderId="11" xfId="171" applyNumberFormat="1" applyFont="1" applyFill="1" applyBorder="1" applyAlignment="1" applyProtection="1">
      <alignment horizontal="left" vertical="top"/>
    </xf>
    <xf numFmtId="0" fontId="38" fillId="0" borderId="0" xfId="171" applyNumberFormat="1" applyFont="1" applyFill="1" applyBorder="1" applyAlignment="1" applyProtection="1">
      <alignment horizontal="left" vertical="top"/>
    </xf>
    <xf numFmtId="0" fontId="38" fillId="0" borderId="15" xfId="171" applyNumberFormat="1" applyFont="1" applyFill="1" applyBorder="1" applyAlignment="1" applyProtection="1">
      <alignment horizontal="left" vertical="top"/>
    </xf>
    <xf numFmtId="0" fontId="38" fillId="0" borderId="12" xfId="171" applyNumberFormat="1" applyFont="1" applyFill="1" applyBorder="1" applyAlignment="1" applyProtection="1">
      <alignment horizontal="left" vertical="top"/>
    </xf>
    <xf numFmtId="0" fontId="38" fillId="0" borderId="57" xfId="171" applyNumberFormat="1" applyFont="1" applyFill="1" applyBorder="1" applyAlignment="1" applyProtection="1">
      <alignment horizontal="left" vertical="top"/>
    </xf>
    <xf numFmtId="0" fontId="38" fillId="0" borderId="22" xfId="171" applyNumberFormat="1" applyFont="1" applyFill="1" applyBorder="1" applyAlignment="1" applyProtection="1">
      <alignment horizontal="left" vertical="top"/>
    </xf>
    <xf numFmtId="0" fontId="38" fillId="44" borderId="0" xfId="171" applyNumberFormat="1" applyFont="1" applyFill="1" applyBorder="1" applyAlignment="1" applyProtection="1">
      <alignment vertical="center"/>
    </xf>
    <xf numFmtId="0" fontId="42" fillId="34" borderId="0" xfId="171" applyNumberFormat="1" applyFont="1" applyFill="1" applyBorder="1" applyAlignment="1" applyProtection="1">
      <alignment vertical="center"/>
    </xf>
    <xf numFmtId="0" fontId="38" fillId="0" borderId="56" xfId="171" applyNumberFormat="1" applyFont="1" applyFill="1" applyBorder="1" applyAlignment="1" applyProtection="1">
      <alignment vertical="center"/>
    </xf>
    <xf numFmtId="0" fontId="38" fillId="0" borderId="21" xfId="171" applyNumberFormat="1" applyFont="1" applyFill="1" applyBorder="1" applyAlignment="1" applyProtection="1">
      <alignment vertical="center"/>
    </xf>
    <xf numFmtId="0" fontId="38" fillId="0" borderId="32" xfId="171" applyNumberFormat="1" applyFont="1" applyFill="1" applyBorder="1" applyAlignment="1" applyProtection="1">
      <alignment vertical="center"/>
    </xf>
    <xf numFmtId="0" fontId="38" fillId="0" borderId="21" xfId="171" applyNumberFormat="1" applyFont="1" applyFill="1" applyBorder="1" applyAlignment="1" applyProtection="1">
      <alignment vertical="center" shrinkToFit="1"/>
    </xf>
    <xf numFmtId="0" fontId="42" fillId="0" borderId="56" xfId="171" applyNumberFormat="1" applyFont="1" applyFill="1" applyBorder="1" applyAlignment="1" applyProtection="1">
      <alignment vertical="center" shrinkToFit="1"/>
    </xf>
    <xf numFmtId="0" fontId="42" fillId="0" borderId="32" xfId="171" applyNumberFormat="1" applyFont="1" applyFill="1" applyBorder="1" applyAlignment="1" applyProtection="1">
      <alignment vertical="center" shrinkToFit="1"/>
    </xf>
    <xf numFmtId="0" fontId="38" fillId="0" borderId="10" xfId="172" applyNumberFormat="1" applyFont="1" applyFill="1" applyBorder="1" applyAlignment="1" applyProtection="1">
      <alignment horizontal="left" vertical="top"/>
    </xf>
    <xf numFmtId="0" fontId="38" fillId="0" borderId="55" xfId="172" applyNumberFormat="1" applyFont="1" applyFill="1" applyBorder="1" applyAlignment="1" applyProtection="1">
      <alignment horizontal="left" vertical="top"/>
    </xf>
    <xf numFmtId="0" fontId="38" fillId="0" borderId="14" xfId="172" applyNumberFormat="1" applyFont="1" applyFill="1" applyBorder="1" applyAlignment="1" applyProtection="1">
      <alignment horizontal="left" vertical="top"/>
    </xf>
    <xf numFmtId="0" fontId="38" fillId="0" borderId="11" xfId="172" applyNumberFormat="1" applyFont="1" applyFill="1" applyBorder="1" applyAlignment="1" applyProtection="1">
      <alignment horizontal="left" vertical="top"/>
    </xf>
    <xf numFmtId="0" fontId="38" fillId="0" borderId="0" xfId="172" applyNumberFormat="1" applyFont="1" applyFill="1" applyBorder="1" applyAlignment="1" applyProtection="1">
      <alignment horizontal="left" vertical="top"/>
    </xf>
    <xf numFmtId="0" fontId="38" fillId="0" borderId="15" xfId="172" applyNumberFormat="1" applyFont="1" applyFill="1" applyBorder="1" applyAlignment="1" applyProtection="1">
      <alignment horizontal="left" vertical="top"/>
    </xf>
    <xf numFmtId="0" fontId="38" fillId="0" borderId="12" xfId="172" applyNumberFormat="1" applyFont="1" applyFill="1" applyBorder="1" applyAlignment="1" applyProtection="1">
      <alignment horizontal="left" vertical="top"/>
    </xf>
    <xf numFmtId="0" fontId="38" fillId="0" borderId="57" xfId="172" applyNumberFormat="1" applyFont="1" applyFill="1" applyBorder="1" applyAlignment="1" applyProtection="1">
      <alignment horizontal="left" vertical="top"/>
    </xf>
    <xf numFmtId="0" fontId="38" fillId="0" borderId="22" xfId="172" applyNumberFormat="1" applyFont="1" applyFill="1" applyBorder="1" applyAlignment="1" applyProtection="1">
      <alignment horizontal="left" vertical="top"/>
    </xf>
    <xf numFmtId="0" fontId="38" fillId="0" borderId="0" xfId="172" applyNumberFormat="1" applyFont="1" applyFill="1" applyBorder="1" applyAlignment="1" applyProtection="1">
      <alignment horizontal="left" vertical="top" wrapText="1"/>
    </xf>
    <xf numFmtId="0" fontId="38" fillId="0" borderId="21" xfId="172" applyNumberFormat="1" applyFont="1" applyFill="1" applyBorder="1" applyAlignment="1" applyProtection="1">
      <alignment vertical="center" shrinkToFit="1"/>
    </xf>
    <xf numFmtId="0" fontId="42" fillId="0" borderId="56" xfId="172" applyNumberFormat="1" applyFont="1" applyFill="1" applyBorder="1" applyAlignment="1" applyProtection="1">
      <alignment vertical="center" shrinkToFit="1"/>
    </xf>
    <xf numFmtId="0" fontId="42" fillId="0" borderId="32" xfId="172" applyNumberFormat="1" applyFont="1" applyFill="1" applyBorder="1" applyAlignment="1" applyProtection="1">
      <alignment vertical="center" shrinkToFit="1"/>
    </xf>
    <xf numFmtId="0" fontId="38" fillId="0" borderId="56" xfId="172" applyNumberFormat="1" applyFont="1" applyFill="1" applyBorder="1" applyAlignment="1" applyProtection="1">
      <alignment vertical="center"/>
    </xf>
    <xf numFmtId="0" fontId="38" fillId="0" borderId="10" xfId="172" applyNumberFormat="1" applyFont="1" applyFill="1" applyBorder="1" applyAlignment="1" applyProtection="1">
      <alignment horizontal="center" vertical="center"/>
    </xf>
    <xf numFmtId="0" fontId="38" fillId="0" borderId="55" xfId="172" applyNumberFormat="1" applyFont="1" applyFill="1" applyBorder="1" applyAlignment="1" applyProtection="1">
      <alignment horizontal="center" vertical="center"/>
    </xf>
    <xf numFmtId="0" fontId="38" fillId="0" borderId="14" xfId="172" applyNumberFormat="1" applyFont="1" applyFill="1" applyBorder="1" applyAlignment="1" applyProtection="1">
      <alignment horizontal="center" vertical="center"/>
    </xf>
    <xf numFmtId="0" fontId="38" fillId="0" borderId="11" xfId="172" applyNumberFormat="1" applyFont="1" applyFill="1" applyBorder="1" applyAlignment="1" applyProtection="1">
      <alignment horizontal="center" vertical="center"/>
    </xf>
    <xf numFmtId="0" fontId="38" fillId="0" borderId="0" xfId="172" applyNumberFormat="1" applyFont="1" applyFill="1" applyBorder="1" applyAlignment="1" applyProtection="1">
      <alignment horizontal="center" vertical="center"/>
    </xf>
    <xf numFmtId="0" fontId="38" fillId="0" borderId="15" xfId="172" applyNumberFormat="1" applyFont="1" applyFill="1" applyBorder="1" applyAlignment="1" applyProtection="1">
      <alignment horizontal="center" vertical="center"/>
    </xf>
    <xf numFmtId="0" fontId="38" fillId="0" borderId="12" xfId="172" applyNumberFormat="1" applyFont="1" applyFill="1" applyBorder="1" applyAlignment="1" applyProtection="1">
      <alignment horizontal="center" vertical="center"/>
    </xf>
    <xf numFmtId="0" fontId="38" fillId="0" borderId="57" xfId="172" applyNumberFormat="1" applyFont="1" applyFill="1" applyBorder="1" applyAlignment="1" applyProtection="1">
      <alignment horizontal="center" vertical="center"/>
    </xf>
    <xf numFmtId="0" fontId="38" fillId="0" borderId="22" xfId="172" applyNumberFormat="1" applyFont="1" applyFill="1" applyBorder="1" applyAlignment="1" applyProtection="1">
      <alignment horizontal="center" vertical="center"/>
    </xf>
    <xf numFmtId="0" fontId="38" fillId="0" borderId="21" xfId="172" applyNumberFormat="1" applyFont="1" applyFill="1" applyBorder="1" applyAlignment="1" applyProtection="1">
      <alignment vertical="center"/>
    </xf>
    <xf numFmtId="0" fontId="38" fillId="0" borderId="32" xfId="172" applyNumberFormat="1" applyFont="1" applyFill="1" applyBorder="1" applyAlignment="1" applyProtection="1">
      <alignment vertical="center"/>
    </xf>
    <xf numFmtId="0" fontId="38" fillId="0" borderId="21" xfId="172" applyNumberFormat="1" applyFont="1" applyFill="1" applyBorder="1" applyAlignment="1" applyProtection="1">
      <alignment horizontal="left" vertical="center"/>
    </xf>
    <xf numFmtId="0" fontId="38" fillId="0" borderId="56" xfId="172" applyNumberFormat="1" applyFont="1" applyFill="1" applyBorder="1" applyAlignment="1" applyProtection="1">
      <alignment horizontal="left" vertical="center"/>
    </xf>
    <xf numFmtId="0" fontId="38" fillId="0" borderId="32" xfId="172" applyNumberFormat="1" applyFont="1" applyFill="1" applyBorder="1" applyAlignment="1" applyProtection="1">
      <alignment horizontal="left" vertical="center"/>
    </xf>
    <xf numFmtId="49" fontId="38" fillId="0" borderId="0" xfId="172" applyNumberFormat="1" applyFont="1" applyFill="1" applyBorder="1" applyAlignment="1" applyProtection="1">
      <alignment horizontal="left" vertical="center" wrapText="1"/>
    </xf>
    <xf numFmtId="49" fontId="38" fillId="32" borderId="0" xfId="172" applyNumberFormat="1" applyFont="1" applyFill="1" applyBorder="1" applyAlignment="1" applyProtection="1">
      <alignment vertical="center"/>
    </xf>
    <xf numFmtId="49" fontId="38" fillId="32" borderId="0" xfId="172" applyNumberFormat="1" applyFont="1" applyFill="1" applyBorder="1" applyAlignment="1" applyProtection="1">
      <alignment horizontal="center" vertical="center"/>
    </xf>
    <xf numFmtId="49" fontId="38" fillId="0" borderId="0" xfId="172" applyNumberFormat="1" applyFont="1" applyFill="1" applyBorder="1" applyAlignment="1" applyProtection="1">
      <alignment horizontal="center" vertical="center"/>
    </xf>
    <xf numFmtId="49" fontId="38" fillId="32" borderId="0" xfId="69" applyNumberFormat="1" applyFont="1" applyFill="1" applyBorder="1" applyAlignment="1" applyProtection="1">
      <alignment horizontal="left" vertical="center" shrinkToFit="1"/>
    </xf>
    <xf numFmtId="49" fontId="38" fillId="0" borderId="0" xfId="69" applyNumberFormat="1" applyFont="1" applyFill="1" applyBorder="1" applyAlignment="1" applyProtection="1">
      <alignment horizontal="center" vertical="center"/>
    </xf>
    <xf numFmtId="49" fontId="38" fillId="32" borderId="0" xfId="69" applyNumberFormat="1" applyFont="1" applyFill="1" applyBorder="1" applyAlignment="1" applyProtection="1">
      <alignment vertical="center" shrinkToFit="1"/>
    </xf>
    <xf numFmtId="49" fontId="38" fillId="32" borderId="15" xfId="69" applyNumberFormat="1" applyFont="1" applyFill="1" applyBorder="1" applyAlignment="1" applyProtection="1">
      <alignment vertical="center" shrinkToFit="1"/>
    </xf>
    <xf numFmtId="49" fontId="38" fillId="32" borderId="57" xfId="69" applyNumberFormat="1" applyFont="1" applyFill="1" applyBorder="1" applyAlignment="1" applyProtection="1">
      <alignment vertical="center" shrinkToFit="1"/>
    </xf>
    <xf numFmtId="49" fontId="38" fillId="32" borderId="22" xfId="69" applyNumberFormat="1" applyFont="1" applyFill="1" applyBorder="1" applyAlignment="1" applyProtection="1">
      <alignment vertical="center" shrinkToFit="1"/>
    </xf>
    <xf numFmtId="0" fontId="40" fillId="34" borderId="0" xfId="69" applyNumberFormat="1" applyFont="1" applyFill="1" applyBorder="1" applyAlignment="1" applyProtection="1">
      <alignment horizontal="left" vertical="center" shrinkToFit="1"/>
    </xf>
    <xf numFmtId="0" fontId="40" fillId="34" borderId="0" xfId="69" applyNumberFormat="1" applyFont="1" applyFill="1" applyBorder="1" applyAlignment="1" applyProtection="1">
      <alignment horizontal="center" vertical="center" shrinkToFit="1"/>
    </xf>
    <xf numFmtId="0" fontId="40" fillId="34" borderId="31" xfId="69" applyNumberFormat="1" applyFont="1" applyFill="1" applyBorder="1" applyAlignment="1" applyProtection="1">
      <alignment horizontal="left" vertical="center" shrinkToFit="1"/>
    </xf>
    <xf numFmtId="49" fontId="40" fillId="0" borderId="0" xfId="69" applyNumberFormat="1" applyFont="1" applyFill="1" applyBorder="1" applyAlignment="1" applyProtection="1">
      <alignment horizontal="right" vertical="center"/>
    </xf>
    <xf numFmtId="0" fontId="40" fillId="34" borderId="0" xfId="69" applyNumberFormat="1" applyFont="1" applyFill="1" applyBorder="1" applyAlignment="1" applyProtection="1">
      <alignment horizontal="center" vertical="center"/>
    </xf>
    <xf numFmtId="49" fontId="40" fillId="0" borderId="0" xfId="69" applyNumberFormat="1" applyFont="1" applyFill="1" applyBorder="1" applyAlignment="1" applyProtection="1">
      <alignment horizontal="center" vertical="center"/>
    </xf>
    <xf numFmtId="0" fontId="40" fillId="32" borderId="73" xfId="69" applyNumberFormat="1" applyFont="1" applyFill="1" applyBorder="1" applyAlignment="1" applyProtection="1">
      <alignment vertical="center"/>
    </xf>
    <xf numFmtId="0" fontId="40" fillId="34" borderId="31" xfId="69" applyNumberFormat="1" applyFont="1" applyFill="1" applyBorder="1" applyAlignment="1" applyProtection="1">
      <alignment vertical="center"/>
    </xf>
    <xf numFmtId="0" fontId="40" fillId="34" borderId="0" xfId="69" applyNumberFormat="1" applyFont="1" applyFill="1" applyBorder="1" applyAlignment="1" applyProtection="1">
      <alignment vertical="center" shrinkToFit="1"/>
    </xf>
    <xf numFmtId="0" fontId="40" fillId="0" borderId="0" xfId="69" applyNumberFormat="1" applyFont="1" applyFill="1" applyBorder="1" applyAlignment="1" applyProtection="1">
      <alignment horizontal="right" vertical="center"/>
    </xf>
    <xf numFmtId="0" fontId="40" fillId="34" borderId="31" xfId="69" applyNumberFormat="1" applyFont="1" applyFill="1" applyBorder="1" applyAlignment="1" applyProtection="1">
      <alignment vertical="center" shrinkToFit="1"/>
    </xf>
    <xf numFmtId="0" fontId="0" fillId="34" borderId="31" xfId="69" applyNumberFormat="1" applyFont="1" applyFill="1" applyBorder="1" applyAlignment="1" applyProtection="1">
      <alignment vertical="center" shrinkToFit="1"/>
    </xf>
    <xf numFmtId="0" fontId="40" fillId="32" borderId="73" xfId="69" applyNumberFormat="1" applyFont="1" applyFill="1" applyBorder="1" applyAlignment="1" applyProtection="1">
      <alignment horizontal="left" vertical="center" wrapText="1"/>
    </xf>
    <xf numFmtId="0" fontId="40" fillId="32" borderId="0" xfId="69" applyNumberFormat="1" applyFont="1" applyFill="1" applyBorder="1" applyAlignment="1" applyProtection="1">
      <alignment horizontal="left" vertical="center" wrapText="1"/>
    </xf>
    <xf numFmtId="0" fontId="40" fillId="32" borderId="31" xfId="69" applyNumberFormat="1" applyFont="1" applyFill="1" applyBorder="1" applyAlignment="1" applyProtection="1">
      <alignment horizontal="left" vertical="center" wrapText="1"/>
    </xf>
    <xf numFmtId="189" fontId="40" fillId="34" borderId="52" xfId="69" applyNumberFormat="1" applyFont="1" applyFill="1" applyBorder="1" applyAlignment="1" applyProtection="1">
      <alignment horizontal="center" vertical="center"/>
    </xf>
    <xf numFmtId="188" fontId="40" fillId="34" borderId="52" xfId="69" applyNumberFormat="1" applyFont="1" applyFill="1" applyBorder="1" applyAlignment="1" applyProtection="1">
      <alignment horizontal="center" vertical="center"/>
    </xf>
    <xf numFmtId="187" fontId="40" fillId="34" borderId="52" xfId="69" applyNumberFormat="1" applyFont="1" applyFill="1" applyBorder="1" applyAlignment="1" applyProtection="1">
      <alignment horizontal="center" vertical="center"/>
    </xf>
    <xf numFmtId="0" fontId="40" fillId="32" borderId="52" xfId="69" applyNumberFormat="1" applyFont="1" applyFill="1" applyBorder="1" applyAlignment="1" applyProtection="1">
      <alignment horizontal="center" vertical="center"/>
    </xf>
    <xf numFmtId="0" fontId="40" fillId="0" borderId="52" xfId="69" applyNumberFormat="1" applyFont="1" applyFill="1" applyBorder="1" applyAlignment="1" applyProtection="1">
      <alignment horizontal="right" vertical="center"/>
    </xf>
    <xf numFmtId="0" fontId="9" fillId="34"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distributed" vertical="center"/>
    </xf>
    <xf numFmtId="0" fontId="9" fillId="34" borderId="0" xfId="159" applyNumberFormat="1" applyFont="1" applyFill="1" applyBorder="1" applyAlignment="1" applyProtection="1">
      <alignment horizontal="left" vertical="center"/>
    </xf>
    <xf numFmtId="181" fontId="9" fillId="34" borderId="0" xfId="159" applyNumberFormat="1" applyFont="1" applyFill="1" applyBorder="1" applyAlignment="1" applyProtection="1">
      <alignment horizontal="left" vertical="center"/>
    </xf>
    <xf numFmtId="49" fontId="38" fillId="32" borderId="0" xfId="159" applyNumberFormat="1" applyFont="1" applyFill="1" applyBorder="1" applyAlignment="1" applyProtection="1">
      <alignment horizontal="right" vertical="center"/>
    </xf>
    <xf numFmtId="0" fontId="9" fillId="34" borderId="0" xfId="159" applyNumberFormat="1" applyFont="1" applyFill="1" applyBorder="1" applyAlignment="1" applyProtection="1">
      <alignment vertical="center" shrinkToFit="1"/>
    </xf>
    <xf numFmtId="0" fontId="40" fillId="34" borderId="0" xfId="159" applyNumberFormat="1" applyFont="1" applyFill="1" applyBorder="1" applyAlignment="1" applyProtection="1">
      <alignment vertical="center" shrinkToFit="1"/>
    </xf>
    <xf numFmtId="0" fontId="9" fillId="34" borderId="0" xfId="159" applyNumberFormat="1" applyFont="1" applyFill="1" applyBorder="1" applyAlignment="1" applyProtection="1">
      <alignment horizontal="left" vertical="center" shrinkToFit="1"/>
    </xf>
    <xf numFmtId="0" fontId="9" fillId="32" borderId="0" xfId="159" applyNumberFormat="1" applyFont="1" applyFill="1" applyBorder="1" applyAlignment="1" applyProtection="1">
      <alignment vertical="center"/>
    </xf>
    <xf numFmtId="0" fontId="9" fillId="32" borderId="0" xfId="159" applyNumberFormat="1" applyFont="1" applyFill="1" applyBorder="1" applyAlignment="1" applyProtection="1">
      <alignment horizontal="center" vertical="center" shrinkToFit="1"/>
    </xf>
    <xf numFmtId="0" fontId="9" fillId="0" borderId="23" xfId="159" applyNumberFormat="1" applyFont="1" applyFill="1" applyBorder="1" applyAlignment="1" applyProtection="1">
      <alignment vertical="center" shrinkToFit="1"/>
    </xf>
    <xf numFmtId="0" fontId="9" fillId="0" borderId="72" xfId="159" applyNumberFormat="1" applyFont="1" applyFill="1" applyBorder="1" applyAlignment="1" applyProtection="1">
      <alignment vertical="center" shrinkToFit="1"/>
    </xf>
    <xf numFmtId="0" fontId="9" fillId="0" borderId="24" xfId="159" applyNumberFormat="1" applyFont="1" applyFill="1" applyBorder="1" applyAlignment="1" applyProtection="1">
      <alignment vertical="center" shrinkToFit="1"/>
    </xf>
    <xf numFmtId="0" fontId="9" fillId="0" borderId="71" xfId="159" applyNumberFormat="1" applyFont="1" applyFill="1" applyBorder="1" applyAlignment="1" applyProtection="1">
      <alignment vertical="center" shrinkToFit="1"/>
    </xf>
    <xf numFmtId="0" fontId="9" fillId="0" borderId="52" xfId="159" applyNumberFormat="1" applyFont="1" applyFill="1" applyBorder="1" applyAlignment="1" applyProtection="1">
      <alignment vertical="center" shrinkToFit="1"/>
    </xf>
    <xf numFmtId="0" fontId="9" fillId="0" borderId="45" xfId="159" applyNumberFormat="1" applyFont="1" applyFill="1" applyBorder="1" applyAlignment="1" applyProtection="1">
      <alignment vertical="center" shrinkToFit="1"/>
    </xf>
    <xf numFmtId="0" fontId="9" fillId="0" borderId="70" xfId="159" applyNumberFormat="1" applyFont="1" applyFill="1" applyBorder="1" applyAlignment="1" applyProtection="1">
      <alignment vertical="center" shrinkToFit="1"/>
    </xf>
    <xf numFmtId="0" fontId="9" fillId="0" borderId="69" xfId="159" applyNumberFormat="1" applyFont="1" applyFill="1" applyBorder="1" applyAlignment="1" applyProtection="1">
      <alignment vertical="center" shrinkToFit="1"/>
    </xf>
    <xf numFmtId="0" fontId="9" fillId="0" borderId="68" xfId="159" applyNumberFormat="1" applyFont="1" applyFill="1" applyBorder="1" applyAlignment="1" applyProtection="1">
      <alignment vertical="center" shrinkToFit="1"/>
    </xf>
    <xf numFmtId="181" fontId="9" fillId="32" borderId="0" xfId="159" applyNumberFormat="1" applyFont="1" applyFill="1" applyBorder="1" applyAlignment="1" applyProtection="1">
      <alignment horizontal="left" vertical="center"/>
    </xf>
    <xf numFmtId="0" fontId="38" fillId="34" borderId="0" xfId="159" applyNumberFormat="1" applyFont="1" applyFill="1" applyBorder="1" applyAlignment="1" applyProtection="1">
      <alignment vertical="center"/>
    </xf>
    <xf numFmtId="0" fontId="9" fillId="34" borderId="0" xfId="159" applyNumberFormat="1" applyFont="1" applyFill="1" applyBorder="1" applyAlignment="1" applyProtection="1">
      <alignment horizontal="right" vertical="center" shrinkToFit="1"/>
    </xf>
    <xf numFmtId="0" fontId="9" fillId="32" borderId="0" xfId="159" applyNumberFormat="1" applyFont="1" applyFill="1" applyBorder="1" applyAlignment="1" applyProtection="1">
      <alignment horizontal="right" vertical="center" shrinkToFit="1"/>
    </xf>
    <xf numFmtId="49" fontId="9" fillId="32" borderId="0" xfId="159" applyNumberFormat="1" applyFont="1" applyFill="1" applyBorder="1" applyAlignment="1" applyProtection="1">
      <alignment vertical="center"/>
    </xf>
    <xf numFmtId="0" fontId="40" fillId="34" borderId="0" xfId="159" applyNumberFormat="1" applyFont="1" applyFill="1" applyBorder="1" applyAlignment="1" applyProtection="1">
      <alignment horizontal="left" vertical="center" shrinkToFit="1"/>
    </xf>
    <xf numFmtId="0" fontId="9" fillId="32" borderId="0" xfId="159" applyNumberFormat="1" applyFont="1" applyFill="1" applyBorder="1" applyAlignment="1" applyProtection="1">
      <alignment vertical="center" shrinkToFit="1"/>
    </xf>
    <xf numFmtId="0" fontId="9" fillId="32" borderId="0" xfId="159" applyNumberFormat="1" applyFont="1" applyFill="1" applyBorder="1" applyAlignment="1" applyProtection="1">
      <alignment horizontal="left" vertical="center" shrinkToFit="1"/>
    </xf>
    <xf numFmtId="0" fontId="40" fillId="32" borderId="0" xfId="159" applyNumberFormat="1" applyFont="1" applyFill="1" applyBorder="1" applyAlignment="1" applyProtection="1">
      <alignment vertical="center" shrinkToFit="1"/>
    </xf>
    <xf numFmtId="0" fontId="9" fillId="32" borderId="0" xfId="159" applyNumberFormat="1" applyFont="1" applyFill="1" applyBorder="1" applyAlignment="1" applyProtection="1">
      <alignment horizontal="center" vertical="center"/>
    </xf>
    <xf numFmtId="0" fontId="40" fillId="32" borderId="0" xfId="159" applyNumberFormat="1" applyFont="1" applyFill="1" applyBorder="1" applyAlignment="1" applyProtection="1">
      <alignment horizontal="center" vertical="center"/>
    </xf>
    <xf numFmtId="0" fontId="40" fillId="32" borderId="0" xfId="159" applyNumberFormat="1" applyFont="1" applyFill="1" applyBorder="1" applyAlignment="1" applyProtection="1">
      <alignment vertical="center"/>
    </xf>
    <xf numFmtId="0" fontId="9" fillId="32" borderId="0" xfId="159" applyNumberFormat="1" applyFont="1" applyFill="1" applyBorder="1" applyAlignment="1" applyProtection="1">
      <alignment horizontal="right" vertical="center"/>
    </xf>
    <xf numFmtId="0" fontId="40" fillId="32" borderId="0" xfId="159" applyNumberFormat="1" applyFont="1" applyFill="1" applyBorder="1" applyAlignment="1" applyProtection="1">
      <alignment horizontal="right" vertical="center"/>
    </xf>
    <xf numFmtId="0" fontId="40" fillId="34" borderId="0" xfId="159" applyNumberFormat="1" applyFont="1" applyFill="1" applyBorder="1" applyAlignment="1" applyProtection="1">
      <alignment vertical="center"/>
    </xf>
    <xf numFmtId="0" fontId="9" fillId="34" borderId="0" xfId="159" applyNumberFormat="1" applyFont="1" applyFill="1" applyBorder="1" applyAlignment="1" applyProtection="1">
      <alignment horizontal="center" vertical="center"/>
    </xf>
    <xf numFmtId="0" fontId="40" fillId="34" borderId="0" xfId="159" applyNumberFormat="1" applyFont="1" applyFill="1" applyBorder="1" applyAlignment="1" applyProtection="1">
      <alignment horizontal="center" vertical="center"/>
    </xf>
    <xf numFmtId="0" fontId="9" fillId="34" borderId="0" xfId="159" applyNumberFormat="1" applyFont="1" applyFill="1" applyBorder="1" applyAlignment="1" applyProtection="1">
      <alignment horizontal="right" vertical="center"/>
    </xf>
    <xf numFmtId="0" fontId="40" fillId="34" borderId="0" xfId="159" applyNumberFormat="1" applyFont="1" applyFill="1" applyBorder="1" applyAlignment="1" applyProtection="1">
      <alignment horizontal="right" vertical="center"/>
    </xf>
    <xf numFmtId="193" fontId="38" fillId="32" borderId="0" xfId="159" applyNumberFormat="1" applyFont="1" applyFill="1" applyBorder="1" applyAlignment="1" applyProtection="1">
      <alignment horizontal="right" vertical="center"/>
    </xf>
    <xf numFmtId="0" fontId="38" fillId="34" borderId="0" xfId="159" applyNumberFormat="1" applyFont="1" applyFill="1" applyBorder="1" applyAlignment="1" applyProtection="1">
      <alignment vertical="center" shrinkToFit="1"/>
    </xf>
    <xf numFmtId="49" fontId="38" fillId="0" borderId="0" xfId="159" applyNumberFormat="1" applyFont="1" applyFill="1" applyBorder="1" applyAlignment="1" applyProtection="1">
      <alignment horizontal="distributed" vertical="center"/>
    </xf>
    <xf numFmtId="0" fontId="9" fillId="44" borderId="0" xfId="159" applyNumberFormat="1" applyFont="1" applyFill="1" applyBorder="1" applyAlignment="1" applyProtection="1">
      <alignment vertical="center"/>
    </xf>
    <xf numFmtId="0" fontId="39" fillId="34" borderId="0" xfId="159" applyNumberFormat="1" applyFont="1" applyFill="1" applyBorder="1" applyAlignment="1" applyProtection="1">
      <alignment vertical="center" shrinkToFit="1"/>
    </xf>
    <xf numFmtId="0" fontId="55" fillId="34" borderId="0" xfId="159" applyNumberFormat="1" applyFont="1" applyFill="1" applyBorder="1" applyAlignment="1" applyProtection="1">
      <alignment vertical="center" shrinkToFit="1"/>
    </xf>
    <xf numFmtId="0" fontId="9" fillId="32" borderId="57" xfId="159" applyNumberFormat="1" applyFont="1" applyFill="1" applyBorder="1" applyAlignment="1" applyProtection="1">
      <alignment vertical="center"/>
    </xf>
    <xf numFmtId="0" fontId="9" fillId="32" borderId="0" xfId="159" applyNumberFormat="1" applyFont="1" applyFill="1" applyBorder="1" applyAlignment="1" applyProtection="1">
      <alignment horizontal="left" vertical="center"/>
    </xf>
    <xf numFmtId="49" fontId="40" fillId="32"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right" vertical="center"/>
    </xf>
    <xf numFmtId="0" fontId="70" fillId="0" borderId="0" xfId="159" applyNumberFormat="1" applyFont="1" applyFill="1" applyBorder="1" applyAlignment="1" applyProtection="1">
      <alignment vertical="center" shrinkToFit="1"/>
    </xf>
    <xf numFmtId="49" fontId="9" fillId="32" borderId="0" xfId="159" applyNumberFormat="1" applyFont="1" applyFill="1" applyBorder="1" applyAlignment="1" applyProtection="1">
      <alignment horizontal="center" vertical="center"/>
    </xf>
    <xf numFmtId="49" fontId="40" fillId="32" borderId="0" xfId="159" applyNumberFormat="1" applyFont="1" applyFill="1" applyBorder="1" applyAlignment="1" applyProtection="1">
      <alignment horizontal="center" vertical="center"/>
    </xf>
    <xf numFmtId="0" fontId="9" fillId="0" borderId="0" xfId="159" applyNumberFormat="1" applyFont="1" applyFill="1" applyBorder="1" applyAlignment="1" applyProtection="1">
      <alignment vertical="center"/>
    </xf>
    <xf numFmtId="0" fontId="9" fillId="0" borderId="0" xfId="159" applyNumberFormat="1" applyFont="1" applyFill="1" applyBorder="1" applyAlignment="1" applyProtection="1">
      <alignment vertical="distributed" wrapText="1"/>
    </xf>
    <xf numFmtId="49" fontId="38" fillId="0" borderId="70" xfId="159" applyNumberFormat="1" applyFont="1" applyFill="1" applyBorder="1" applyAlignment="1" applyProtection="1">
      <alignment vertical="center" shrinkToFit="1"/>
    </xf>
    <xf numFmtId="49" fontId="38" fillId="0" borderId="69" xfId="159" applyNumberFormat="1" applyFont="1" applyFill="1" applyBorder="1" applyAlignment="1" applyProtection="1">
      <alignment vertical="center" shrinkToFit="1"/>
    </xf>
    <xf numFmtId="49" fontId="38" fillId="0" borderId="68" xfId="159" applyNumberFormat="1" applyFont="1" applyFill="1" applyBorder="1" applyAlignment="1" applyProtection="1">
      <alignment vertical="center" shrinkToFit="1"/>
    </xf>
    <xf numFmtId="49" fontId="38" fillId="0" borderId="23" xfId="159" applyNumberFormat="1" applyFont="1" applyFill="1" applyBorder="1" applyAlignment="1" applyProtection="1">
      <alignment vertical="center" shrinkToFit="1"/>
    </xf>
    <xf numFmtId="49" fontId="38" fillId="0" borderId="72" xfId="159" applyNumberFormat="1" applyFont="1" applyFill="1" applyBorder="1" applyAlignment="1" applyProtection="1">
      <alignment vertical="center" shrinkToFit="1"/>
    </xf>
    <xf numFmtId="49" fontId="38" fillId="0" borderId="24" xfId="159" applyNumberFormat="1" applyFont="1" applyFill="1" applyBorder="1" applyAlignment="1" applyProtection="1">
      <alignment vertical="center" shrinkToFit="1"/>
    </xf>
    <xf numFmtId="49" fontId="38" fillId="0" borderId="71" xfId="159" applyNumberFormat="1" applyFont="1" applyFill="1" applyBorder="1" applyAlignment="1" applyProtection="1">
      <alignment vertical="center" shrinkToFit="1"/>
    </xf>
    <xf numFmtId="49" fontId="38" fillId="0" borderId="52" xfId="159" applyNumberFormat="1" applyFont="1" applyFill="1" applyBorder="1" applyAlignment="1" applyProtection="1">
      <alignment vertical="center" shrinkToFit="1"/>
    </xf>
    <xf numFmtId="49" fontId="38" fillId="0" borderId="45" xfId="159" applyNumberFormat="1" applyFont="1" applyFill="1" applyBorder="1" applyAlignment="1" applyProtection="1">
      <alignment vertical="center" shrinkToFit="1"/>
    </xf>
    <xf numFmtId="181" fontId="38" fillId="34" borderId="0" xfId="159" applyNumberFormat="1" applyFont="1" applyFill="1" applyBorder="1" applyAlignment="1" applyProtection="1">
      <alignment vertical="center"/>
    </xf>
    <xf numFmtId="49" fontId="38" fillId="32" borderId="0" xfId="159" applyNumberFormat="1" applyFont="1" applyFill="1" applyBorder="1" applyAlignment="1" applyProtection="1">
      <alignment horizontal="left" vertical="center"/>
    </xf>
    <xf numFmtId="0" fontId="38" fillId="32" borderId="0" xfId="159" applyNumberFormat="1" applyFont="1" applyFill="1" applyBorder="1" applyAlignment="1" applyProtection="1">
      <alignment vertical="center" shrinkToFit="1"/>
    </xf>
    <xf numFmtId="0" fontId="38" fillId="34" borderId="0" xfId="159" applyNumberFormat="1" applyFont="1" applyFill="1" applyBorder="1" applyAlignment="1" applyProtection="1">
      <alignment horizontal="center" vertical="center" shrinkToFit="1"/>
    </xf>
    <xf numFmtId="0" fontId="38" fillId="34" borderId="0" xfId="159" applyNumberFormat="1" applyFont="1" applyFill="1" applyBorder="1" applyAlignment="1" applyProtection="1">
      <alignment horizontal="center" vertical="center"/>
    </xf>
    <xf numFmtId="0" fontId="38" fillId="32" borderId="0" xfId="159" applyNumberFormat="1" applyFont="1" applyFill="1" applyBorder="1" applyAlignment="1" applyProtection="1">
      <alignment horizontal="center" vertical="center"/>
    </xf>
    <xf numFmtId="0" fontId="38" fillId="32" borderId="0" xfId="159" applyNumberFormat="1" applyFont="1" applyFill="1" applyBorder="1" applyAlignment="1" applyProtection="1">
      <alignment horizontal="center" vertical="center" shrinkToFit="1"/>
    </xf>
    <xf numFmtId="0" fontId="38" fillId="32" borderId="0" xfId="159" applyNumberFormat="1" applyFont="1" applyFill="1" applyBorder="1" applyAlignment="1" applyProtection="1">
      <alignment vertical="center"/>
    </xf>
    <xf numFmtId="0" fontId="9" fillId="0" borderId="0" xfId="159" applyNumberFormat="1" applyFont="1" applyFill="1" applyBorder="1" applyAlignment="1" applyProtection="1">
      <alignment horizontal="left" vertical="center"/>
    </xf>
    <xf numFmtId="0" fontId="40" fillId="0" borderId="0" xfId="159" applyNumberFormat="1" applyFont="1" applyFill="1" applyBorder="1" applyAlignment="1" applyProtection="1">
      <alignment vertical="center"/>
    </xf>
    <xf numFmtId="0" fontId="73" fillId="0" borderId="0" xfId="159" applyNumberFormat="1" applyFont="1" applyFill="1" applyBorder="1" applyAlignment="1" applyProtection="1">
      <alignment vertical="center"/>
    </xf>
    <xf numFmtId="0" fontId="35" fillId="0" borderId="56" xfId="173" applyNumberFormat="1" applyFont="1" applyFill="1" applyBorder="1" applyAlignment="1" applyProtection="1">
      <alignment horizontal="center" vertical="center"/>
    </xf>
    <xf numFmtId="0" fontId="41" fillId="0" borderId="10" xfId="173" applyNumberFormat="1" applyFont="1" applyFill="1" applyBorder="1" applyAlignment="1" applyProtection="1">
      <alignment horizontal="center" vertical="center" wrapText="1"/>
    </xf>
    <xf numFmtId="0" fontId="41" fillId="0" borderId="55" xfId="173" applyNumberFormat="1" applyFont="1" applyFill="1" applyBorder="1" applyAlignment="1" applyProtection="1">
      <alignment horizontal="center" vertical="center" wrapText="1"/>
    </xf>
    <xf numFmtId="0" fontId="41" fillId="0" borderId="14" xfId="173" applyNumberFormat="1" applyFont="1" applyFill="1" applyBorder="1" applyAlignment="1" applyProtection="1">
      <alignment horizontal="center" vertical="center" wrapText="1"/>
    </xf>
    <xf numFmtId="0" fontId="41" fillId="0" borderId="12" xfId="173" applyNumberFormat="1" applyFont="1" applyFill="1" applyBorder="1" applyAlignment="1" applyProtection="1">
      <alignment horizontal="center" vertical="center" wrapText="1"/>
    </xf>
    <xf numFmtId="0" fontId="41" fillId="0" borderId="57" xfId="173" applyNumberFormat="1" applyFont="1" applyFill="1" applyBorder="1" applyAlignment="1" applyProtection="1">
      <alignment horizontal="center" vertical="center" wrapText="1"/>
    </xf>
    <xf numFmtId="0" fontId="41" fillId="0" borderId="22" xfId="173" applyNumberFormat="1" applyFont="1" applyFill="1" applyBorder="1" applyAlignment="1" applyProtection="1">
      <alignment horizontal="center" vertical="center" wrapText="1"/>
    </xf>
    <xf numFmtId="0" fontId="38" fillId="34" borderId="0" xfId="173" applyNumberFormat="1" applyFont="1" applyFill="1" applyBorder="1" applyAlignment="1" applyProtection="1">
      <alignment vertical="center" shrinkToFit="1"/>
    </xf>
    <xf numFmtId="0" fontId="40" fillId="0" borderId="21" xfId="173" applyNumberFormat="1" applyFont="1" applyFill="1" applyBorder="1" applyAlignment="1" applyProtection="1">
      <alignment horizontal="center" vertical="center"/>
    </xf>
    <xf numFmtId="0" fontId="40" fillId="0" borderId="56" xfId="173" applyNumberFormat="1" applyFont="1" applyFill="1" applyBorder="1" applyAlignment="1" applyProtection="1">
      <alignment horizontal="center" vertical="center"/>
    </xf>
    <xf numFmtId="0" fontId="40" fillId="0" borderId="32" xfId="173" applyNumberFormat="1" applyFont="1" applyFill="1" applyBorder="1" applyAlignment="1" applyProtection="1">
      <alignment horizontal="center" vertical="center"/>
    </xf>
    <xf numFmtId="0" fontId="38" fillId="0" borderId="10" xfId="173" applyNumberFormat="1" applyFont="1" applyFill="1" applyBorder="1" applyAlignment="1" applyProtection="1">
      <alignment horizontal="center" vertical="center" textRotation="255"/>
    </xf>
    <xf numFmtId="0" fontId="38" fillId="0" borderId="14" xfId="173" applyNumberFormat="1" applyFont="1" applyFill="1" applyBorder="1" applyAlignment="1" applyProtection="1">
      <alignment horizontal="center" vertical="center" textRotation="255"/>
    </xf>
    <xf numFmtId="0" fontId="38" fillId="0" borderId="11" xfId="173" applyNumberFormat="1" applyFont="1" applyFill="1" applyBorder="1" applyAlignment="1" applyProtection="1">
      <alignment horizontal="center" vertical="center" textRotation="255"/>
    </xf>
    <xf numFmtId="0" fontId="38" fillId="0" borderId="15" xfId="173" applyNumberFormat="1" applyFont="1" applyFill="1" applyBorder="1" applyAlignment="1" applyProtection="1">
      <alignment horizontal="center" vertical="center" textRotation="255"/>
    </xf>
    <xf numFmtId="0" fontId="38" fillId="0" borderId="12" xfId="173" applyNumberFormat="1" applyFont="1" applyFill="1" applyBorder="1" applyAlignment="1" applyProtection="1">
      <alignment horizontal="center" vertical="center" textRotation="255"/>
    </xf>
    <xf numFmtId="0" fontId="38" fillId="0" borderId="22" xfId="173" applyNumberFormat="1" applyFont="1" applyFill="1" applyBorder="1" applyAlignment="1" applyProtection="1">
      <alignment horizontal="center" vertical="center" textRotation="255"/>
    </xf>
    <xf numFmtId="0" fontId="38" fillId="0" borderId="21" xfId="173" applyNumberFormat="1" applyFont="1" applyFill="1" applyBorder="1" applyAlignment="1" applyProtection="1">
      <alignment horizontal="left" vertical="center" shrinkToFit="1"/>
    </xf>
    <xf numFmtId="0" fontId="38" fillId="0" borderId="56" xfId="173" applyNumberFormat="1" applyFont="1" applyFill="1" applyBorder="1" applyAlignment="1" applyProtection="1">
      <alignment horizontal="left" vertical="center" shrinkToFit="1"/>
    </xf>
    <xf numFmtId="0" fontId="38" fillId="0" borderId="32" xfId="173" applyNumberFormat="1" applyFont="1" applyFill="1" applyBorder="1" applyAlignment="1" applyProtection="1">
      <alignment horizontal="left" vertical="center" shrinkToFit="1"/>
    </xf>
    <xf numFmtId="181" fontId="38" fillId="34" borderId="56" xfId="173" applyNumberFormat="1" applyFont="1" applyFill="1" applyBorder="1" applyAlignment="1" applyProtection="1">
      <alignment horizontal="left" vertical="center"/>
    </xf>
    <xf numFmtId="0" fontId="41" fillId="0" borderId="12" xfId="173" applyNumberFormat="1" applyFont="1" applyFill="1" applyBorder="1" applyAlignment="1" applyProtection="1">
      <alignment horizontal="center" vertical="center"/>
    </xf>
    <xf numFmtId="0" fontId="41" fillId="0" borderId="57" xfId="173" applyNumberFormat="1" applyFont="1" applyFill="1" applyBorder="1" applyAlignment="1" applyProtection="1">
      <alignment horizontal="center" vertical="center"/>
    </xf>
    <xf numFmtId="0" fontId="41" fillId="0" borderId="22" xfId="173" applyNumberFormat="1" applyFont="1" applyFill="1" applyBorder="1" applyAlignment="1" applyProtection="1">
      <alignment horizontal="center" vertical="center"/>
    </xf>
    <xf numFmtId="0" fontId="50" fillId="0" borderId="90" xfId="173" applyNumberFormat="1" applyFont="1" applyFill="1" applyBorder="1" applyAlignment="1" applyProtection="1">
      <alignment horizontal="center" vertical="center" wrapText="1" shrinkToFit="1"/>
    </xf>
    <xf numFmtId="0" fontId="46" fillId="0" borderId="56" xfId="173" applyNumberFormat="1" applyFont="1" applyFill="1" applyBorder="1" applyAlignment="1" applyProtection="1">
      <alignment horizontal="center" vertical="center" wrapText="1" shrinkToFit="1"/>
    </xf>
    <xf numFmtId="0" fontId="46" fillId="0" borderId="32" xfId="173" applyNumberFormat="1" applyFont="1" applyFill="1" applyBorder="1" applyAlignment="1" applyProtection="1">
      <alignment horizontal="center" vertical="center" wrapText="1" shrinkToFit="1"/>
    </xf>
    <xf numFmtId="0" fontId="38" fillId="0" borderId="56" xfId="173" applyNumberFormat="1" applyFont="1" applyFill="1" applyBorder="1" applyAlignment="1" applyProtection="1">
      <alignment horizontal="center" vertical="center"/>
    </xf>
    <xf numFmtId="0" fontId="41" fillId="0" borderId="0" xfId="173" applyNumberFormat="1" applyFont="1" applyFill="1" applyBorder="1" applyAlignment="1" applyProtection="1">
      <alignment horizontal="left" vertical="top" wrapText="1"/>
    </xf>
    <xf numFmtId="0" fontId="38" fillId="34" borderId="56" xfId="173" applyNumberFormat="1" applyFont="1" applyFill="1" applyBorder="1" applyAlignment="1" applyProtection="1">
      <alignment horizontal="left" vertical="center"/>
    </xf>
    <xf numFmtId="0" fontId="38" fillId="34" borderId="32" xfId="173" applyNumberFormat="1" applyFont="1" applyFill="1" applyBorder="1" applyAlignment="1" applyProtection="1">
      <alignment horizontal="left" vertical="center"/>
    </xf>
    <xf numFmtId="0" fontId="44" fillId="0" borderId="0" xfId="173" applyNumberFormat="1" applyFont="1" applyFill="1" applyBorder="1" applyAlignment="1" applyProtection="1">
      <alignment horizontal="center" vertical="center"/>
    </xf>
    <xf numFmtId="0" fontId="38" fillId="0" borderId="0" xfId="173" applyNumberFormat="1" applyFont="1" applyFill="1" applyBorder="1" applyAlignment="1" applyProtection="1">
      <alignment horizontal="center" vertical="center"/>
    </xf>
    <xf numFmtId="0" fontId="38" fillId="0" borderId="21" xfId="173" applyNumberFormat="1" applyFont="1" applyFill="1" applyBorder="1" applyAlignment="1" applyProtection="1">
      <alignment horizontal="left" vertical="center"/>
    </xf>
    <xf numFmtId="0" fontId="38" fillId="0" borderId="56" xfId="173" applyNumberFormat="1" applyFont="1" applyFill="1" applyBorder="1" applyAlignment="1" applyProtection="1">
      <alignment horizontal="left" vertical="center"/>
    </xf>
    <xf numFmtId="0" fontId="38" fillId="0" borderId="32" xfId="173" applyNumberFormat="1" applyFont="1" applyFill="1" applyBorder="1" applyAlignment="1" applyProtection="1">
      <alignment horizontal="left" vertical="center"/>
    </xf>
    <xf numFmtId="0" fontId="35" fillId="34" borderId="21" xfId="173" applyNumberFormat="1" applyFont="1" applyFill="1" applyBorder="1" applyAlignment="1" applyProtection="1">
      <alignment horizontal="left" vertical="center" shrinkToFit="1"/>
    </xf>
    <xf numFmtId="0" fontId="35" fillId="34" borderId="56" xfId="173" applyNumberFormat="1" applyFont="1" applyFill="1" applyBorder="1" applyAlignment="1" applyProtection="1">
      <alignment horizontal="left" vertical="center" shrinkToFit="1"/>
    </xf>
    <xf numFmtId="0" fontId="35" fillId="34" borderId="32" xfId="173" applyNumberFormat="1" applyFont="1" applyFill="1" applyBorder="1" applyAlignment="1" applyProtection="1">
      <alignment horizontal="left" vertical="center" shrinkToFit="1"/>
    </xf>
    <xf numFmtId="193" fontId="38" fillId="32" borderId="0" xfId="173" applyNumberFormat="1" applyFont="1" applyFill="1" applyBorder="1" applyAlignment="1" applyProtection="1">
      <alignment horizontal="right" vertical="center"/>
    </xf>
    <xf numFmtId="0" fontId="50" fillId="0" borderId="10" xfId="173" applyNumberFormat="1" applyFont="1" applyFill="1" applyBorder="1" applyAlignment="1" applyProtection="1">
      <alignment horizontal="center" vertical="center" wrapText="1"/>
    </xf>
    <xf numFmtId="0" fontId="50" fillId="0" borderId="55" xfId="173" applyNumberFormat="1" applyFont="1" applyFill="1" applyBorder="1" applyAlignment="1" applyProtection="1">
      <alignment horizontal="center" vertical="center" wrapText="1"/>
    </xf>
    <xf numFmtId="0" fontId="50" fillId="0" borderId="14" xfId="173" applyNumberFormat="1" applyFont="1" applyFill="1" applyBorder="1" applyAlignment="1" applyProtection="1">
      <alignment horizontal="center" vertical="center" wrapText="1"/>
    </xf>
    <xf numFmtId="0" fontId="50" fillId="0" borderId="12" xfId="173" applyNumberFormat="1" applyFont="1" applyFill="1" applyBorder="1" applyAlignment="1" applyProtection="1">
      <alignment horizontal="center" vertical="center" wrapText="1"/>
    </xf>
    <xf numFmtId="0" fontId="50" fillId="0" borderId="57" xfId="173" applyNumberFormat="1" applyFont="1" applyFill="1" applyBorder="1" applyAlignment="1" applyProtection="1">
      <alignment horizontal="center" vertical="center" wrapText="1"/>
    </xf>
    <xf numFmtId="0" fontId="50" fillId="0" borderId="22" xfId="173" applyNumberFormat="1" applyFont="1" applyFill="1" applyBorder="1" applyAlignment="1" applyProtection="1">
      <alignment horizontal="center" vertical="center" wrapText="1"/>
    </xf>
    <xf numFmtId="0" fontId="38" fillId="0" borderId="89" xfId="173" applyNumberFormat="1" applyFont="1" applyFill="1" applyBorder="1" applyAlignment="1" applyProtection="1">
      <alignment horizontal="center" vertical="center"/>
    </xf>
    <xf numFmtId="0" fontId="43" fillId="0" borderId="13" xfId="173" applyNumberFormat="1" applyFont="1" applyFill="1" applyBorder="1" applyAlignment="1" applyProtection="1">
      <alignment horizontal="left" vertical="top" wrapText="1"/>
    </xf>
    <xf numFmtId="0" fontId="43" fillId="0" borderId="46" xfId="173" applyNumberFormat="1" applyFont="1" applyFill="1" applyBorder="1" applyAlignment="1" applyProtection="1">
      <alignment horizontal="left" vertical="top" wrapText="1"/>
    </xf>
    <xf numFmtId="0" fontId="39" fillId="34" borderId="0" xfId="174" applyNumberFormat="1" applyFont="1" applyFill="1" applyBorder="1" applyAlignment="1" applyProtection="1">
      <alignment vertical="center" shrinkToFit="1"/>
    </xf>
    <xf numFmtId="0" fontId="104" fillId="0" borderId="0" xfId="51" applyNumberFormat="1" applyFont="1" applyFill="1" applyBorder="1" applyAlignment="1" applyProtection="1">
      <alignment horizontal="left" vertical="center"/>
    </xf>
    <xf numFmtId="0" fontId="91" fillId="0" borderId="57" xfId="51" applyNumberFormat="1" applyFont="1" applyFill="1" applyBorder="1" applyAlignment="1" applyProtection="1">
      <alignment horizontal="left" shrinkToFit="1"/>
    </xf>
    <xf numFmtId="0" fontId="91" fillId="32" borderId="127" xfId="51" applyNumberFormat="1" applyFont="1" applyFill="1" applyBorder="1" applyAlignment="1" applyProtection="1">
      <alignment horizontal="center" vertical="center" shrinkToFit="1"/>
    </xf>
    <xf numFmtId="0" fontId="91" fillId="32" borderId="109" xfId="51" applyNumberFormat="1" applyFont="1" applyFill="1" applyBorder="1" applyAlignment="1" applyProtection="1">
      <alignment horizontal="center" vertical="center" shrinkToFit="1"/>
    </xf>
    <xf numFmtId="0" fontId="91" fillId="32" borderId="111" xfId="51" applyNumberFormat="1" applyFont="1" applyFill="1" applyBorder="1" applyAlignment="1" applyProtection="1">
      <alignment horizontal="center" vertical="center" shrinkToFit="1"/>
    </xf>
    <xf numFmtId="0" fontId="123" fillId="0" borderId="0" xfId="51" applyNumberFormat="1" applyFont="1" applyFill="1" applyBorder="1" applyAlignment="1" applyProtection="1">
      <alignment horizontal="right"/>
    </xf>
    <xf numFmtId="0" fontId="91" fillId="32" borderId="112" xfId="51" applyNumberFormat="1" applyFont="1" applyFill="1" applyBorder="1" applyAlignment="1" applyProtection="1">
      <alignment horizontal="left" vertical="center" shrinkToFit="1"/>
    </xf>
    <xf numFmtId="0" fontId="91" fillId="32" borderId="113" xfId="51" applyNumberFormat="1" applyFont="1" applyFill="1" applyBorder="1" applyAlignment="1" applyProtection="1">
      <alignment horizontal="left" shrinkToFit="1"/>
    </xf>
    <xf numFmtId="0" fontId="91" fillId="32" borderId="114" xfId="51" applyNumberFormat="1" applyFont="1" applyFill="1" applyBorder="1" applyAlignment="1" applyProtection="1">
      <alignment horizontal="left" shrinkToFit="1"/>
    </xf>
    <xf numFmtId="0" fontId="81" fillId="0" borderId="101" xfId="51" applyNumberFormat="1" applyFont="1" applyFill="1" applyBorder="1" applyAlignment="1" applyProtection="1">
      <alignment horizontal="center" vertical="center"/>
    </xf>
    <xf numFmtId="0" fontId="81" fillId="0" borderId="102" xfId="51" applyNumberFormat="1" applyFont="1" applyFill="1" applyBorder="1" applyAlignment="1" applyProtection="1">
      <alignment horizontal="center" vertical="center"/>
    </xf>
    <xf numFmtId="0" fontId="81" fillId="0" borderId="103" xfId="51" applyNumberFormat="1" applyFont="1" applyFill="1" applyBorder="1" applyAlignment="1" applyProtection="1">
      <alignment horizontal="center" vertical="center"/>
    </xf>
    <xf numFmtId="0" fontId="91" fillId="32" borderId="104" xfId="51" applyNumberFormat="1" applyFont="1" applyFill="1" applyBorder="1" applyAlignment="1" applyProtection="1">
      <alignment horizontal="left" vertical="center"/>
    </xf>
    <xf numFmtId="0" fontId="91" fillId="32" borderId="105" xfId="51" applyNumberFormat="1" applyFont="1" applyFill="1" applyBorder="1" applyAlignment="1" applyProtection="1">
      <alignment horizontal="left" vertical="center"/>
    </xf>
    <xf numFmtId="0" fontId="91" fillId="32" borderId="106" xfId="51" applyNumberFormat="1" applyFont="1" applyFill="1" applyBorder="1" applyAlignment="1" applyProtection="1">
      <alignment horizontal="left" vertical="center"/>
    </xf>
    <xf numFmtId="0" fontId="91" fillId="32" borderId="51" xfId="51" applyNumberFormat="1" applyFont="1" applyFill="1" applyBorder="1" applyAlignment="1" applyProtection="1">
      <alignment horizontal="left" vertical="center" shrinkToFit="1"/>
    </xf>
    <xf numFmtId="0" fontId="91" fillId="32" borderId="52" xfId="51" applyNumberFormat="1" applyFont="1" applyFill="1" applyBorder="1" applyAlignment="1" applyProtection="1">
      <alignment horizontal="left" vertical="center" shrinkToFit="1"/>
    </xf>
    <xf numFmtId="0" fontId="81" fillId="0" borderId="36" xfId="51" applyNumberFormat="1" applyFont="1" applyFill="1" applyBorder="1" applyAlignment="1" applyProtection="1">
      <alignment horizontal="center" vertical="center"/>
    </xf>
    <xf numFmtId="0" fontId="91" fillId="32" borderId="36" xfId="51" applyNumberFormat="1" applyFont="1" applyFill="1" applyBorder="1" applyAlignment="1" applyProtection="1">
      <alignment horizontal="left" shrinkToFit="1"/>
    </xf>
    <xf numFmtId="0" fontId="91" fillId="32" borderId="142" xfId="51" applyNumberFormat="1" applyFont="1" applyFill="1" applyBorder="1" applyAlignment="1" applyProtection="1">
      <alignment horizontal="left" shrinkToFit="1"/>
    </xf>
    <xf numFmtId="0" fontId="91" fillId="32" borderId="108" xfId="51" applyNumberFormat="1" applyFont="1" applyFill="1" applyBorder="1" applyAlignment="1" applyProtection="1">
      <alignment horizontal="center" vertical="center" shrinkToFit="1"/>
    </xf>
    <xf numFmtId="0" fontId="91" fillId="32" borderId="110" xfId="51" applyNumberFormat="1" applyFont="1" applyFill="1" applyBorder="1" applyAlignment="1" applyProtection="1">
      <alignment horizontal="center" vertical="center" shrinkToFit="1"/>
    </xf>
    <xf numFmtId="0" fontId="81" fillId="0" borderId="108" xfId="51" applyNumberFormat="1" applyFont="1" applyFill="1" applyBorder="1" applyAlignment="1" applyProtection="1">
      <alignment horizontal="center" vertical="center" shrinkToFit="1"/>
    </xf>
    <xf numFmtId="0" fontId="81" fillId="0" borderId="110" xfId="51" applyNumberFormat="1" applyFont="1" applyFill="1" applyBorder="1" applyAlignment="1" applyProtection="1">
      <alignment horizontal="center" vertical="center" shrinkToFit="1"/>
    </xf>
    <xf numFmtId="9" fontId="91" fillId="32" borderId="109" xfId="51" applyNumberFormat="1" applyFont="1" applyFill="1" applyBorder="1" applyAlignment="1" applyProtection="1">
      <alignment horizontal="center" vertical="center" shrinkToFit="1"/>
    </xf>
    <xf numFmtId="9" fontId="91" fillId="32" borderId="111" xfId="51" applyNumberFormat="1" applyFont="1" applyFill="1" applyBorder="1" applyAlignment="1" applyProtection="1">
      <alignment horizontal="center" vertical="center" shrinkToFit="1"/>
    </xf>
    <xf numFmtId="0" fontId="95" fillId="0" borderId="121" xfId="51" applyNumberFormat="1" applyFont="1" applyFill="1" applyBorder="1" applyAlignment="1" applyProtection="1">
      <alignment horizontal="center"/>
    </xf>
    <xf numFmtId="0" fontId="81" fillId="0" borderId="122" xfId="51" applyNumberFormat="1" applyFont="1" applyFill="1" applyBorder="1" applyAlignment="1" applyProtection="1">
      <alignment horizontal="center" vertical="center"/>
    </xf>
    <xf numFmtId="0" fontId="81" fillId="0" borderId="123" xfId="51" applyNumberFormat="1" applyFont="1" applyFill="1" applyBorder="1" applyAlignment="1" applyProtection="1">
      <alignment horizontal="center" vertical="center"/>
    </xf>
    <xf numFmtId="0" fontId="81" fillId="0" borderId="126" xfId="51" applyNumberFormat="1" applyFont="1" applyFill="1" applyBorder="1" applyAlignment="1" applyProtection="1">
      <alignment horizontal="center" vertical="center"/>
    </xf>
    <xf numFmtId="0" fontId="81" fillId="0" borderId="45" xfId="51" applyNumberFormat="1" applyFont="1" applyFill="1" applyBorder="1" applyAlignment="1" applyProtection="1">
      <alignment horizontal="center" vertical="center"/>
    </xf>
    <xf numFmtId="0" fontId="81" fillId="0" borderId="124" xfId="51" applyNumberFormat="1" applyFont="1" applyFill="1" applyBorder="1" applyAlignment="1" applyProtection="1">
      <alignment horizontal="center" vertical="center" shrinkToFit="1"/>
    </xf>
    <xf numFmtId="0" fontId="81" fillId="0" borderId="125" xfId="51" applyNumberFormat="1" applyFont="1" applyFill="1" applyBorder="1" applyAlignment="1" applyProtection="1">
      <alignment horizontal="center" vertical="center" shrinkToFit="1"/>
    </xf>
    <xf numFmtId="0" fontId="91" fillId="32" borderId="81" xfId="51" applyNumberFormat="1" applyFont="1" applyFill="1" applyBorder="1" applyAlignment="1" applyProtection="1">
      <alignment horizontal="left" vertical="center" shrinkToFit="1"/>
    </xf>
    <xf numFmtId="0" fontId="91" fillId="32" borderId="83" xfId="51" applyNumberFormat="1" applyFont="1" applyFill="1" applyBorder="1" applyAlignment="1" applyProtection="1">
      <alignment horizontal="left" vertical="center" shrinkToFit="1"/>
    </xf>
    <xf numFmtId="0" fontId="91" fillId="32" borderId="71" xfId="51" applyNumberFormat="1" applyFont="1" applyFill="1" applyBorder="1" applyAlignment="1" applyProtection="1">
      <alignment horizontal="left" vertical="center" shrinkToFit="1"/>
    </xf>
    <xf numFmtId="0" fontId="91" fillId="32" borderId="107" xfId="51" applyNumberFormat="1" applyFont="1" applyFill="1" applyBorder="1" applyAlignment="1" applyProtection="1">
      <alignment horizontal="left" vertical="center" shrinkToFit="1"/>
    </xf>
    <xf numFmtId="0" fontId="91" fillId="32" borderId="73" xfId="51" applyNumberFormat="1" applyFont="1" applyFill="1" applyBorder="1" applyAlignment="1" applyProtection="1">
      <alignment horizontal="left" vertical="center" shrinkToFit="1"/>
    </xf>
    <xf numFmtId="0" fontId="91" fillId="0" borderId="108" xfId="51" applyNumberFormat="1" applyFont="1" applyFill="1" applyBorder="1" applyAlignment="1" applyProtection="1">
      <alignment horizontal="center" vertical="center" shrinkToFit="1"/>
    </xf>
    <xf numFmtId="0" fontId="91" fillId="0" borderId="109" xfId="51" applyNumberFormat="1" applyFont="1" applyFill="1" applyBorder="1" applyAlignment="1" applyProtection="1">
      <alignment horizontal="center" vertical="center" shrinkToFit="1"/>
    </xf>
    <xf numFmtId="0" fontId="91" fillId="0" borderId="110" xfId="51" applyNumberFormat="1" applyFont="1" applyFill="1" applyBorder="1" applyAlignment="1" applyProtection="1">
      <alignment horizontal="center" vertical="center" shrinkToFit="1"/>
    </xf>
    <xf numFmtId="0" fontId="81" fillId="32" borderId="71" xfId="51" applyNumberFormat="1" applyFont="1" applyFill="1" applyBorder="1" applyAlignment="1" applyProtection="1">
      <alignment horizontal="center" vertical="center" shrinkToFit="1"/>
    </xf>
    <xf numFmtId="0" fontId="81" fillId="32" borderId="52" xfId="51" applyNumberFormat="1" applyFont="1" applyFill="1" applyBorder="1" applyAlignment="1" applyProtection="1">
      <alignment horizontal="center" vertical="center" shrinkToFit="1"/>
    </xf>
    <xf numFmtId="0" fontId="81" fillId="32" borderId="107" xfId="51" applyNumberFormat="1" applyFont="1" applyFill="1" applyBorder="1" applyAlignment="1" applyProtection="1">
      <alignment horizontal="center" vertical="center" shrinkToFit="1"/>
    </xf>
    <xf numFmtId="0" fontId="103" fillId="0" borderId="0" xfId="51" applyNumberFormat="1" applyFont="1" applyFill="1" applyBorder="1" applyAlignment="1" applyProtection="1">
      <alignment horizontal="left" vertical="center"/>
    </xf>
    <xf numFmtId="0" fontId="96" fillId="0" borderId="0" xfId="51" applyNumberFormat="1" applyFont="1" applyFill="1" applyBorder="1" applyAlignment="1" applyProtection="1">
      <alignment horizontal="center"/>
    </xf>
    <xf numFmtId="0" fontId="85" fillId="46" borderId="0" xfId="175" applyNumberFormat="1" applyFont="1" applyFill="1" applyBorder="1" applyAlignment="1" applyProtection="1">
      <alignment horizontal="left" vertical="center"/>
    </xf>
    <xf numFmtId="0" fontId="81" fillId="32" borderId="57" xfId="175" applyNumberFormat="1" applyFont="1" applyFill="1" applyBorder="1" applyAlignment="1" applyProtection="1">
      <alignment horizontal="center" vertical="center"/>
    </xf>
    <xf numFmtId="0" fontId="84" fillId="0" borderId="0" xfId="175" applyNumberFormat="1" applyFont="1" applyFill="1" applyBorder="1" applyAlignment="1" applyProtection="1">
      <alignment horizontal="center" vertical="center"/>
    </xf>
    <xf numFmtId="0" fontId="0" fillId="32" borderId="57" xfId="175" applyNumberFormat="1" applyFont="1" applyFill="1" applyBorder="1" applyAlignment="1" applyProtection="1">
      <alignment horizontal="center" vertical="center"/>
    </xf>
    <xf numFmtId="0" fontId="81" fillId="0" borderId="52" xfId="51" applyNumberFormat="1" applyFont="1" applyFill="1" applyBorder="1" applyAlignment="1" applyProtection="1">
      <alignment horizontal="center" vertical="center"/>
    </xf>
    <xf numFmtId="0" fontId="81" fillId="0" borderId="124" xfId="51" applyNumberFormat="1" applyFont="1" applyFill="1" applyBorder="1" applyAlignment="1" applyProtection="1">
      <alignment horizontal="center" vertical="center"/>
    </xf>
    <xf numFmtId="0" fontId="81" fillId="0" borderId="109" xfId="51" applyNumberFormat="1" applyFont="1" applyFill="1" applyBorder="1" applyAlignment="1" applyProtection="1">
      <alignment horizontal="center" vertical="center"/>
    </xf>
    <xf numFmtId="0" fontId="81" fillId="32" borderId="127" xfId="51" applyNumberFormat="1" applyFont="1" applyFill="1" applyBorder="1" applyAlignment="1" applyProtection="1">
      <alignment horizontal="center" vertical="center"/>
    </xf>
    <xf numFmtId="0" fontId="81" fillId="32" borderId="109" xfId="51" applyNumberFormat="1" applyFont="1" applyFill="1" applyBorder="1" applyAlignment="1" applyProtection="1">
      <alignment horizontal="center" vertical="center"/>
    </xf>
    <xf numFmtId="0" fontId="81" fillId="32" borderId="111" xfId="51" applyNumberFormat="1" applyFont="1" applyFill="1" applyBorder="1" applyAlignment="1" applyProtection="1">
      <alignment horizontal="center" vertical="center"/>
    </xf>
    <xf numFmtId="0" fontId="81" fillId="32" borderId="71" xfId="51" applyNumberFormat="1" applyFont="1" applyFill="1" applyBorder="1" applyAlignment="1" applyProtection="1">
      <alignment horizontal="center" vertical="center"/>
    </xf>
    <xf numFmtId="0" fontId="81" fillId="32" borderId="52" xfId="51" applyNumberFormat="1" applyFont="1" applyFill="1" applyBorder="1" applyAlignment="1" applyProtection="1">
      <alignment horizontal="center" vertical="center"/>
    </xf>
    <xf numFmtId="0" fontId="81" fillId="32" borderId="107" xfId="51" applyNumberFormat="1" applyFont="1" applyFill="1" applyBorder="1" applyAlignment="1" applyProtection="1">
      <alignment horizontal="center" vertical="center"/>
    </xf>
    <xf numFmtId="0" fontId="91" fillId="0" borderId="0" xfId="175" applyNumberFormat="1" applyFont="1" applyFill="1" applyBorder="1" applyAlignment="1" applyProtection="1">
      <alignment horizontal="left" vertical="center"/>
    </xf>
    <xf numFmtId="0" fontId="90" fillId="32" borderId="0" xfId="175" applyNumberFormat="1" applyFont="1" applyFill="1" applyBorder="1" applyAlignment="1" applyProtection="1">
      <alignment horizontal="left" vertical="center"/>
    </xf>
    <xf numFmtId="0" fontId="81" fillId="32" borderId="0" xfId="175" applyNumberFormat="1" applyFont="1" applyFill="1" applyBorder="1" applyAlignment="1" applyProtection="1">
      <alignment horizontal="center" vertical="center"/>
    </xf>
    <xf numFmtId="0" fontId="81" fillId="0" borderId="0" xfId="175" applyNumberFormat="1" applyFont="1" applyFill="1" applyBorder="1" applyAlignment="1" applyProtection="1">
      <alignment horizontal="left" vertical="center"/>
    </xf>
    <xf numFmtId="0" fontId="81" fillId="0" borderId="96" xfId="51" applyNumberFormat="1" applyFont="1" applyFill="1" applyBorder="1" applyAlignment="1" applyProtection="1">
      <alignment horizontal="center" vertical="center"/>
    </xf>
    <xf numFmtId="0" fontId="81" fillId="32" borderId="95" xfId="51" applyNumberFormat="1" applyFont="1" applyFill="1" applyBorder="1" applyAlignment="1" applyProtection="1">
      <alignment horizontal="center" vertical="center"/>
    </xf>
    <xf numFmtId="0" fontId="81" fillId="32" borderId="96" xfId="51" applyNumberFormat="1" applyFont="1" applyFill="1" applyBorder="1" applyAlignment="1" applyProtection="1">
      <alignment horizontal="center" vertical="center"/>
    </xf>
    <xf numFmtId="0" fontId="81" fillId="32" borderId="97" xfId="51" applyNumberFormat="1" applyFont="1" applyFill="1" applyBorder="1" applyAlignment="1" applyProtection="1">
      <alignment horizontal="center" vertical="center"/>
    </xf>
    <xf numFmtId="0" fontId="81" fillId="0" borderId="126" xfId="51" applyNumberFormat="1" applyFont="1" applyFill="1" applyBorder="1" applyAlignment="1" applyProtection="1">
      <alignment horizontal="center" vertical="center" shrinkToFit="1"/>
    </xf>
    <xf numFmtId="0" fontId="81" fillId="0" borderId="52" xfId="51" applyNumberFormat="1" applyFont="1" applyFill="1" applyBorder="1" applyAlignment="1" applyProtection="1">
      <alignment horizontal="center" vertical="center" shrinkToFit="1"/>
    </xf>
    <xf numFmtId="0" fontId="80" fillId="0" borderId="0" xfId="51" applyNumberFormat="1" applyFont="1" applyFill="1" applyBorder="1" applyAlignment="1" applyProtection="1">
      <alignment horizontal="center"/>
    </xf>
    <xf numFmtId="0" fontId="81" fillId="0" borderId="85" xfId="51" applyNumberFormat="1" applyFont="1" applyFill="1" applyBorder="1" applyAlignment="1" applyProtection="1">
      <alignment horizontal="center"/>
    </xf>
    <xf numFmtId="0" fontId="81" fillId="0" borderId="0" xfId="51" applyNumberFormat="1" applyFont="1" applyFill="1" applyBorder="1" applyAlignment="1" applyProtection="1">
      <alignment horizontal="left" vertical="center"/>
    </xf>
    <xf numFmtId="0" fontId="81" fillId="0" borderId="93" xfId="51" applyNumberFormat="1" applyFont="1" applyFill="1" applyBorder="1" applyAlignment="1" applyProtection="1">
      <alignment horizontal="center" vertical="center"/>
    </xf>
    <xf numFmtId="0" fontId="97" fillId="0" borderId="95" xfId="51" applyNumberFormat="1" applyFont="1" applyFill="1" applyBorder="1" applyAlignment="1" applyProtection="1">
      <alignment horizontal="left" vertical="center"/>
    </xf>
    <xf numFmtId="0" fontId="97" fillId="0" borderId="96" xfId="51" applyNumberFormat="1" applyFont="1" applyFill="1" applyBorder="1" applyAlignment="1" applyProtection="1">
      <alignment horizontal="left" vertical="center"/>
    </xf>
    <xf numFmtId="0" fontId="97" fillId="0" borderId="97" xfId="51" applyNumberFormat="1" applyFont="1" applyFill="1" applyBorder="1" applyAlignment="1" applyProtection="1">
      <alignment horizontal="left" vertical="center"/>
    </xf>
    <xf numFmtId="0" fontId="91" fillId="32" borderId="120" xfId="51" applyNumberFormat="1" applyFont="1" applyFill="1" applyBorder="1" applyAlignment="1" applyProtection="1">
      <alignment horizontal="left" vertical="center" shrinkToFit="1"/>
    </xf>
    <xf numFmtId="0" fontId="91" fillId="32" borderId="118" xfId="51" applyNumberFormat="1" applyFont="1" applyFill="1" applyBorder="1" applyAlignment="1" applyProtection="1">
      <alignment horizontal="left" vertical="center" shrinkToFit="1"/>
    </xf>
    <xf numFmtId="0" fontId="91" fillId="32" borderId="85" xfId="51" applyNumberFormat="1" applyFont="1" applyFill="1" applyBorder="1" applyAlignment="1" applyProtection="1">
      <alignment horizontal="left" shrinkToFit="1"/>
    </xf>
    <xf numFmtId="0" fontId="91" fillId="32" borderId="86" xfId="51" applyNumberFormat="1" applyFont="1" applyFill="1" applyBorder="1" applyAlignment="1" applyProtection="1">
      <alignment horizontal="left" shrinkToFit="1"/>
    </xf>
    <xf numFmtId="0" fontId="82" fillId="0" borderId="91" xfId="51" applyNumberFormat="1" applyFont="1" applyFill="1" applyBorder="1" applyAlignment="1" applyProtection="1">
      <alignment horizontal="center" vertical="center" wrapText="1"/>
    </xf>
    <xf numFmtId="0" fontId="82" fillId="0" borderId="76" xfId="51" applyNumberFormat="1" applyFont="1" applyFill="1" applyBorder="1" applyAlignment="1" applyProtection="1">
      <alignment horizontal="center" vertical="center"/>
    </xf>
    <xf numFmtId="0" fontId="83" fillId="32" borderId="76" xfId="51" applyNumberFormat="1" applyFont="1" applyFill="1" applyBorder="1" applyAlignment="1" applyProtection="1">
      <alignment horizontal="left" vertical="center" shrinkToFit="1"/>
    </xf>
    <xf numFmtId="0" fontId="83" fillId="32" borderId="92" xfId="51" applyNumberFormat="1" applyFont="1" applyFill="1" applyBorder="1" applyAlignment="1" applyProtection="1">
      <alignment horizontal="left" vertical="center" shrinkToFit="1"/>
    </xf>
    <xf numFmtId="0" fontId="81" fillId="0" borderId="93" xfId="51" applyNumberFormat="1" applyFont="1" applyFill="1" applyBorder="1" applyAlignment="1" applyProtection="1">
      <alignment horizontal="center" vertical="center" wrapText="1"/>
    </xf>
    <xf numFmtId="0" fontId="81" fillId="0" borderId="94" xfId="51" applyNumberFormat="1" applyFont="1" applyFill="1" applyBorder="1" applyAlignment="1" applyProtection="1">
      <alignment horizontal="center" vertical="center"/>
    </xf>
    <xf numFmtId="0" fontId="91" fillId="32" borderId="95" xfId="51" applyNumberFormat="1" applyFont="1" applyFill="1" applyBorder="1" applyAlignment="1" applyProtection="1">
      <alignment horizontal="left" vertical="center" shrinkToFit="1"/>
    </xf>
    <xf numFmtId="0" fontId="91" fillId="32" borderId="96" xfId="51" applyNumberFormat="1" applyFont="1" applyFill="1" applyBorder="1" applyAlignment="1" applyProtection="1">
      <alignment horizontal="left" shrinkToFit="1"/>
    </xf>
    <xf numFmtId="0" fontId="91" fillId="32" borderId="97" xfId="51" applyNumberFormat="1" applyFont="1" applyFill="1" applyBorder="1" applyAlignment="1" applyProtection="1">
      <alignment horizontal="left" shrinkToFit="1"/>
    </xf>
    <xf numFmtId="0" fontId="90" fillId="0" borderId="98" xfId="51" applyNumberFormat="1" applyFont="1" applyFill="1" applyBorder="1" applyAlignment="1" applyProtection="1">
      <alignment vertical="center"/>
    </xf>
    <xf numFmtId="0" fontId="81" fillId="0" borderId="99" xfId="51" applyNumberFormat="1" applyFont="1" applyFill="1" applyBorder="1" applyAlignment="1" applyProtection="1"/>
    <xf numFmtId="0" fontId="81" fillId="0" borderId="100" xfId="51" applyNumberFormat="1" applyFont="1" applyFill="1" applyBorder="1" applyAlignment="1" applyProtection="1"/>
    <xf numFmtId="0" fontId="38" fillId="34" borderId="0" xfId="158" applyNumberFormat="1" applyFont="1" applyFill="1" applyBorder="1" applyAlignment="1" applyProtection="1">
      <alignment vertical="center" shrinkToFit="1"/>
    </xf>
    <xf numFmtId="0" fontId="38" fillId="32" borderId="0" xfId="158" applyNumberFormat="1" applyFont="1" applyFill="1" applyBorder="1" applyAlignment="1" applyProtection="1">
      <alignment horizontal="center" vertical="center"/>
      <protection locked="0"/>
    </xf>
    <xf numFmtId="0" fontId="38" fillId="0" borderId="0" xfId="158" applyNumberFormat="1" applyFont="1" applyFill="1" applyBorder="1" applyAlignment="1" applyProtection="1">
      <alignment horizontal="center" vertical="center"/>
    </xf>
    <xf numFmtId="0" fontId="38" fillId="32" borderId="0" xfId="158" applyNumberFormat="1" applyFont="1" applyFill="1" applyBorder="1" applyAlignment="1" applyProtection="1">
      <alignment horizontal="right" vertical="center"/>
    </xf>
    <xf numFmtId="0" fontId="38" fillId="0" borderId="0" xfId="158" applyNumberFormat="1" applyFont="1" applyFill="1" applyBorder="1" applyAlignment="1" applyProtection="1">
      <alignment horizontal="right" vertical="center"/>
    </xf>
    <xf numFmtId="0" fontId="38" fillId="0" borderId="0" xfId="158" applyNumberFormat="1" applyFont="1" applyFill="1" applyBorder="1" applyAlignment="1" applyProtection="1">
      <alignment vertical="center"/>
      <protection locked="0"/>
    </xf>
    <xf numFmtId="0" fontId="38" fillId="34" borderId="0" xfId="158" applyNumberFormat="1" applyFont="1" applyFill="1" applyBorder="1" applyAlignment="1" applyProtection="1">
      <alignment vertical="center"/>
    </xf>
    <xf numFmtId="0" fontId="38" fillId="34" borderId="0" xfId="158" applyNumberFormat="1" applyFont="1" applyFill="1" applyBorder="1" applyAlignment="1" applyProtection="1">
      <alignment vertical="center" wrapText="1"/>
    </xf>
    <xf numFmtId="0" fontId="38" fillId="0" borderId="0" xfId="158" applyNumberFormat="1" applyFont="1" applyFill="1" applyBorder="1" applyAlignment="1" applyProtection="1">
      <alignment vertical="center" wrapText="1"/>
    </xf>
    <xf numFmtId="0" fontId="38" fillId="0" borderId="0" xfId="158" applyNumberFormat="1" applyFont="1" applyFill="1" applyBorder="1" applyAlignment="1" applyProtection="1">
      <alignment vertical="center"/>
    </xf>
    <xf numFmtId="0" fontId="38" fillId="0" borderId="0" xfId="158" applyNumberFormat="1" applyFont="1" applyFill="1" applyBorder="1" applyAlignment="1" applyProtection="1">
      <alignment horizontal="distributed" vertical="center"/>
    </xf>
    <xf numFmtId="0" fontId="38" fillId="34" borderId="0" xfId="158" applyNumberFormat="1" applyFont="1" applyFill="1" applyBorder="1" applyAlignment="1" applyProtection="1">
      <alignment horizontal="left" vertical="center"/>
    </xf>
    <xf numFmtId="0" fontId="47" fillId="0" borderId="0" xfId="158" applyNumberFormat="1" applyFont="1" applyFill="1" applyBorder="1" applyAlignment="1" applyProtection="1">
      <alignment horizontal="center" vertical="center"/>
    </xf>
    <xf numFmtId="0" fontId="38" fillId="34" borderId="0" xfId="158" applyNumberFormat="1" applyFont="1" applyFill="1" applyBorder="1" applyAlignment="1" applyProtection="1">
      <alignment horizontal="left" vertical="center" wrapText="1"/>
    </xf>
    <xf numFmtId="0" fontId="0" fillId="34" borderId="0" xfId="69" applyNumberFormat="1" applyFont="1" applyFill="1" applyBorder="1" applyAlignment="1" applyProtection="1">
      <alignment horizontal="left" vertical="center" wrapText="1"/>
    </xf>
    <xf numFmtId="0" fontId="0" fillId="34" borderId="0" xfId="69" applyNumberFormat="1" applyFont="1" applyFill="1" applyBorder="1" applyAlignment="1" applyProtection="1">
      <alignment vertical="center" shrinkToFit="1"/>
    </xf>
    <xf numFmtId="0" fontId="38" fillId="34" borderId="0" xfId="158" applyNumberFormat="1" applyFont="1" applyFill="1" applyBorder="1" applyAlignment="1" applyProtection="1">
      <alignment horizontal="center" vertical="top" wrapText="1"/>
    </xf>
    <xf numFmtId="0" fontId="38" fillId="0" borderId="0" xfId="158" applyNumberFormat="1" applyFont="1" applyFill="1" applyBorder="1" applyAlignment="1" applyProtection="1">
      <alignment vertical="justify" wrapText="1"/>
    </xf>
    <xf numFmtId="0" fontId="38" fillId="0" borderId="0" xfId="158" applyNumberFormat="1" applyFont="1" applyFill="1" applyBorder="1" applyAlignment="1" applyProtection="1">
      <alignment horizontal="center" vertical="center" wrapText="1"/>
    </xf>
    <xf numFmtId="0" fontId="38" fillId="0" borderId="0" xfId="158" applyNumberFormat="1" applyFont="1" applyFill="1" applyBorder="1" applyAlignment="1" applyProtection="1">
      <alignment horizontal="center" vertical="distributed"/>
    </xf>
    <xf numFmtId="0" fontId="38" fillId="0" borderId="0" xfId="158" applyNumberFormat="1" applyFont="1" applyFill="1" applyBorder="1" applyAlignment="1" applyProtection="1">
      <alignment horizontal="justify" vertical="justify" wrapText="1"/>
    </xf>
    <xf numFmtId="195" fontId="40" fillId="32" borderId="0" xfId="159" applyNumberFormat="1" applyFont="1" applyFill="1" applyBorder="1" applyAlignment="1" applyProtection="1">
      <alignment horizontal="center" vertical="center"/>
    </xf>
    <xf numFmtId="190" fontId="38" fillId="0" borderId="0" xfId="159" applyNumberFormat="1" applyFont="1" applyFill="1" applyBorder="1" applyAlignment="1" applyProtection="1">
      <alignment horizontal="center" vertical="center"/>
    </xf>
    <xf numFmtId="190" fontId="40" fillId="0" borderId="0" xfId="159" applyNumberFormat="1" applyFont="1" applyFill="1" applyBorder="1" applyAlignment="1" applyProtection="1">
      <alignment horizontal="center" vertical="center"/>
    </xf>
    <xf numFmtId="49" fontId="38" fillId="32" borderId="0" xfId="159" applyNumberFormat="1" applyFont="1" applyFill="1" applyBorder="1" applyAlignment="1" applyProtection="1">
      <alignment horizontal="center" vertical="center"/>
    </xf>
    <xf numFmtId="49" fontId="38" fillId="0" borderId="0" xfId="159" applyNumberFormat="1" applyFont="1" applyFill="1" applyBorder="1" applyAlignment="1" applyProtection="1">
      <alignment vertical="center" shrinkToFit="1"/>
    </xf>
    <xf numFmtId="49" fontId="38" fillId="0" borderId="0" xfId="159" applyNumberFormat="1" applyFont="1" applyFill="1" applyBorder="1" applyAlignment="1" applyProtection="1">
      <alignment horizontal="center" vertical="center" shrinkToFit="1"/>
    </xf>
    <xf numFmtId="49" fontId="38" fillId="0" borderId="0" xfId="159" applyNumberFormat="1" applyFont="1" applyFill="1" applyBorder="1" applyAlignment="1" applyProtection="1">
      <alignment horizontal="center" vertical="center"/>
    </xf>
    <xf numFmtId="181" fontId="6" fillId="0" borderId="0" xfId="169" applyNumberFormat="1" applyFont="1" applyFill="1" applyBorder="1" applyAlignment="1" applyProtection="1">
      <alignment horizontal="left"/>
    </xf>
    <xf numFmtId="181" fontId="6" fillId="32" borderId="0" xfId="169" applyNumberFormat="1" applyFont="1" applyFill="1" applyBorder="1" applyAlignment="1" applyProtection="1">
      <alignment horizontal="left"/>
    </xf>
    <xf numFmtId="0" fontId="60" fillId="0" borderId="0" xfId="169" applyNumberFormat="1" applyFont="1" applyFill="1" applyBorder="1" applyAlignment="1" applyProtection="1">
      <alignment horizontal="center"/>
    </xf>
    <xf numFmtId="0" fontId="6" fillId="0" borderId="0" xfId="169" applyNumberFormat="1" applyFont="1" applyFill="1" applyBorder="1" applyAlignment="1" applyProtection="1">
      <alignment horizontal="center"/>
    </xf>
    <xf numFmtId="0" fontId="9" fillId="34" borderId="0" xfId="51" applyNumberFormat="1" applyFont="1" applyFill="1" applyBorder="1" applyAlignment="1" applyProtection="1">
      <alignment horizontal="left" vertical="center"/>
    </xf>
    <xf numFmtId="0" fontId="6" fillId="34" borderId="0" xfId="169" applyNumberFormat="1" applyFont="1" applyFill="1" applyBorder="1" applyAlignment="1" applyProtection="1">
      <alignment horizontal="left" vertical="center"/>
    </xf>
    <xf numFmtId="0" fontId="6" fillId="32" borderId="0" xfId="169" applyNumberFormat="1" applyFont="1" applyFill="1" applyBorder="1" applyAlignment="1" applyProtection="1">
      <alignment horizontal="center" vertical="center"/>
    </xf>
    <xf numFmtId="181" fontId="9" fillId="0" borderId="0" xfId="169" applyNumberFormat="1" applyFont="1" applyFill="1" applyBorder="1" applyAlignment="1" applyProtection="1">
      <alignment horizontal="left" vertical="top" wrapText="1"/>
    </xf>
    <xf numFmtId="0" fontId="6" fillId="34" borderId="0" xfId="169" applyNumberFormat="1" applyFont="1" applyFill="1" applyBorder="1" applyAlignment="1" applyProtection="1">
      <alignment horizontal="left" vertical="top" wrapText="1"/>
    </xf>
    <xf numFmtId="0" fontId="40" fillId="0" borderId="21" xfId="170" applyNumberFormat="1" applyFont="1" applyFill="1" applyBorder="1" applyAlignment="1" applyProtection="1">
      <alignment horizontal="center" vertical="center"/>
    </xf>
    <xf numFmtId="0" fontId="0" fillId="0" borderId="56" xfId="170" applyNumberFormat="1" applyFont="1" applyFill="1" applyBorder="1" applyAlignment="1" applyProtection="1">
      <alignment horizontal="center" vertical="center"/>
    </xf>
    <xf numFmtId="0" fontId="0" fillId="0" borderId="32" xfId="170" applyNumberFormat="1" applyFont="1" applyFill="1" applyBorder="1" applyAlignment="1" applyProtection="1">
      <alignment horizontal="center" vertical="center"/>
    </xf>
    <xf numFmtId="0" fontId="38" fillId="0" borderId="11" xfId="170" applyNumberFormat="1" applyFont="1" applyFill="1" applyBorder="1" applyAlignment="1" applyProtection="1">
      <alignment horizontal="center" vertical="center" textRotation="255"/>
    </xf>
    <xf numFmtId="0" fontId="38" fillId="0" borderId="15" xfId="170" applyNumberFormat="1" applyFont="1" applyFill="1" applyBorder="1" applyAlignment="1" applyProtection="1">
      <alignment horizontal="center" vertical="center" textRotation="255"/>
    </xf>
    <xf numFmtId="0" fontId="38" fillId="0" borderId="12" xfId="170" applyNumberFormat="1" applyFont="1" applyFill="1" applyBorder="1" applyAlignment="1" applyProtection="1">
      <alignment horizontal="center" vertical="center" textRotation="255"/>
    </xf>
    <xf numFmtId="0" fontId="38" fillId="0" borderId="22" xfId="170" applyNumberFormat="1" applyFont="1" applyFill="1" applyBorder="1" applyAlignment="1" applyProtection="1">
      <alignment horizontal="center" vertical="center" textRotation="255"/>
    </xf>
    <xf numFmtId="0" fontId="38" fillId="0" borderId="10" xfId="170" applyNumberFormat="1" applyFont="1" applyFill="1" applyBorder="1" applyAlignment="1" applyProtection="1">
      <alignment horizontal="center" vertical="center" textRotation="255"/>
    </xf>
    <xf numFmtId="0" fontId="38" fillId="0" borderId="14" xfId="170" applyNumberFormat="1" applyFont="1" applyFill="1" applyBorder="1" applyAlignment="1" applyProtection="1">
      <alignment horizontal="center" vertical="center" textRotation="255"/>
    </xf>
    <xf numFmtId="0" fontId="38" fillId="0" borderId="21" xfId="170" applyNumberFormat="1" applyFont="1" applyFill="1" applyBorder="1" applyAlignment="1" applyProtection="1">
      <alignment horizontal="left" vertical="center"/>
    </xf>
    <xf numFmtId="0" fontId="0" fillId="0" borderId="56" xfId="170" applyNumberFormat="1" applyFont="1" applyFill="1" applyBorder="1" applyAlignment="1" applyProtection="1">
      <alignment horizontal="left" vertical="center"/>
    </xf>
    <xf numFmtId="0" fontId="0" fillId="0" borderId="32" xfId="170" applyNumberFormat="1" applyFont="1" applyFill="1" applyBorder="1" applyAlignment="1" applyProtection="1">
      <alignment horizontal="left" vertical="center"/>
    </xf>
    <xf numFmtId="0" fontId="38" fillId="0" borderId="21" xfId="170" applyNumberFormat="1" applyFont="1" applyFill="1" applyBorder="1" applyAlignment="1" applyProtection="1">
      <alignment horizontal="left" vertical="center" shrinkToFit="1"/>
    </xf>
    <xf numFmtId="0" fontId="38" fillId="0" borderId="56" xfId="170" applyNumberFormat="1" applyFont="1" applyFill="1" applyBorder="1" applyAlignment="1" applyProtection="1">
      <alignment horizontal="left" vertical="center" shrinkToFit="1"/>
    </xf>
    <xf numFmtId="0" fontId="38" fillId="0" borderId="32" xfId="170" applyNumberFormat="1" applyFont="1" applyFill="1" applyBorder="1" applyAlignment="1" applyProtection="1">
      <alignment horizontal="left" vertical="center" shrinkToFit="1"/>
    </xf>
    <xf numFmtId="0" fontId="0" fillId="0" borderId="56" xfId="170" applyNumberFormat="1" applyFont="1" applyFill="1" applyBorder="1" applyAlignment="1" applyProtection="1">
      <alignment horizontal="left" vertical="center" shrinkToFit="1"/>
    </xf>
    <xf numFmtId="0" fontId="38" fillId="32" borderId="21" xfId="170" applyNumberFormat="1" applyFont="1" applyFill="1" applyBorder="1" applyAlignment="1" applyProtection="1">
      <alignment horizontal="left" vertical="center"/>
    </xf>
    <xf numFmtId="0" fontId="38" fillId="32" borderId="56" xfId="170" applyNumberFormat="1" applyFont="1" applyFill="1" applyBorder="1" applyAlignment="1" applyProtection="1">
      <alignment horizontal="left" vertical="center"/>
    </xf>
    <xf numFmtId="0" fontId="38" fillId="34" borderId="21" xfId="170" applyNumberFormat="1" applyFont="1" applyFill="1" applyBorder="1" applyAlignment="1" applyProtection="1">
      <alignment horizontal="left" vertical="center" shrinkToFit="1"/>
    </xf>
    <xf numFmtId="0" fontId="38" fillId="34" borderId="56" xfId="170" applyNumberFormat="1" applyFont="1" applyFill="1" applyBorder="1" applyAlignment="1" applyProtection="1">
      <alignment horizontal="left" vertical="center" shrinkToFit="1"/>
    </xf>
    <xf numFmtId="0" fontId="38" fillId="34" borderId="32" xfId="170" applyNumberFormat="1" applyFont="1" applyFill="1" applyBorder="1" applyAlignment="1" applyProtection="1">
      <alignment horizontal="left" vertical="center" shrinkToFit="1"/>
    </xf>
    <xf numFmtId="0" fontId="44" fillId="0" borderId="0" xfId="170" applyNumberFormat="1" applyFont="1" applyFill="1" applyBorder="1" applyAlignment="1" applyProtection="1">
      <alignment horizontal="center" vertical="center"/>
    </xf>
    <xf numFmtId="0" fontId="38" fillId="0" borderId="0" xfId="170" applyNumberFormat="1" applyFont="1" applyFill="1" applyBorder="1" applyAlignment="1" applyProtection="1">
      <alignment horizontal="center" vertical="center"/>
    </xf>
    <xf numFmtId="0" fontId="38" fillId="34" borderId="0" xfId="170" applyNumberFormat="1" applyFont="1" applyFill="1" applyBorder="1" applyAlignment="1" applyProtection="1">
      <alignment horizontal="left" vertical="center" shrinkToFit="1"/>
    </xf>
    <xf numFmtId="0" fontId="38" fillId="34" borderId="0" xfId="170" applyNumberFormat="1" applyFont="1" applyFill="1" applyBorder="1" applyAlignment="1" applyProtection="1">
      <alignment vertical="center" shrinkToFit="1"/>
    </xf>
    <xf numFmtId="193" fontId="38" fillId="32" borderId="0" xfId="170" applyNumberFormat="1" applyFont="1" applyFill="1" applyBorder="1" applyAlignment="1" applyProtection="1">
      <alignment horizontal="right" vertical="center"/>
    </xf>
    <xf numFmtId="0" fontId="34" fillId="0" borderId="131" xfId="164" applyNumberFormat="1" applyFont="1" applyFill="1" applyBorder="1" applyAlignment="1" applyProtection="1">
      <alignment horizontal="center" vertical="center"/>
    </xf>
    <xf numFmtId="49" fontId="34" fillId="0" borderId="132" xfId="166" applyNumberFormat="1" applyFont="1" applyFill="1" applyBorder="1" applyAlignment="1" applyProtection="1">
      <alignment horizontal="left" vertical="center" shrinkToFit="1"/>
      <protection locked="0"/>
    </xf>
    <xf numFmtId="49" fontId="34" fillId="0" borderId="96" xfId="166" applyNumberFormat="1" applyFont="1" applyFill="1" applyBorder="1" applyAlignment="1" applyProtection="1">
      <alignment horizontal="left" vertical="center" shrinkToFit="1"/>
      <protection locked="0"/>
    </xf>
    <xf numFmtId="49" fontId="34" fillId="0" borderId="97" xfId="166" applyNumberFormat="1" applyFont="1" applyFill="1" applyBorder="1" applyAlignment="1" applyProtection="1">
      <alignment horizontal="left" vertical="center" shrinkToFit="1"/>
      <protection locked="0"/>
    </xf>
    <xf numFmtId="0" fontId="34" fillId="0" borderId="116" xfId="164" applyNumberFormat="1" applyFont="1" applyFill="1" applyBorder="1" applyAlignment="1" applyProtection="1">
      <alignment horizontal="center" vertical="center"/>
    </xf>
    <xf numFmtId="0" fontId="34" fillId="0" borderId="73" xfId="164" applyNumberFormat="1" applyFont="1" applyFill="1" applyBorder="1" applyAlignment="1" applyProtection="1">
      <alignment horizontal="center" vertical="center"/>
    </xf>
    <xf numFmtId="0" fontId="34" fillId="0" borderId="135" xfId="164" applyNumberFormat="1" applyFont="1" applyFill="1" applyBorder="1" applyAlignment="1" applyProtection="1">
      <alignment horizontal="center" vertical="center"/>
    </xf>
    <xf numFmtId="0" fontId="34" fillId="0" borderId="118" xfId="164" applyNumberFormat="1" applyFont="1" applyFill="1" applyBorder="1" applyAlignment="1" applyProtection="1">
      <alignment horizontal="center" vertical="center"/>
    </xf>
    <xf numFmtId="0" fontId="34" fillId="0" borderId="85" xfId="164" applyNumberFormat="1" applyFont="1" applyFill="1" applyBorder="1" applyAlignment="1" applyProtection="1">
      <alignment horizontal="center" vertical="center"/>
    </xf>
    <xf numFmtId="0" fontId="34" fillId="0" borderId="119" xfId="164" applyNumberFormat="1" applyFont="1" applyFill="1" applyBorder="1" applyAlignment="1" applyProtection="1">
      <alignment horizontal="center" vertical="center"/>
    </xf>
    <xf numFmtId="0" fontId="34" fillId="0" borderId="52" xfId="164" applyNumberFormat="1" applyFont="1" applyFill="1" applyBorder="1" applyAlignment="1" applyProtection="1">
      <alignment horizontal="center" vertical="center" shrinkToFit="1"/>
      <protection locked="0"/>
    </xf>
    <xf numFmtId="0" fontId="34" fillId="0" borderId="53" xfId="164" applyNumberFormat="1" applyFont="1" applyFill="1" applyBorder="1" applyAlignment="1" applyProtection="1">
      <alignment horizontal="center" vertical="center" shrinkToFit="1"/>
      <protection locked="0"/>
    </xf>
    <xf numFmtId="0" fontId="34" fillId="0" borderId="42" xfId="164" applyNumberFormat="1" applyFont="1" applyFill="1" applyBorder="1" applyAlignment="1" applyProtection="1">
      <alignment horizontal="center" vertical="center" wrapText="1"/>
    </xf>
    <xf numFmtId="0" fontId="34" fillId="0" borderId="42" xfId="164" applyNumberFormat="1" applyFont="1" applyFill="1" applyBorder="1" applyAlignment="1" applyProtection="1">
      <alignment horizontal="center" vertical="center"/>
    </xf>
    <xf numFmtId="0" fontId="34" fillId="0" borderId="51" xfId="164" applyNumberFormat="1" applyFont="1" applyFill="1" applyBorder="1" applyAlignment="1" applyProtection="1">
      <alignment horizontal="center" vertical="center" shrinkToFit="1"/>
      <protection locked="0"/>
    </xf>
    <xf numFmtId="0" fontId="34" fillId="0" borderId="107" xfId="164" applyNumberFormat="1" applyFont="1" applyFill="1" applyBorder="1" applyAlignment="1" applyProtection="1">
      <alignment horizontal="center" vertical="center" shrinkToFit="1"/>
      <protection locked="0"/>
    </xf>
    <xf numFmtId="0" fontId="34" fillId="0" borderId="108" xfId="164" applyNumberFormat="1" applyFont="1" applyFill="1" applyBorder="1" applyAlignment="1" applyProtection="1">
      <alignment horizontal="left" vertical="center" shrinkToFit="1"/>
      <protection locked="0"/>
    </xf>
    <xf numFmtId="0" fontId="34" fillId="0" borderId="109" xfId="164" applyNumberFormat="1" applyFont="1" applyFill="1" applyBorder="1" applyAlignment="1" applyProtection="1">
      <alignment horizontal="left" vertical="center" shrinkToFit="1"/>
      <protection locked="0"/>
    </xf>
    <xf numFmtId="0" fontId="34" fillId="0" borderId="110" xfId="164" applyNumberFormat="1" applyFont="1" applyFill="1" applyBorder="1" applyAlignment="1" applyProtection="1">
      <alignment horizontal="left" vertical="center" shrinkToFit="1"/>
      <protection locked="0"/>
    </xf>
    <xf numFmtId="0" fontId="7" fillId="0" borderId="141" xfId="165" applyNumberFormat="1" applyFont="1" applyFill="1" applyBorder="1" applyAlignment="1" applyProtection="1">
      <alignment horizontal="center" vertical="center"/>
    </xf>
    <xf numFmtId="0" fontId="34" fillId="0" borderId="128" xfId="164" applyNumberFormat="1" applyFont="1" applyFill="1" applyBorder="1" applyAlignment="1" applyProtection="1">
      <alignment horizontal="center" vertical="center"/>
    </xf>
    <xf numFmtId="0" fontId="34" fillId="0" borderId="129" xfId="164" applyNumberFormat="1" applyFont="1" applyFill="1" applyBorder="1" applyAlignment="1" applyProtection="1">
      <alignment horizontal="center" vertical="center"/>
    </xf>
    <xf numFmtId="0" fontId="34" fillId="0" borderId="130" xfId="164" applyNumberFormat="1" applyFont="1" applyFill="1" applyBorder="1" applyAlignment="1" applyProtection="1">
      <alignment horizontal="center" vertical="center"/>
    </xf>
    <xf numFmtId="0" fontId="34" fillId="0" borderId="132" xfId="164" applyNumberFormat="1" applyFont="1" applyFill="1" applyBorder="1" applyAlignment="1" applyProtection="1">
      <alignment horizontal="left" vertical="center" shrinkToFit="1"/>
      <protection locked="0"/>
    </xf>
    <xf numFmtId="0" fontId="34" fillId="0" borderId="96" xfId="164" applyNumberFormat="1" applyFont="1" applyFill="1" applyBorder="1" applyAlignment="1" applyProtection="1">
      <alignment horizontal="left" vertical="center" shrinkToFit="1"/>
      <protection locked="0"/>
    </xf>
    <xf numFmtId="0" fontId="34" fillId="0" borderId="133" xfId="164" applyNumberFormat="1" applyFont="1" applyFill="1" applyBorder="1" applyAlignment="1" applyProtection="1">
      <alignment horizontal="left" vertical="center" shrinkToFit="1"/>
      <protection locked="0"/>
    </xf>
    <xf numFmtId="0" fontId="34" fillId="0" borderId="136" xfId="164" applyNumberFormat="1" applyFont="1" applyFill="1" applyBorder="1" applyAlignment="1" applyProtection="1">
      <alignment horizontal="center" vertical="center" wrapText="1"/>
    </xf>
    <xf numFmtId="0" fontId="34" fillId="0" borderId="108" xfId="164" applyNumberFormat="1" applyFont="1" applyFill="1" applyBorder="1" applyAlignment="1" applyProtection="1">
      <alignment horizontal="center" vertical="center" shrinkToFit="1"/>
      <protection locked="0"/>
    </xf>
    <xf numFmtId="0" fontId="34" fillId="0" borderId="109" xfId="164" applyNumberFormat="1" applyFont="1" applyFill="1" applyBorder="1" applyAlignment="1" applyProtection="1">
      <alignment horizontal="center" vertical="center" shrinkToFit="1"/>
      <protection locked="0"/>
    </xf>
    <xf numFmtId="0" fontId="34" fillId="0" borderId="110" xfId="164" applyNumberFormat="1" applyFont="1" applyFill="1" applyBorder="1" applyAlignment="1" applyProtection="1">
      <alignment horizontal="center" vertical="center" shrinkToFit="1"/>
      <protection locked="0"/>
    </xf>
    <xf numFmtId="0" fontId="34" fillId="0" borderId="111" xfId="164" applyNumberFormat="1" applyFont="1" applyFill="1" applyBorder="1" applyAlignment="1" applyProtection="1">
      <alignment horizontal="center" vertical="center" shrinkToFit="1"/>
      <protection locked="0"/>
    </xf>
    <xf numFmtId="0" fontId="65" fillId="0" borderId="11" xfId="164" applyNumberFormat="1" applyFont="1" applyFill="1" applyBorder="1" applyAlignment="1" applyProtection="1">
      <alignment horizontal="center" vertical="center"/>
    </xf>
    <xf numFmtId="0" fontId="65" fillId="0" borderId="0" xfId="164" applyNumberFormat="1" applyFont="1" applyFill="1" applyBorder="1" applyAlignment="1" applyProtection="1">
      <alignment horizontal="center" vertical="center"/>
    </xf>
    <xf numFmtId="0" fontId="65" fillId="0" borderId="15" xfId="164" applyNumberFormat="1" applyFont="1" applyFill="1" applyBorder="1" applyAlignment="1" applyProtection="1">
      <alignment horizontal="center" vertical="center"/>
    </xf>
    <xf numFmtId="0" fontId="32" fillId="0" borderId="0" xfId="164" applyNumberFormat="1" applyFont="1" applyFill="1" applyBorder="1" applyAlignment="1" applyProtection="1">
      <alignment horizontal="center" vertical="center"/>
    </xf>
    <xf numFmtId="0" fontId="32" fillId="0" borderId="137" xfId="164" applyNumberFormat="1" applyFont="1" applyFill="1" applyBorder="1" applyAlignment="1" applyProtection="1">
      <alignment horizontal="center" vertical="center"/>
    </xf>
    <xf numFmtId="0" fontId="32" fillId="0" borderId="138" xfId="164" applyNumberFormat="1" applyFont="1" applyFill="1" applyBorder="1" applyAlignment="1" applyProtection="1">
      <alignment horizontal="left" vertical="center"/>
    </xf>
    <xf numFmtId="0" fontId="32" fillId="0" borderId="139" xfId="164" applyNumberFormat="1" applyFont="1" applyFill="1" applyBorder="1" applyAlignment="1" applyProtection="1">
      <alignment horizontal="left" vertical="center"/>
    </xf>
    <xf numFmtId="0" fontId="32" fillId="0" borderId="140" xfId="164" applyNumberFormat="1" applyFont="1" applyFill="1" applyBorder="1" applyAlignment="1" applyProtection="1">
      <alignment horizontal="left" vertical="center"/>
    </xf>
    <xf numFmtId="0" fontId="34" fillId="0" borderId="141" xfId="165" applyNumberFormat="1" applyFont="1" applyFill="1" applyBorder="1" applyAlignment="1" applyProtection="1">
      <alignment horizontal="left" vertical="center"/>
    </xf>
    <xf numFmtId="196" fontId="34" fillId="0" borderId="141" xfId="165" applyNumberFormat="1" applyFont="1" applyFill="1" applyBorder="1" applyAlignment="1" applyProtection="1">
      <alignment horizontal="center" vertical="center"/>
      <protection locked="0"/>
    </xf>
    <xf numFmtId="49" fontId="34" fillId="0" borderId="131" xfId="166" applyNumberFormat="1" applyFont="1" applyFill="1" applyBorder="1" applyAlignment="1" applyProtection="1">
      <alignment horizontal="center" vertical="center" shrinkToFit="1"/>
      <protection locked="0"/>
    </xf>
    <xf numFmtId="49" fontId="34" fillId="0" borderId="134" xfId="166" applyNumberFormat="1" applyFont="1" applyFill="1" applyBorder="1" applyAlignment="1" applyProtection="1">
      <alignment horizontal="center" vertical="center" shrinkToFit="1"/>
      <protection locked="0"/>
    </xf>
    <xf numFmtId="0" fontId="34" fillId="0" borderId="36" xfId="164" applyNumberFormat="1" applyFont="1" applyFill="1" applyBorder="1" applyAlignment="1" applyProtection="1">
      <alignment horizontal="center" vertical="center" wrapText="1"/>
    </xf>
    <xf numFmtId="0" fontId="34" fillId="0" borderId="36" xfId="164" applyNumberFormat="1" applyFont="1" applyFill="1" applyBorder="1" applyAlignment="1" applyProtection="1">
      <alignment horizontal="center" vertical="center"/>
    </xf>
    <xf numFmtId="0" fontId="34" fillId="0" borderId="118" xfId="164" applyNumberFormat="1" applyFont="1" applyFill="1" applyBorder="1" applyAlignment="1" applyProtection="1">
      <alignment horizontal="center" vertical="center" wrapText="1"/>
    </xf>
    <xf numFmtId="0" fontId="34" fillId="0" borderId="85" xfId="164" applyNumberFormat="1" applyFont="1" applyFill="1" applyBorder="1" applyAlignment="1" applyProtection="1">
      <alignment horizontal="center" vertical="center" wrapText="1"/>
    </xf>
    <xf numFmtId="0" fontId="34" fillId="0" borderId="119" xfId="164" applyNumberFormat="1" applyFont="1" applyFill="1" applyBorder="1" applyAlignment="1" applyProtection="1">
      <alignment horizontal="center" vertical="center" wrapText="1"/>
    </xf>
    <xf numFmtId="0" fontId="62" fillId="0" borderId="118" xfId="167" applyNumberFormat="1" applyFont="1" applyFill="1" applyBorder="1" applyAlignment="1" applyProtection="1">
      <alignment horizontal="left" vertical="center" shrinkToFit="1"/>
      <protection locked="0"/>
    </xf>
    <xf numFmtId="0" fontId="34" fillId="0" borderId="85" xfId="164" applyNumberFormat="1" applyFont="1" applyFill="1" applyBorder="1" applyAlignment="1" applyProtection="1">
      <alignment horizontal="left" vertical="center" shrinkToFit="1"/>
      <protection locked="0"/>
    </xf>
    <xf numFmtId="0" fontId="34" fillId="0" borderId="86" xfId="164" applyNumberFormat="1" applyFont="1" applyFill="1" applyBorder="1" applyAlignment="1" applyProtection="1">
      <alignment horizontal="left" vertical="center" shrinkToFit="1"/>
      <protection locked="0"/>
    </xf>
    <xf numFmtId="0" fontId="32" fillId="0" borderId="128" xfId="164" applyNumberFormat="1" applyFont="1" applyFill="1" applyBorder="1" applyAlignment="1" applyProtection="1">
      <alignment horizontal="center" vertical="center"/>
    </xf>
    <xf numFmtId="0" fontId="32" fillId="0" borderId="129" xfId="164" applyNumberFormat="1" applyFont="1" applyFill="1" applyBorder="1" applyAlignment="1" applyProtection="1">
      <alignment horizontal="center" vertical="center"/>
    </xf>
    <xf numFmtId="0" fontId="32" fillId="0" borderId="130" xfId="164" applyNumberFormat="1" applyFont="1" applyFill="1" applyBorder="1" applyAlignment="1" applyProtection="1">
      <alignment horizontal="center" vertical="center"/>
    </xf>
    <xf numFmtId="0" fontId="34" fillId="0" borderId="116" xfId="164" applyNumberFormat="1" applyFont="1" applyFill="1" applyBorder="1" applyAlignment="1" applyProtection="1">
      <alignment horizontal="center" vertical="center" wrapText="1"/>
    </xf>
    <xf numFmtId="0" fontId="34" fillId="0" borderId="116" xfId="164" applyNumberFormat="1" applyFont="1" applyFill="1" applyBorder="1" applyAlignment="1" applyProtection="1">
      <alignment horizontal="left" vertical="center" shrinkToFit="1"/>
      <protection locked="0"/>
    </xf>
    <xf numFmtId="0" fontId="34" fillId="0" borderId="73" xfId="164" applyNumberFormat="1" applyFont="1" applyFill="1" applyBorder="1" applyAlignment="1" applyProtection="1">
      <alignment horizontal="left" vertical="center" shrinkToFit="1"/>
      <protection locked="0"/>
    </xf>
    <xf numFmtId="0" fontId="34" fillId="0" borderId="135" xfId="164" applyNumberFormat="1" applyFont="1" applyFill="1" applyBorder="1" applyAlignment="1" applyProtection="1">
      <alignment horizontal="left" vertical="center" shrinkToFit="1"/>
      <protection locked="0"/>
    </xf>
    <xf numFmtId="0" fontId="34" fillId="0" borderId="116" xfId="164" applyNumberFormat="1" applyFont="1" applyFill="1" applyBorder="1" applyAlignment="1" applyProtection="1">
      <alignment horizontal="center" vertical="center" shrinkToFit="1"/>
      <protection locked="0"/>
    </xf>
    <xf numFmtId="0" fontId="34" fillId="0" borderId="73" xfId="164" applyNumberFormat="1" applyFont="1" applyFill="1" applyBorder="1" applyAlignment="1" applyProtection="1">
      <alignment horizontal="center" vertical="center" shrinkToFit="1"/>
      <protection locked="0"/>
    </xf>
    <xf numFmtId="0" fontId="34" fillId="0" borderId="117" xfId="164" applyNumberFormat="1" applyFont="1" applyFill="1" applyBorder="1" applyAlignment="1" applyProtection="1">
      <alignment horizontal="center" vertical="center" shrinkToFit="1"/>
      <protection locked="0"/>
    </xf>
    <xf numFmtId="0" fontId="34" fillId="0" borderId="118" xfId="164" applyNumberFormat="1" applyFont="1" applyFill="1" applyBorder="1" applyAlignment="1" applyProtection="1">
      <alignment horizontal="left" vertical="center" shrinkToFit="1"/>
      <protection locked="0"/>
    </xf>
    <xf numFmtId="0" fontId="34" fillId="0" borderId="119" xfId="164" applyNumberFormat="1" applyFont="1" applyFill="1" applyBorder="1" applyAlignment="1" applyProtection="1">
      <alignment horizontal="left" vertical="center" shrinkToFit="1"/>
      <protection locked="0"/>
    </xf>
  </cellXfs>
  <cellStyles count="181">
    <cellStyle name="20% - アクセント 1 2" xfId="5" xr:uid="{00000000-0005-0000-0000-000000000000}"/>
    <cellStyle name="20% - アクセント 2 2" xfId="6" xr:uid="{00000000-0005-0000-0000-000001000000}"/>
    <cellStyle name="20% - アクセント 3 2" xfId="7" xr:uid="{00000000-0005-0000-0000-000002000000}"/>
    <cellStyle name="20% - アクセント 4 2" xfId="8" xr:uid="{00000000-0005-0000-0000-000003000000}"/>
    <cellStyle name="20% - アクセント 5 2" xfId="9" xr:uid="{00000000-0005-0000-0000-000004000000}"/>
    <cellStyle name="20% - アクセント 6 2" xfId="10" xr:uid="{00000000-0005-0000-0000-000005000000}"/>
    <cellStyle name="40% - アクセント 1 2" xfId="11" xr:uid="{00000000-0005-0000-0000-000006000000}"/>
    <cellStyle name="40% - アクセント 2 2" xfId="12" xr:uid="{00000000-0005-0000-0000-000007000000}"/>
    <cellStyle name="40% - アクセント 3 2" xfId="13" xr:uid="{00000000-0005-0000-0000-000008000000}"/>
    <cellStyle name="40% - アクセント 4 2" xfId="14" xr:uid="{00000000-0005-0000-0000-000009000000}"/>
    <cellStyle name="40% - アクセント 5 2" xfId="15" xr:uid="{00000000-0005-0000-0000-00000A000000}"/>
    <cellStyle name="40% - アクセント 6 2" xfId="16" xr:uid="{00000000-0005-0000-0000-00000B000000}"/>
    <cellStyle name="60% - アクセント 1 2" xfId="17" xr:uid="{00000000-0005-0000-0000-00000C000000}"/>
    <cellStyle name="60% - アクセント 2 2" xfId="18" xr:uid="{00000000-0005-0000-0000-00000D000000}"/>
    <cellStyle name="60% - アクセント 3 2" xfId="19" xr:uid="{00000000-0005-0000-0000-00000E000000}"/>
    <cellStyle name="60% - アクセント 4 2" xfId="20" xr:uid="{00000000-0005-0000-0000-00000F000000}"/>
    <cellStyle name="60% - アクセント 5 2" xfId="21" xr:uid="{00000000-0005-0000-0000-000010000000}"/>
    <cellStyle name="60% - アクセント 6 2" xfId="22" xr:uid="{00000000-0005-0000-0000-000011000000}"/>
    <cellStyle name="アクセント 1 2" xfId="23" xr:uid="{00000000-0005-0000-0000-000012000000}"/>
    <cellStyle name="アクセント 2 2" xfId="24" xr:uid="{00000000-0005-0000-0000-000013000000}"/>
    <cellStyle name="アクセント 3 2" xfId="25" xr:uid="{00000000-0005-0000-0000-000014000000}"/>
    <cellStyle name="アクセント 4 2" xfId="26" xr:uid="{00000000-0005-0000-0000-000015000000}"/>
    <cellStyle name="アクセント 5 2" xfId="27" xr:uid="{00000000-0005-0000-0000-000016000000}"/>
    <cellStyle name="アクセント 6 2" xfId="28" xr:uid="{00000000-0005-0000-0000-000017000000}"/>
    <cellStyle name="スタイル 1" xfId="128" xr:uid="{00000000-0005-0000-0000-000018000000}"/>
    <cellStyle name="タイトル 2" xfId="29" xr:uid="{00000000-0005-0000-0000-000019000000}"/>
    <cellStyle name="チェック セル 2" xfId="30" xr:uid="{00000000-0005-0000-0000-00001A000000}"/>
    <cellStyle name="どちらでもない 2" xfId="31" xr:uid="{00000000-0005-0000-0000-00001B000000}"/>
    <cellStyle name="パーセント 2" xfId="32" xr:uid="{00000000-0005-0000-0000-00001C000000}"/>
    <cellStyle name="パーセント 2 2" xfId="59" xr:uid="{00000000-0005-0000-0000-00001D000000}"/>
    <cellStyle name="パーセント 2 3" xfId="60" xr:uid="{00000000-0005-0000-0000-00001E000000}"/>
    <cellStyle name="ハイパーリンク" xfId="2" builtinId="8"/>
    <cellStyle name="ハイパーリンク 2" xfId="167" xr:uid="{00000000-0005-0000-0000-000020000000}"/>
    <cellStyle name="ハイパーリンク 2 2" xfId="176" xr:uid="{00000000-0005-0000-0000-000021000000}"/>
    <cellStyle name="メモ 2" xfId="33" xr:uid="{00000000-0005-0000-0000-000022000000}"/>
    <cellStyle name="リンク セル 2" xfId="34" xr:uid="{00000000-0005-0000-0000-000023000000}"/>
    <cellStyle name="悪い 2" xfId="35" xr:uid="{00000000-0005-0000-0000-000024000000}"/>
    <cellStyle name="計算 2" xfId="36" xr:uid="{00000000-0005-0000-0000-000025000000}"/>
    <cellStyle name="警告文 2" xfId="37" xr:uid="{00000000-0005-0000-0000-000026000000}"/>
    <cellStyle name="桁区切り 2" xfId="38" xr:uid="{00000000-0005-0000-0000-000027000000}"/>
    <cellStyle name="見出し 1 2" xfId="39" xr:uid="{00000000-0005-0000-0000-000028000000}"/>
    <cellStyle name="見出し 2 2" xfId="40" xr:uid="{00000000-0005-0000-0000-000029000000}"/>
    <cellStyle name="見出し 3 2" xfId="41" xr:uid="{00000000-0005-0000-0000-00002A000000}"/>
    <cellStyle name="見出し 4 2" xfId="42" xr:uid="{00000000-0005-0000-0000-00002B000000}"/>
    <cellStyle name="集計 2" xfId="43" xr:uid="{00000000-0005-0000-0000-00002C000000}"/>
    <cellStyle name="出力 2" xfId="44" xr:uid="{00000000-0005-0000-0000-00002D000000}"/>
    <cellStyle name="説明文 2" xfId="45" xr:uid="{00000000-0005-0000-0000-00002E000000}"/>
    <cellStyle name="通貨 2" xfId="47" xr:uid="{00000000-0005-0000-0000-00002F000000}"/>
    <cellStyle name="通貨 2 2" xfId="61" xr:uid="{00000000-0005-0000-0000-000030000000}"/>
    <cellStyle name="通貨 2 2 2" xfId="62" xr:uid="{00000000-0005-0000-0000-000031000000}"/>
    <cellStyle name="通貨 2 2 3" xfId="63" xr:uid="{00000000-0005-0000-0000-000032000000}"/>
    <cellStyle name="通貨 2 3" xfId="64" xr:uid="{00000000-0005-0000-0000-000033000000}"/>
    <cellStyle name="通貨 2 4" xfId="65" xr:uid="{00000000-0005-0000-0000-000034000000}"/>
    <cellStyle name="通貨 2 5" xfId="66" xr:uid="{00000000-0005-0000-0000-000035000000}"/>
    <cellStyle name="通貨 2 6" xfId="67" xr:uid="{00000000-0005-0000-0000-000036000000}"/>
    <cellStyle name="通貨 3" xfId="46" xr:uid="{00000000-0005-0000-0000-000037000000}"/>
    <cellStyle name="通貨 3 2" xfId="68" xr:uid="{00000000-0005-0000-0000-000038000000}"/>
    <cellStyle name="入力 2" xfId="48" xr:uid="{00000000-0005-0000-0000-000039000000}"/>
    <cellStyle name="標準" xfId="0" builtinId="0"/>
    <cellStyle name="標準 10" xfId="69" xr:uid="{00000000-0005-0000-0000-00003B000000}"/>
    <cellStyle name="標準 11" xfId="70" xr:uid="{00000000-0005-0000-0000-00003C000000}"/>
    <cellStyle name="標準 12" xfId="71" xr:uid="{00000000-0005-0000-0000-00003D000000}"/>
    <cellStyle name="標準 13" xfId="72" xr:uid="{00000000-0005-0000-0000-00003E000000}"/>
    <cellStyle name="標準 14" xfId="73" xr:uid="{00000000-0005-0000-0000-00003F000000}"/>
    <cellStyle name="標準 15" xfId="74" xr:uid="{00000000-0005-0000-0000-000040000000}"/>
    <cellStyle name="標準 16" xfId="75" xr:uid="{00000000-0005-0000-0000-000041000000}"/>
    <cellStyle name="標準 17" xfId="76" xr:uid="{00000000-0005-0000-0000-000042000000}"/>
    <cellStyle name="標準 18" xfId="77" xr:uid="{00000000-0005-0000-0000-000043000000}"/>
    <cellStyle name="標準 19" xfId="78" xr:uid="{00000000-0005-0000-0000-000044000000}"/>
    <cellStyle name="標準 2" xfId="1" xr:uid="{00000000-0005-0000-0000-000045000000}"/>
    <cellStyle name="標準 2 2" xfId="50" xr:uid="{00000000-0005-0000-0000-000046000000}"/>
    <cellStyle name="標準 2 2 2" xfId="163" xr:uid="{00000000-0005-0000-0000-000047000000}"/>
    <cellStyle name="標準 2 3" xfId="51" xr:uid="{00000000-0005-0000-0000-000048000000}"/>
    <cellStyle name="標準 2 3 2" xfId="79" xr:uid="{00000000-0005-0000-0000-000049000000}"/>
    <cellStyle name="標準 2 4" xfId="49" xr:uid="{00000000-0005-0000-0000-00004A000000}"/>
    <cellStyle name="標準 2 5" xfId="80" xr:uid="{00000000-0005-0000-0000-00004B000000}"/>
    <cellStyle name="標準 2 5 2 2" xfId="177" xr:uid="{00000000-0005-0000-0000-00004C000000}"/>
    <cellStyle name="標準 2 6" xfId="136" xr:uid="{00000000-0005-0000-0000-00004D000000}"/>
    <cellStyle name="標準 2 6 2" xfId="150" xr:uid="{00000000-0005-0000-0000-00004E000000}"/>
    <cellStyle name="標準 2 6 2 2" xfId="178" xr:uid="{00000000-0005-0000-0000-00004F000000}"/>
    <cellStyle name="標準 2 7" xfId="125" xr:uid="{00000000-0005-0000-0000-000050000000}"/>
    <cellStyle name="標準 2 7 2" xfId="147" xr:uid="{00000000-0005-0000-0000-000051000000}"/>
    <cellStyle name="標準 20" xfId="81" xr:uid="{00000000-0005-0000-0000-000052000000}"/>
    <cellStyle name="標準 21" xfId="82" xr:uid="{00000000-0005-0000-0000-000053000000}"/>
    <cellStyle name="標準 22" xfId="83" xr:uid="{00000000-0005-0000-0000-000054000000}"/>
    <cellStyle name="標準 23" xfId="84" xr:uid="{00000000-0005-0000-0000-000055000000}"/>
    <cellStyle name="標準 24" xfId="85" xr:uid="{00000000-0005-0000-0000-000056000000}"/>
    <cellStyle name="標準 25" xfId="86" xr:uid="{00000000-0005-0000-0000-000057000000}"/>
    <cellStyle name="標準 26" xfId="87" xr:uid="{00000000-0005-0000-0000-000058000000}"/>
    <cellStyle name="標準 27" xfId="88" xr:uid="{00000000-0005-0000-0000-000059000000}"/>
    <cellStyle name="標準 28" xfId="89" xr:uid="{00000000-0005-0000-0000-00005A000000}"/>
    <cellStyle name="標準 29" xfId="90" xr:uid="{00000000-0005-0000-0000-00005B000000}"/>
    <cellStyle name="標準 3" xfId="52" xr:uid="{00000000-0005-0000-0000-00005C000000}"/>
    <cellStyle name="標準 3 2" xfId="56" xr:uid="{00000000-0005-0000-0000-00005D000000}"/>
    <cellStyle name="標準 3 3" xfId="126" xr:uid="{00000000-0005-0000-0000-00005E000000}"/>
    <cellStyle name="標準 3 4" xfId="145" xr:uid="{00000000-0005-0000-0000-00005F000000}"/>
    <cellStyle name="標準 3 4 2" xfId="152" xr:uid="{00000000-0005-0000-0000-000060000000}"/>
    <cellStyle name="標準 3 5" xfId="149" xr:uid="{00000000-0005-0000-0000-000061000000}"/>
    <cellStyle name="標準 3 6" xfId="175" xr:uid="{00000000-0005-0000-0000-000062000000}"/>
    <cellStyle name="標準 30" xfId="58" xr:uid="{00000000-0005-0000-0000-000063000000}"/>
    <cellStyle name="標準 31" xfId="91" xr:uid="{00000000-0005-0000-0000-000064000000}"/>
    <cellStyle name="標準 32" xfId="92" xr:uid="{00000000-0005-0000-0000-000065000000}"/>
    <cellStyle name="標準 33" xfId="93" xr:uid="{00000000-0005-0000-0000-000066000000}"/>
    <cellStyle name="標準 34" xfId="94" xr:uid="{00000000-0005-0000-0000-000067000000}"/>
    <cellStyle name="標準 35" xfId="95" xr:uid="{00000000-0005-0000-0000-000068000000}"/>
    <cellStyle name="標準 36" xfId="96" xr:uid="{00000000-0005-0000-0000-000069000000}"/>
    <cellStyle name="標準 37" xfId="97" xr:uid="{00000000-0005-0000-0000-00006A000000}"/>
    <cellStyle name="標準 38" xfId="98" xr:uid="{00000000-0005-0000-0000-00006B000000}"/>
    <cellStyle name="標準 39" xfId="99" xr:uid="{00000000-0005-0000-0000-00006C000000}"/>
    <cellStyle name="標準 4" xfId="53" xr:uid="{00000000-0005-0000-0000-00006D000000}"/>
    <cellStyle name="標準 4 2" xfId="100" xr:uid="{00000000-0005-0000-0000-00006E000000}"/>
    <cellStyle name="標準 4 2 2" xfId="101" xr:uid="{00000000-0005-0000-0000-00006F000000}"/>
    <cellStyle name="標準 4 3" xfId="102" xr:uid="{00000000-0005-0000-0000-000070000000}"/>
    <cellStyle name="標準 40" xfId="103" xr:uid="{00000000-0005-0000-0000-000071000000}"/>
    <cellStyle name="標準 41" xfId="104" xr:uid="{00000000-0005-0000-0000-000072000000}"/>
    <cellStyle name="標準 42" xfId="105" xr:uid="{00000000-0005-0000-0000-000073000000}"/>
    <cellStyle name="標準 43" xfId="106" xr:uid="{00000000-0005-0000-0000-000074000000}"/>
    <cellStyle name="標準 44" xfId="107" xr:uid="{00000000-0005-0000-0000-000075000000}"/>
    <cellStyle name="標準 45" xfId="108" xr:uid="{00000000-0005-0000-0000-000076000000}"/>
    <cellStyle name="標準 46" xfId="156" xr:uid="{00000000-0005-0000-0000-000077000000}"/>
    <cellStyle name="標準 47" xfId="138" xr:uid="{00000000-0005-0000-0000-000078000000}"/>
    <cellStyle name="標準 48" xfId="139" xr:uid="{00000000-0005-0000-0000-000079000000}"/>
    <cellStyle name="標準 49" xfId="143" xr:uid="{00000000-0005-0000-0000-00007A000000}"/>
    <cellStyle name="標準 5" xfId="4" xr:uid="{00000000-0005-0000-0000-00007B000000}"/>
    <cellStyle name="標準 5 2" xfId="57" xr:uid="{00000000-0005-0000-0000-00007C000000}"/>
    <cellStyle name="標準 5 2 2" xfId="109" xr:uid="{00000000-0005-0000-0000-00007D000000}"/>
    <cellStyle name="標準 5 2 2 2" xfId="144" xr:uid="{00000000-0005-0000-0000-00007E000000}"/>
    <cellStyle name="標準 5 2 3" xfId="110" xr:uid="{00000000-0005-0000-0000-00007F000000}"/>
    <cellStyle name="標準 5 2 4" xfId="111" xr:uid="{00000000-0005-0000-0000-000080000000}"/>
    <cellStyle name="標準 5 3" xfId="112" xr:uid="{00000000-0005-0000-0000-000081000000}"/>
    <cellStyle name="標準 5 4" xfId="113" xr:uid="{00000000-0005-0000-0000-000082000000}"/>
    <cellStyle name="標準 5 5" xfId="114" xr:uid="{00000000-0005-0000-0000-000083000000}"/>
    <cellStyle name="標準 50" xfId="146" xr:uid="{00000000-0005-0000-0000-000084000000}"/>
    <cellStyle name="標準 50 2" xfId="148" xr:uid="{00000000-0005-0000-0000-000085000000}"/>
    <cellStyle name="標準 50 3" xfId="153" xr:uid="{00000000-0005-0000-0000-000086000000}"/>
    <cellStyle name="標準 51" xfId="151" xr:uid="{00000000-0005-0000-0000-000087000000}"/>
    <cellStyle name="標準 51 2" xfId="155" xr:uid="{00000000-0005-0000-0000-000088000000}"/>
    <cellStyle name="標準 52" xfId="157" xr:uid="{00000000-0005-0000-0000-000089000000}"/>
    <cellStyle name="標準 53" xfId="159" xr:uid="{00000000-0005-0000-0000-00008A000000}"/>
    <cellStyle name="標準 54" xfId="160" xr:uid="{00000000-0005-0000-0000-00008B000000}"/>
    <cellStyle name="標準 55" xfId="161" xr:uid="{00000000-0005-0000-0000-00008C000000}"/>
    <cellStyle name="標準 56" xfId="162" xr:uid="{00000000-0005-0000-0000-00008D000000}"/>
    <cellStyle name="標準 57" xfId="169" xr:uid="{00000000-0005-0000-0000-00008E000000}"/>
    <cellStyle name="標準 58" xfId="170" xr:uid="{00000000-0005-0000-0000-00008F000000}"/>
    <cellStyle name="標準 59" xfId="171" xr:uid="{00000000-0005-0000-0000-000090000000}"/>
    <cellStyle name="標準 6" xfId="55" xr:uid="{00000000-0005-0000-0000-000091000000}"/>
    <cellStyle name="標準 6 2" xfId="115" xr:uid="{00000000-0005-0000-0000-000092000000}"/>
    <cellStyle name="標準 60" xfId="172" xr:uid="{00000000-0005-0000-0000-000093000000}"/>
    <cellStyle name="標準 61" xfId="131" xr:uid="{00000000-0005-0000-0000-000094000000}"/>
    <cellStyle name="標準 62" xfId="132" xr:uid="{00000000-0005-0000-0000-000095000000}"/>
    <cellStyle name="標準 63" xfId="129" xr:uid="{00000000-0005-0000-0000-000096000000}"/>
    <cellStyle name="標準 63 2" xfId="137" xr:uid="{00000000-0005-0000-0000-000097000000}"/>
    <cellStyle name="標準 64" xfId="130" xr:uid="{00000000-0005-0000-0000-000098000000}"/>
    <cellStyle name="標準 65" xfId="173" xr:uid="{00000000-0005-0000-0000-000099000000}"/>
    <cellStyle name="標準 66" xfId="174" xr:uid="{00000000-0005-0000-0000-00009A000000}"/>
    <cellStyle name="標準 67" xfId="140" xr:uid="{00000000-0005-0000-0000-00009B000000}"/>
    <cellStyle name="標準 68" xfId="141" xr:uid="{00000000-0005-0000-0000-00009C000000}"/>
    <cellStyle name="標準 69" xfId="142" xr:uid="{00000000-0005-0000-0000-00009D000000}"/>
    <cellStyle name="標準 7" xfId="116" xr:uid="{00000000-0005-0000-0000-00009E000000}"/>
    <cellStyle name="標準 7 2" xfId="117" xr:uid="{00000000-0005-0000-0000-00009F000000}"/>
    <cellStyle name="標準 7 3" xfId="120" xr:uid="{00000000-0005-0000-0000-0000A0000000}"/>
    <cellStyle name="標準 7 3 2" xfId="154" xr:uid="{00000000-0005-0000-0000-0000A1000000}"/>
    <cellStyle name="標準 7 4" xfId="121" xr:uid="{00000000-0005-0000-0000-0000A2000000}"/>
    <cellStyle name="標準 7 4 2" xfId="135" xr:uid="{00000000-0005-0000-0000-0000A3000000}"/>
    <cellStyle name="標準 7 5" xfId="127" xr:uid="{00000000-0005-0000-0000-0000A4000000}"/>
    <cellStyle name="標準 70" xfId="180" xr:uid="{00000000-0005-0000-0000-0000B4000000}"/>
    <cellStyle name="標準 8" xfId="118" xr:uid="{00000000-0005-0000-0000-0000A5000000}"/>
    <cellStyle name="標準 8 2" xfId="124" xr:uid="{00000000-0005-0000-0000-0000A6000000}"/>
    <cellStyle name="標準 8 2 2" xfId="133" xr:uid="{00000000-0005-0000-0000-0000A7000000}"/>
    <cellStyle name="標準 9" xfId="119" xr:uid="{00000000-0005-0000-0000-0000A8000000}"/>
    <cellStyle name="標準 9 2" xfId="122" xr:uid="{00000000-0005-0000-0000-0000A9000000}"/>
    <cellStyle name="標準 9 2 2" xfId="123" xr:uid="{00000000-0005-0000-0000-0000AA000000}"/>
    <cellStyle name="標準 9 2 3" xfId="134" xr:uid="{00000000-0005-0000-0000-0000AB000000}"/>
    <cellStyle name="標準_■（既存住宅）建設申請書・連絡先" xfId="165" xr:uid="{00000000-0005-0000-0000-0000AC000000}"/>
    <cellStyle name="標準_■設計住宅性能評価申請書0201" xfId="164" xr:uid="{00000000-0005-0000-0000-0000AD000000}"/>
    <cellStyle name="標準_■設計申請書（連絡先）030701" xfId="168" xr:uid="{00000000-0005-0000-0000-0000AE000000}"/>
    <cellStyle name="標準_Sheet1" xfId="179" xr:uid="{00000000-0005-0000-0000-0000AF000000}"/>
    <cellStyle name="標準_tg41" xfId="158" xr:uid="{00000000-0005-0000-0000-0000B0000000}"/>
    <cellStyle name="標準_建設申請書（連絡先）" xfId="166" xr:uid="{00000000-0005-0000-0000-0000B1000000}"/>
    <cellStyle name="標準_主要用途" xfId="3" xr:uid="{00000000-0005-0000-0000-0000B2000000}"/>
    <cellStyle name="良い 2" xfId="54" xr:uid="{00000000-0005-0000-0000-0000B3000000}"/>
  </cellStyles>
  <dxfs count="21">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FF99"/>
      <color rgb="FF92D05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1" Type="http://schemas.openxmlformats.org/officeDocument/2006/relationships/hyperlink" Target="https://uhec.co.jp/wp/wp-content/uploads/2022/04/kininjyo-stamp.docx" TargetMode="External"/></Relationships>
</file>

<file path=xl/drawings/drawing1.xml><?xml version="1.0" encoding="utf-8"?>
<xdr:wsDr xmlns:xdr="http://schemas.openxmlformats.org/drawingml/2006/spreadsheetDrawing" xmlns:a="http://schemas.openxmlformats.org/drawingml/2006/main">
  <xdr:twoCellAnchor>
    <xdr:from>
      <xdr:col>1</xdr:col>
      <xdr:colOff>9544</xdr:colOff>
      <xdr:row>19</xdr:row>
      <xdr:rowOff>0</xdr:rowOff>
    </xdr:from>
    <xdr:to>
      <xdr:col>107</xdr:col>
      <xdr:colOff>47606</xdr:colOff>
      <xdr:row>19</xdr:row>
      <xdr:rowOff>0</xdr:rowOff>
    </xdr:to>
    <xdr:sp macro="" textlink="">
      <xdr:nvSpPr>
        <xdr:cNvPr id="2" name="Picture 1">
          <a:extLst>
            <a:ext uri="{FF2B5EF4-FFF2-40B4-BE49-F238E27FC236}">
              <a16:creationId xmlns:a16="http://schemas.microsoft.com/office/drawing/2014/main" id="{00000000-0008-0000-1100-000002000000}"/>
            </a:ext>
          </a:extLst>
        </xdr:cNvPr>
        <xdr:cNvSpPr/>
      </xdr:nvSpPr>
      <xdr:spPr>
        <a:xfrm>
          <a:off x="66675" y="3219450"/>
          <a:ext cx="6096000" cy="0"/>
        </a:xfrm>
        <a:prstGeom prst="line">
          <a:avLst/>
        </a:prstGeom>
        <a:ln w="9525">
          <a:solidFill>
            <a:srgbClr val="000000"/>
          </a:solidFill>
        </a:ln>
      </xdr:spPr>
      <xdr:txBody>
        <a:bodyPr vertOverflow="clip" horzOverflow="clip"/>
        <a:lstStyle/>
        <a:p>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74753" name="チェック1" hidden="1">
              <a:extLst>
                <a:ext uri="{63B3BB69-23CF-44E3-9099-C40C66FF867C}">
                  <a14:compatExt spid="_x0000_s74753"/>
                </a:ext>
                <a:ext uri="{FF2B5EF4-FFF2-40B4-BE49-F238E27FC236}">
                  <a16:creationId xmlns:a16="http://schemas.microsoft.com/office/drawing/2014/main" id="{00000000-0008-0000-1400-00000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74754" name="チェック4" hidden="1">
              <a:extLst>
                <a:ext uri="{63B3BB69-23CF-44E3-9099-C40C66FF867C}">
                  <a14:compatExt spid="_x0000_s74754"/>
                </a:ext>
                <a:ext uri="{FF2B5EF4-FFF2-40B4-BE49-F238E27FC236}">
                  <a16:creationId xmlns:a16="http://schemas.microsoft.com/office/drawing/2014/main" id="{00000000-0008-0000-1400-00000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74755" name="チェック18" hidden="1">
              <a:extLst>
                <a:ext uri="{63B3BB69-23CF-44E3-9099-C40C66FF867C}">
                  <a14:compatExt spid="_x0000_s74755"/>
                </a:ext>
                <a:ext uri="{FF2B5EF4-FFF2-40B4-BE49-F238E27FC236}">
                  <a16:creationId xmlns:a16="http://schemas.microsoft.com/office/drawing/2014/main" id="{00000000-0008-0000-1400-00000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74756" name="チェック19" hidden="1">
              <a:extLst>
                <a:ext uri="{63B3BB69-23CF-44E3-9099-C40C66FF867C}">
                  <a14:compatExt spid="_x0000_s74756"/>
                </a:ext>
                <a:ext uri="{FF2B5EF4-FFF2-40B4-BE49-F238E27FC236}">
                  <a16:creationId xmlns:a16="http://schemas.microsoft.com/office/drawing/2014/main" id="{00000000-0008-0000-1400-00000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74757" name="チェック20" hidden="1">
              <a:extLst>
                <a:ext uri="{63B3BB69-23CF-44E3-9099-C40C66FF867C}">
                  <a14:compatExt spid="_x0000_s74757"/>
                </a:ext>
                <a:ext uri="{FF2B5EF4-FFF2-40B4-BE49-F238E27FC236}">
                  <a16:creationId xmlns:a16="http://schemas.microsoft.com/office/drawing/2014/main" id="{00000000-0008-0000-1400-00000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74758" name="チェック68" hidden="1">
              <a:extLst>
                <a:ext uri="{63B3BB69-23CF-44E3-9099-C40C66FF867C}">
                  <a14:compatExt spid="_x0000_s74758"/>
                </a:ext>
                <a:ext uri="{FF2B5EF4-FFF2-40B4-BE49-F238E27FC236}">
                  <a16:creationId xmlns:a16="http://schemas.microsoft.com/office/drawing/2014/main" id="{00000000-0008-0000-1400-00000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42</xdr:row>
          <xdr:rowOff>0</xdr:rowOff>
        </xdr:from>
        <xdr:to>
          <xdr:col>18</xdr:col>
          <xdr:colOff>0</xdr:colOff>
          <xdr:row>43</xdr:row>
          <xdr:rowOff>0</xdr:rowOff>
        </xdr:to>
        <xdr:sp macro="" textlink="">
          <xdr:nvSpPr>
            <xdr:cNvPr id="74759" name="チェック69" hidden="1">
              <a:extLst>
                <a:ext uri="{63B3BB69-23CF-44E3-9099-C40C66FF867C}">
                  <a14:compatExt spid="_x0000_s74759"/>
                </a:ext>
                <a:ext uri="{FF2B5EF4-FFF2-40B4-BE49-F238E27FC236}">
                  <a16:creationId xmlns:a16="http://schemas.microsoft.com/office/drawing/2014/main" id="{00000000-0008-0000-1400-00000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74760" name="チェック70" hidden="1">
              <a:extLst>
                <a:ext uri="{63B3BB69-23CF-44E3-9099-C40C66FF867C}">
                  <a14:compatExt spid="_x0000_s74760"/>
                </a:ext>
                <a:ext uri="{FF2B5EF4-FFF2-40B4-BE49-F238E27FC236}">
                  <a16:creationId xmlns:a16="http://schemas.microsoft.com/office/drawing/2014/main" id="{00000000-0008-0000-1400-00000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74761" name="チェック71" hidden="1">
              <a:extLst>
                <a:ext uri="{63B3BB69-23CF-44E3-9099-C40C66FF867C}">
                  <a14:compatExt spid="_x0000_s74761"/>
                </a:ext>
                <a:ext uri="{FF2B5EF4-FFF2-40B4-BE49-F238E27FC236}">
                  <a16:creationId xmlns:a16="http://schemas.microsoft.com/office/drawing/2014/main" id="{00000000-0008-0000-1400-00000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74762" name="チェック72" hidden="1">
              <a:extLst>
                <a:ext uri="{63B3BB69-23CF-44E3-9099-C40C66FF867C}">
                  <a14:compatExt spid="_x0000_s74762"/>
                </a:ext>
                <a:ext uri="{FF2B5EF4-FFF2-40B4-BE49-F238E27FC236}">
                  <a16:creationId xmlns:a16="http://schemas.microsoft.com/office/drawing/2014/main" id="{00000000-0008-0000-1400-00000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74763" name="チェック34" hidden="1">
              <a:extLst>
                <a:ext uri="{63B3BB69-23CF-44E3-9099-C40C66FF867C}">
                  <a14:compatExt spid="_x0000_s74763"/>
                </a:ext>
                <a:ext uri="{FF2B5EF4-FFF2-40B4-BE49-F238E27FC236}">
                  <a16:creationId xmlns:a16="http://schemas.microsoft.com/office/drawing/2014/main" id="{00000000-0008-0000-1400-00000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26</xdr:row>
          <xdr:rowOff>0</xdr:rowOff>
        </xdr:from>
        <xdr:to>
          <xdr:col>10</xdr:col>
          <xdr:colOff>0</xdr:colOff>
          <xdr:row>28</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1400-00000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1400-00000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12</xdr:row>
          <xdr:rowOff>0</xdr:rowOff>
        </xdr:from>
        <xdr:to>
          <xdr:col>19</xdr:col>
          <xdr:colOff>0</xdr:colOff>
          <xdr:row>13</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1400-00000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1400-00000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1400-00001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47</xdr:row>
          <xdr:rowOff>0</xdr:rowOff>
        </xdr:from>
        <xdr:to>
          <xdr:col>17</xdr:col>
          <xdr:colOff>0</xdr:colOff>
          <xdr:row>48</xdr:row>
          <xdr:rowOff>0</xdr:rowOff>
        </xdr:to>
        <xdr:sp macro="" textlink="">
          <xdr:nvSpPr>
            <xdr:cNvPr id="74769" name="チェック83" hidden="1">
              <a:extLst>
                <a:ext uri="{63B3BB69-23CF-44E3-9099-C40C66FF867C}">
                  <a14:compatExt spid="_x0000_s74769"/>
                </a:ext>
                <a:ext uri="{FF2B5EF4-FFF2-40B4-BE49-F238E27FC236}">
                  <a16:creationId xmlns:a16="http://schemas.microsoft.com/office/drawing/2014/main" id="{00000000-0008-0000-1400-00001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47</xdr:row>
          <xdr:rowOff>0</xdr:rowOff>
        </xdr:from>
        <xdr:to>
          <xdr:col>24</xdr:col>
          <xdr:colOff>0</xdr:colOff>
          <xdr:row>48</xdr:row>
          <xdr:rowOff>0</xdr:rowOff>
        </xdr:to>
        <xdr:sp macro="" textlink="">
          <xdr:nvSpPr>
            <xdr:cNvPr id="74770" name="チェック84" hidden="1">
              <a:extLst>
                <a:ext uri="{63B3BB69-23CF-44E3-9099-C40C66FF867C}">
                  <a14:compatExt spid="_x0000_s74770"/>
                </a:ext>
                <a:ext uri="{FF2B5EF4-FFF2-40B4-BE49-F238E27FC236}">
                  <a16:creationId xmlns:a16="http://schemas.microsoft.com/office/drawing/2014/main" id="{00000000-0008-0000-1400-00001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47</xdr:row>
          <xdr:rowOff>0</xdr:rowOff>
        </xdr:from>
        <xdr:to>
          <xdr:col>31</xdr:col>
          <xdr:colOff>0</xdr:colOff>
          <xdr:row>48</xdr:row>
          <xdr:rowOff>0</xdr:rowOff>
        </xdr:to>
        <xdr:sp macro="" textlink="">
          <xdr:nvSpPr>
            <xdr:cNvPr id="74771" name="チェック85" hidden="1">
              <a:extLst>
                <a:ext uri="{63B3BB69-23CF-44E3-9099-C40C66FF867C}">
                  <a14:compatExt spid="_x0000_s74771"/>
                </a:ext>
                <a:ext uri="{FF2B5EF4-FFF2-40B4-BE49-F238E27FC236}">
                  <a16:creationId xmlns:a16="http://schemas.microsoft.com/office/drawing/2014/main" id="{00000000-0008-0000-1400-00001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74772" name="チェック73" hidden="1">
              <a:extLst>
                <a:ext uri="{63B3BB69-23CF-44E3-9099-C40C66FF867C}">
                  <a14:compatExt spid="_x0000_s74772"/>
                </a:ext>
                <a:ext uri="{FF2B5EF4-FFF2-40B4-BE49-F238E27FC236}">
                  <a16:creationId xmlns:a16="http://schemas.microsoft.com/office/drawing/2014/main" id="{00000000-0008-0000-1400-00001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44</xdr:row>
          <xdr:rowOff>0</xdr:rowOff>
        </xdr:from>
        <xdr:to>
          <xdr:col>16</xdr:col>
          <xdr:colOff>182880</xdr:colOff>
          <xdr:row>45</xdr:row>
          <xdr:rowOff>0</xdr:rowOff>
        </xdr:to>
        <xdr:sp macro="" textlink="">
          <xdr:nvSpPr>
            <xdr:cNvPr id="74773" name="チェック74" hidden="1">
              <a:extLst>
                <a:ext uri="{63B3BB69-23CF-44E3-9099-C40C66FF867C}">
                  <a14:compatExt spid="_x0000_s74773"/>
                </a:ext>
                <a:ext uri="{FF2B5EF4-FFF2-40B4-BE49-F238E27FC236}">
                  <a16:creationId xmlns:a16="http://schemas.microsoft.com/office/drawing/2014/main" id="{00000000-0008-0000-1400-00001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74774" name="チェック75" hidden="1">
              <a:extLst>
                <a:ext uri="{63B3BB69-23CF-44E3-9099-C40C66FF867C}">
                  <a14:compatExt spid="_x0000_s74774"/>
                </a:ext>
                <a:ext uri="{FF2B5EF4-FFF2-40B4-BE49-F238E27FC236}">
                  <a16:creationId xmlns:a16="http://schemas.microsoft.com/office/drawing/2014/main" id="{00000000-0008-0000-1400-00001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74775" name="チェック76" hidden="1">
              <a:extLst>
                <a:ext uri="{63B3BB69-23CF-44E3-9099-C40C66FF867C}">
                  <a14:compatExt spid="_x0000_s74775"/>
                </a:ext>
                <a:ext uri="{FF2B5EF4-FFF2-40B4-BE49-F238E27FC236}">
                  <a16:creationId xmlns:a16="http://schemas.microsoft.com/office/drawing/2014/main" id="{00000000-0008-0000-1400-00001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45</xdr:row>
          <xdr:rowOff>0</xdr:rowOff>
        </xdr:from>
        <xdr:to>
          <xdr:col>16</xdr:col>
          <xdr:colOff>182880</xdr:colOff>
          <xdr:row>46</xdr:row>
          <xdr:rowOff>0</xdr:rowOff>
        </xdr:to>
        <xdr:sp macro="" textlink="">
          <xdr:nvSpPr>
            <xdr:cNvPr id="74776" name="チェック77" hidden="1">
              <a:extLst>
                <a:ext uri="{63B3BB69-23CF-44E3-9099-C40C66FF867C}">
                  <a14:compatExt spid="_x0000_s74776"/>
                </a:ext>
                <a:ext uri="{FF2B5EF4-FFF2-40B4-BE49-F238E27FC236}">
                  <a16:creationId xmlns:a16="http://schemas.microsoft.com/office/drawing/2014/main" id="{00000000-0008-0000-1400-00001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74777" name="チェック78" hidden="1">
              <a:extLst>
                <a:ext uri="{63B3BB69-23CF-44E3-9099-C40C66FF867C}">
                  <a14:compatExt spid="_x0000_s74777"/>
                </a:ext>
                <a:ext uri="{FF2B5EF4-FFF2-40B4-BE49-F238E27FC236}">
                  <a16:creationId xmlns:a16="http://schemas.microsoft.com/office/drawing/2014/main" id="{00000000-0008-0000-1400-00001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74778" name="チェック79" hidden="1">
              <a:extLst>
                <a:ext uri="{63B3BB69-23CF-44E3-9099-C40C66FF867C}">
                  <a14:compatExt spid="_x0000_s74778"/>
                </a:ext>
                <a:ext uri="{FF2B5EF4-FFF2-40B4-BE49-F238E27FC236}">
                  <a16:creationId xmlns:a16="http://schemas.microsoft.com/office/drawing/2014/main" id="{00000000-0008-0000-1400-00001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46</xdr:row>
          <xdr:rowOff>0</xdr:rowOff>
        </xdr:from>
        <xdr:to>
          <xdr:col>16</xdr:col>
          <xdr:colOff>182880</xdr:colOff>
          <xdr:row>47</xdr:row>
          <xdr:rowOff>0</xdr:rowOff>
        </xdr:to>
        <xdr:sp macro="" textlink="">
          <xdr:nvSpPr>
            <xdr:cNvPr id="74779" name="チェック80" hidden="1">
              <a:extLst>
                <a:ext uri="{63B3BB69-23CF-44E3-9099-C40C66FF867C}">
                  <a14:compatExt spid="_x0000_s74779"/>
                </a:ext>
                <a:ext uri="{FF2B5EF4-FFF2-40B4-BE49-F238E27FC236}">
                  <a16:creationId xmlns:a16="http://schemas.microsoft.com/office/drawing/2014/main" id="{00000000-0008-0000-1400-00001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74780" name="チェック81" hidden="1">
              <a:extLst>
                <a:ext uri="{63B3BB69-23CF-44E3-9099-C40C66FF867C}">
                  <a14:compatExt spid="_x0000_s74780"/>
                </a:ext>
                <a:ext uri="{FF2B5EF4-FFF2-40B4-BE49-F238E27FC236}">
                  <a16:creationId xmlns:a16="http://schemas.microsoft.com/office/drawing/2014/main" id="{00000000-0008-0000-1400-00001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xdr:row>
          <xdr:rowOff>0</xdr:rowOff>
        </xdr:from>
        <xdr:to>
          <xdr:col>10</xdr:col>
          <xdr:colOff>0</xdr:colOff>
          <xdr:row>13</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1400-00001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1400-00001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54</xdr:row>
          <xdr:rowOff>0</xdr:rowOff>
        </xdr:from>
        <xdr:to>
          <xdr:col>18</xdr:col>
          <xdr:colOff>7620</xdr:colOff>
          <xdr:row>55</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1400-00001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1400-00002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1400-00002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1400-00002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1400-00002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56</xdr:row>
          <xdr:rowOff>0</xdr:rowOff>
        </xdr:from>
        <xdr:to>
          <xdr:col>16</xdr:col>
          <xdr:colOff>182880</xdr:colOff>
          <xdr:row>57</xdr:row>
          <xdr:rowOff>0</xdr:rowOff>
        </xdr:to>
        <xdr:sp macro="" textlink="">
          <xdr:nvSpPr>
            <xdr:cNvPr id="74788" name="Check Box 36" hidden="1">
              <a:extLst>
                <a:ext uri="{63B3BB69-23CF-44E3-9099-C40C66FF867C}">
                  <a14:compatExt spid="_x0000_s74788"/>
                </a:ext>
                <a:ext uri="{FF2B5EF4-FFF2-40B4-BE49-F238E27FC236}">
                  <a16:creationId xmlns:a16="http://schemas.microsoft.com/office/drawing/2014/main" id="{00000000-0008-0000-1400-00002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1400-00002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74790" name="Check Box 38" hidden="1">
              <a:extLst>
                <a:ext uri="{63B3BB69-23CF-44E3-9099-C40C66FF867C}">
                  <a14:compatExt spid="_x0000_s74790"/>
                </a:ext>
                <a:ext uri="{FF2B5EF4-FFF2-40B4-BE49-F238E27FC236}">
                  <a16:creationId xmlns:a16="http://schemas.microsoft.com/office/drawing/2014/main" id="{00000000-0008-0000-1400-00002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74791" name="Check Box 39" hidden="1">
              <a:extLst>
                <a:ext uri="{63B3BB69-23CF-44E3-9099-C40C66FF867C}">
                  <a14:compatExt spid="_x0000_s74791"/>
                </a:ext>
                <a:ext uri="{FF2B5EF4-FFF2-40B4-BE49-F238E27FC236}">
                  <a16:creationId xmlns:a16="http://schemas.microsoft.com/office/drawing/2014/main" id="{00000000-0008-0000-1400-00002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1400-00002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74793" name="Check Box 41" hidden="1">
              <a:extLst>
                <a:ext uri="{63B3BB69-23CF-44E3-9099-C40C66FF867C}">
                  <a14:compatExt spid="_x0000_s74793"/>
                </a:ext>
                <a:ext uri="{FF2B5EF4-FFF2-40B4-BE49-F238E27FC236}">
                  <a16:creationId xmlns:a16="http://schemas.microsoft.com/office/drawing/2014/main" id="{00000000-0008-0000-1400-00002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58</xdr:row>
          <xdr:rowOff>0</xdr:rowOff>
        </xdr:from>
        <xdr:to>
          <xdr:col>17</xdr:col>
          <xdr:colOff>0</xdr:colOff>
          <xdr:row>59</xdr:row>
          <xdr:rowOff>7620</xdr:rowOff>
        </xdr:to>
        <xdr:sp macro="" textlink="">
          <xdr:nvSpPr>
            <xdr:cNvPr id="74794" name="Check Box 42" hidden="1">
              <a:extLst>
                <a:ext uri="{63B3BB69-23CF-44E3-9099-C40C66FF867C}">
                  <a14:compatExt spid="_x0000_s74794"/>
                </a:ext>
                <a:ext uri="{FF2B5EF4-FFF2-40B4-BE49-F238E27FC236}">
                  <a16:creationId xmlns:a16="http://schemas.microsoft.com/office/drawing/2014/main" id="{00000000-0008-0000-1400-00002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74795" name="Check Box 43" hidden="1">
              <a:extLst>
                <a:ext uri="{63B3BB69-23CF-44E3-9099-C40C66FF867C}">
                  <a14:compatExt spid="_x0000_s74795"/>
                </a:ext>
                <a:ext uri="{FF2B5EF4-FFF2-40B4-BE49-F238E27FC236}">
                  <a16:creationId xmlns:a16="http://schemas.microsoft.com/office/drawing/2014/main" id="{00000000-0008-0000-1400-00002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74796" name="Check Box 44" hidden="1">
              <a:extLst>
                <a:ext uri="{63B3BB69-23CF-44E3-9099-C40C66FF867C}">
                  <a14:compatExt spid="_x0000_s74796"/>
                </a:ext>
                <a:ext uri="{FF2B5EF4-FFF2-40B4-BE49-F238E27FC236}">
                  <a16:creationId xmlns:a16="http://schemas.microsoft.com/office/drawing/2014/main" id="{00000000-0008-0000-1400-00002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59</xdr:row>
          <xdr:rowOff>0</xdr:rowOff>
        </xdr:from>
        <xdr:to>
          <xdr:col>17</xdr:col>
          <xdr:colOff>0</xdr:colOff>
          <xdr:row>60</xdr:row>
          <xdr:rowOff>0</xdr:rowOff>
        </xdr:to>
        <xdr:sp macro="" textlink="">
          <xdr:nvSpPr>
            <xdr:cNvPr id="74797" name="Check Box 45" hidden="1">
              <a:extLst>
                <a:ext uri="{63B3BB69-23CF-44E3-9099-C40C66FF867C}">
                  <a14:compatExt spid="_x0000_s74797"/>
                </a:ext>
                <a:ext uri="{FF2B5EF4-FFF2-40B4-BE49-F238E27FC236}">
                  <a16:creationId xmlns:a16="http://schemas.microsoft.com/office/drawing/2014/main" id="{00000000-0008-0000-1400-00002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59</xdr:row>
          <xdr:rowOff>0</xdr:rowOff>
        </xdr:from>
        <xdr:to>
          <xdr:col>24</xdr:col>
          <xdr:colOff>0</xdr:colOff>
          <xdr:row>60</xdr:row>
          <xdr:rowOff>0</xdr:rowOff>
        </xdr:to>
        <xdr:sp macro="" textlink="">
          <xdr:nvSpPr>
            <xdr:cNvPr id="74798" name="Check Box 46" hidden="1">
              <a:extLst>
                <a:ext uri="{63B3BB69-23CF-44E3-9099-C40C66FF867C}">
                  <a14:compatExt spid="_x0000_s74798"/>
                </a:ext>
                <a:ext uri="{FF2B5EF4-FFF2-40B4-BE49-F238E27FC236}">
                  <a16:creationId xmlns:a16="http://schemas.microsoft.com/office/drawing/2014/main" id="{00000000-0008-0000-1400-00002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59</xdr:row>
          <xdr:rowOff>0</xdr:rowOff>
        </xdr:from>
        <xdr:to>
          <xdr:col>31</xdr:col>
          <xdr:colOff>0</xdr:colOff>
          <xdr:row>60</xdr:row>
          <xdr:rowOff>0</xdr:rowOff>
        </xdr:to>
        <xdr:sp macro="" textlink="">
          <xdr:nvSpPr>
            <xdr:cNvPr id="74799" name="Check Box 47" hidden="1">
              <a:extLst>
                <a:ext uri="{63B3BB69-23CF-44E3-9099-C40C66FF867C}">
                  <a14:compatExt spid="_x0000_s74799"/>
                </a:ext>
                <a:ext uri="{FF2B5EF4-FFF2-40B4-BE49-F238E27FC236}">
                  <a16:creationId xmlns:a16="http://schemas.microsoft.com/office/drawing/2014/main" id="{00000000-0008-0000-1400-00002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74800" name="Check Box 48" hidden="1">
              <a:extLst>
                <a:ext uri="{63B3BB69-23CF-44E3-9099-C40C66FF867C}">
                  <a14:compatExt spid="_x0000_s74800"/>
                </a:ext>
                <a:ext uri="{FF2B5EF4-FFF2-40B4-BE49-F238E27FC236}">
                  <a16:creationId xmlns:a16="http://schemas.microsoft.com/office/drawing/2014/main" id="{00000000-0008-0000-1400-00003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66</xdr:row>
          <xdr:rowOff>0</xdr:rowOff>
        </xdr:from>
        <xdr:to>
          <xdr:col>18</xdr:col>
          <xdr:colOff>0</xdr:colOff>
          <xdr:row>67</xdr:row>
          <xdr:rowOff>0</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1400-00003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74802" name="Check Box 50" hidden="1">
              <a:extLst>
                <a:ext uri="{63B3BB69-23CF-44E3-9099-C40C66FF867C}">
                  <a14:compatExt spid="_x0000_s74802"/>
                </a:ext>
                <a:ext uri="{FF2B5EF4-FFF2-40B4-BE49-F238E27FC236}">
                  <a16:creationId xmlns:a16="http://schemas.microsoft.com/office/drawing/2014/main" id="{00000000-0008-0000-1400-00003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74803" name="Check Box 51" hidden="1">
              <a:extLst>
                <a:ext uri="{63B3BB69-23CF-44E3-9099-C40C66FF867C}">
                  <a14:compatExt spid="_x0000_s74803"/>
                </a:ext>
                <a:ext uri="{FF2B5EF4-FFF2-40B4-BE49-F238E27FC236}">
                  <a16:creationId xmlns:a16="http://schemas.microsoft.com/office/drawing/2014/main" id="{00000000-0008-0000-1400-00003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74804" name="Check Box 52" hidden="1">
              <a:extLst>
                <a:ext uri="{63B3BB69-23CF-44E3-9099-C40C66FF867C}">
                  <a14:compatExt spid="_x0000_s74804"/>
                </a:ext>
                <a:ext uri="{FF2B5EF4-FFF2-40B4-BE49-F238E27FC236}">
                  <a16:creationId xmlns:a16="http://schemas.microsoft.com/office/drawing/2014/main" id="{00000000-0008-0000-1400-00003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74805" name="Check Box 53" hidden="1">
              <a:extLst>
                <a:ext uri="{63B3BB69-23CF-44E3-9099-C40C66FF867C}">
                  <a14:compatExt spid="_x0000_s74805"/>
                </a:ext>
                <a:ext uri="{FF2B5EF4-FFF2-40B4-BE49-F238E27FC236}">
                  <a16:creationId xmlns:a16="http://schemas.microsoft.com/office/drawing/2014/main" id="{00000000-0008-0000-1400-00003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68</xdr:row>
          <xdr:rowOff>0</xdr:rowOff>
        </xdr:from>
        <xdr:to>
          <xdr:col>16</xdr:col>
          <xdr:colOff>182880</xdr:colOff>
          <xdr:row>69</xdr:row>
          <xdr:rowOff>0</xdr:rowOff>
        </xdr:to>
        <xdr:sp macro="" textlink="">
          <xdr:nvSpPr>
            <xdr:cNvPr id="74806" name="Check Box 54" hidden="1">
              <a:extLst>
                <a:ext uri="{63B3BB69-23CF-44E3-9099-C40C66FF867C}">
                  <a14:compatExt spid="_x0000_s74806"/>
                </a:ext>
                <a:ext uri="{FF2B5EF4-FFF2-40B4-BE49-F238E27FC236}">
                  <a16:creationId xmlns:a16="http://schemas.microsoft.com/office/drawing/2014/main" id="{00000000-0008-0000-1400-00003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74807" name="Check Box 55" hidden="1">
              <a:extLst>
                <a:ext uri="{63B3BB69-23CF-44E3-9099-C40C66FF867C}">
                  <a14:compatExt spid="_x0000_s74807"/>
                </a:ext>
                <a:ext uri="{FF2B5EF4-FFF2-40B4-BE49-F238E27FC236}">
                  <a16:creationId xmlns:a16="http://schemas.microsoft.com/office/drawing/2014/main" id="{00000000-0008-0000-1400-00003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74808" name="Check Box 56" hidden="1">
              <a:extLst>
                <a:ext uri="{63B3BB69-23CF-44E3-9099-C40C66FF867C}">
                  <a14:compatExt spid="_x0000_s74808"/>
                </a:ext>
                <a:ext uri="{FF2B5EF4-FFF2-40B4-BE49-F238E27FC236}">
                  <a16:creationId xmlns:a16="http://schemas.microsoft.com/office/drawing/2014/main" id="{00000000-0008-0000-1400-00003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69</xdr:row>
          <xdr:rowOff>0</xdr:rowOff>
        </xdr:from>
        <xdr:to>
          <xdr:col>16</xdr:col>
          <xdr:colOff>182880</xdr:colOff>
          <xdr:row>70</xdr:row>
          <xdr:rowOff>0</xdr:rowOff>
        </xdr:to>
        <xdr:sp macro="" textlink="">
          <xdr:nvSpPr>
            <xdr:cNvPr id="74809" name="Check Box 57" hidden="1">
              <a:extLst>
                <a:ext uri="{63B3BB69-23CF-44E3-9099-C40C66FF867C}">
                  <a14:compatExt spid="_x0000_s74809"/>
                </a:ext>
                <a:ext uri="{FF2B5EF4-FFF2-40B4-BE49-F238E27FC236}">
                  <a16:creationId xmlns:a16="http://schemas.microsoft.com/office/drawing/2014/main" id="{00000000-0008-0000-1400-00003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74810" name="Check Box 58" hidden="1">
              <a:extLst>
                <a:ext uri="{63B3BB69-23CF-44E3-9099-C40C66FF867C}">
                  <a14:compatExt spid="_x0000_s74810"/>
                </a:ext>
                <a:ext uri="{FF2B5EF4-FFF2-40B4-BE49-F238E27FC236}">
                  <a16:creationId xmlns:a16="http://schemas.microsoft.com/office/drawing/2014/main" id="{00000000-0008-0000-1400-00003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74811" name="Check Box 59" hidden="1">
              <a:extLst>
                <a:ext uri="{63B3BB69-23CF-44E3-9099-C40C66FF867C}">
                  <a14:compatExt spid="_x0000_s74811"/>
                </a:ext>
                <a:ext uri="{FF2B5EF4-FFF2-40B4-BE49-F238E27FC236}">
                  <a16:creationId xmlns:a16="http://schemas.microsoft.com/office/drawing/2014/main" id="{00000000-0008-0000-1400-00003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70</xdr:row>
          <xdr:rowOff>0</xdr:rowOff>
        </xdr:from>
        <xdr:to>
          <xdr:col>16</xdr:col>
          <xdr:colOff>182880</xdr:colOff>
          <xdr:row>71</xdr:row>
          <xdr:rowOff>0</xdr:rowOff>
        </xdr:to>
        <xdr:sp macro="" textlink="">
          <xdr:nvSpPr>
            <xdr:cNvPr id="74812" name="Check Box 60" hidden="1">
              <a:extLst>
                <a:ext uri="{63B3BB69-23CF-44E3-9099-C40C66FF867C}">
                  <a14:compatExt spid="_x0000_s74812"/>
                </a:ext>
                <a:ext uri="{FF2B5EF4-FFF2-40B4-BE49-F238E27FC236}">
                  <a16:creationId xmlns:a16="http://schemas.microsoft.com/office/drawing/2014/main" id="{00000000-0008-0000-1400-00003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74813" name="Check Box 61" hidden="1">
              <a:extLst>
                <a:ext uri="{63B3BB69-23CF-44E3-9099-C40C66FF867C}">
                  <a14:compatExt spid="_x0000_s74813"/>
                </a:ext>
                <a:ext uri="{FF2B5EF4-FFF2-40B4-BE49-F238E27FC236}">
                  <a16:creationId xmlns:a16="http://schemas.microsoft.com/office/drawing/2014/main" id="{00000000-0008-0000-1400-00003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74814" name="Check Box 62" hidden="1">
              <a:extLst>
                <a:ext uri="{63B3BB69-23CF-44E3-9099-C40C66FF867C}">
                  <a14:compatExt spid="_x0000_s74814"/>
                </a:ext>
                <a:ext uri="{FF2B5EF4-FFF2-40B4-BE49-F238E27FC236}">
                  <a16:creationId xmlns:a16="http://schemas.microsoft.com/office/drawing/2014/main" id="{00000000-0008-0000-1400-00003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71</xdr:row>
          <xdr:rowOff>0</xdr:rowOff>
        </xdr:from>
        <xdr:to>
          <xdr:col>17</xdr:col>
          <xdr:colOff>0</xdr:colOff>
          <xdr:row>72</xdr:row>
          <xdr:rowOff>0</xdr:rowOff>
        </xdr:to>
        <xdr:sp macro="" textlink="">
          <xdr:nvSpPr>
            <xdr:cNvPr id="74815" name="Check Box 63" hidden="1">
              <a:extLst>
                <a:ext uri="{63B3BB69-23CF-44E3-9099-C40C66FF867C}">
                  <a14:compatExt spid="_x0000_s74815"/>
                </a:ext>
                <a:ext uri="{FF2B5EF4-FFF2-40B4-BE49-F238E27FC236}">
                  <a16:creationId xmlns:a16="http://schemas.microsoft.com/office/drawing/2014/main" id="{00000000-0008-0000-1400-00003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71</xdr:row>
          <xdr:rowOff>0</xdr:rowOff>
        </xdr:from>
        <xdr:to>
          <xdr:col>24</xdr:col>
          <xdr:colOff>0</xdr:colOff>
          <xdr:row>72</xdr:row>
          <xdr:rowOff>0</xdr:rowOff>
        </xdr:to>
        <xdr:sp macro="" textlink="">
          <xdr:nvSpPr>
            <xdr:cNvPr id="74816" name="Check Box 64" hidden="1">
              <a:extLst>
                <a:ext uri="{63B3BB69-23CF-44E3-9099-C40C66FF867C}">
                  <a14:compatExt spid="_x0000_s74816"/>
                </a:ext>
                <a:ext uri="{FF2B5EF4-FFF2-40B4-BE49-F238E27FC236}">
                  <a16:creationId xmlns:a16="http://schemas.microsoft.com/office/drawing/2014/main" id="{00000000-0008-0000-1400-00004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71</xdr:row>
          <xdr:rowOff>0</xdr:rowOff>
        </xdr:from>
        <xdr:to>
          <xdr:col>31</xdr:col>
          <xdr:colOff>0</xdr:colOff>
          <xdr:row>72</xdr:row>
          <xdr:rowOff>0</xdr:rowOff>
        </xdr:to>
        <xdr:sp macro="" textlink="">
          <xdr:nvSpPr>
            <xdr:cNvPr id="74817" name="Check Box 65" hidden="1">
              <a:extLst>
                <a:ext uri="{63B3BB69-23CF-44E3-9099-C40C66FF867C}">
                  <a14:compatExt spid="_x0000_s74817"/>
                </a:ext>
                <a:ext uri="{FF2B5EF4-FFF2-40B4-BE49-F238E27FC236}">
                  <a16:creationId xmlns:a16="http://schemas.microsoft.com/office/drawing/2014/main" id="{00000000-0008-0000-1400-00004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74818" name="Check Box 66" hidden="1">
              <a:extLst>
                <a:ext uri="{63B3BB69-23CF-44E3-9099-C40C66FF867C}">
                  <a14:compatExt spid="_x0000_s74818"/>
                </a:ext>
                <a:ext uri="{FF2B5EF4-FFF2-40B4-BE49-F238E27FC236}">
                  <a16:creationId xmlns:a16="http://schemas.microsoft.com/office/drawing/2014/main" id="{00000000-0008-0000-1400-00004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40</xdr:row>
          <xdr:rowOff>228600</xdr:rowOff>
        </xdr:from>
        <xdr:to>
          <xdr:col>15</xdr:col>
          <xdr:colOff>182880</xdr:colOff>
          <xdr:row>42</xdr:row>
          <xdr:rowOff>0</xdr:rowOff>
        </xdr:to>
        <xdr:sp macro="" textlink="">
          <xdr:nvSpPr>
            <xdr:cNvPr id="74819" name="Check Box 67" hidden="1">
              <a:extLst>
                <a:ext uri="{63B3BB69-23CF-44E3-9099-C40C66FF867C}">
                  <a14:compatExt spid="_x0000_s74819"/>
                </a:ext>
                <a:ext uri="{FF2B5EF4-FFF2-40B4-BE49-F238E27FC236}">
                  <a16:creationId xmlns:a16="http://schemas.microsoft.com/office/drawing/2014/main" id="{00000000-0008-0000-1400-00004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74820" name="Check Box 68" hidden="1">
              <a:extLst>
                <a:ext uri="{63B3BB69-23CF-44E3-9099-C40C66FF867C}">
                  <a14:compatExt spid="_x0000_s74820"/>
                </a:ext>
                <a:ext uri="{FF2B5EF4-FFF2-40B4-BE49-F238E27FC236}">
                  <a16:creationId xmlns:a16="http://schemas.microsoft.com/office/drawing/2014/main" id="{00000000-0008-0000-1400-00004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52</xdr:row>
          <xdr:rowOff>228600</xdr:rowOff>
        </xdr:from>
        <xdr:to>
          <xdr:col>15</xdr:col>
          <xdr:colOff>182880</xdr:colOff>
          <xdr:row>54</xdr:row>
          <xdr:rowOff>0</xdr:rowOff>
        </xdr:to>
        <xdr:sp macro="" textlink="">
          <xdr:nvSpPr>
            <xdr:cNvPr id="74821" name="Check Box 69" hidden="1">
              <a:extLst>
                <a:ext uri="{63B3BB69-23CF-44E3-9099-C40C66FF867C}">
                  <a14:compatExt spid="_x0000_s74821"/>
                </a:ext>
                <a:ext uri="{FF2B5EF4-FFF2-40B4-BE49-F238E27FC236}">
                  <a16:creationId xmlns:a16="http://schemas.microsoft.com/office/drawing/2014/main" id="{00000000-0008-0000-1400-00004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74822" name="Check Box 70" hidden="1">
              <a:extLst>
                <a:ext uri="{63B3BB69-23CF-44E3-9099-C40C66FF867C}">
                  <a14:compatExt spid="_x0000_s74822"/>
                </a:ext>
                <a:ext uri="{FF2B5EF4-FFF2-40B4-BE49-F238E27FC236}">
                  <a16:creationId xmlns:a16="http://schemas.microsoft.com/office/drawing/2014/main" id="{00000000-0008-0000-1400-00004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64</xdr:row>
          <xdr:rowOff>228600</xdr:rowOff>
        </xdr:from>
        <xdr:to>
          <xdr:col>15</xdr:col>
          <xdr:colOff>182880</xdr:colOff>
          <xdr:row>66</xdr:row>
          <xdr:rowOff>0</xdr:rowOff>
        </xdr:to>
        <xdr:sp macro="" textlink="">
          <xdr:nvSpPr>
            <xdr:cNvPr id="74823" name="Check Box 71" hidden="1">
              <a:extLst>
                <a:ext uri="{63B3BB69-23CF-44E3-9099-C40C66FF867C}">
                  <a14:compatExt spid="_x0000_s74823"/>
                </a:ext>
                <a:ext uri="{FF2B5EF4-FFF2-40B4-BE49-F238E27FC236}">
                  <a16:creationId xmlns:a16="http://schemas.microsoft.com/office/drawing/2014/main" id="{00000000-0008-0000-1400-00004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74824" name="チェック1" hidden="1">
              <a:extLst>
                <a:ext uri="{63B3BB69-23CF-44E3-9099-C40C66FF867C}">
                  <a14:compatExt spid="_x0000_s74824"/>
                </a:ext>
                <a:ext uri="{FF2B5EF4-FFF2-40B4-BE49-F238E27FC236}">
                  <a16:creationId xmlns:a16="http://schemas.microsoft.com/office/drawing/2014/main" id="{00000000-0008-0000-1400-00004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74825" name="チェック4" hidden="1">
              <a:extLst>
                <a:ext uri="{63B3BB69-23CF-44E3-9099-C40C66FF867C}">
                  <a14:compatExt spid="_x0000_s74825"/>
                </a:ext>
                <a:ext uri="{FF2B5EF4-FFF2-40B4-BE49-F238E27FC236}">
                  <a16:creationId xmlns:a16="http://schemas.microsoft.com/office/drawing/2014/main" id="{00000000-0008-0000-1400-00004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74826" name="チェック18" hidden="1">
              <a:extLst>
                <a:ext uri="{63B3BB69-23CF-44E3-9099-C40C66FF867C}">
                  <a14:compatExt spid="_x0000_s74826"/>
                </a:ext>
                <a:ext uri="{FF2B5EF4-FFF2-40B4-BE49-F238E27FC236}">
                  <a16:creationId xmlns:a16="http://schemas.microsoft.com/office/drawing/2014/main" id="{00000000-0008-0000-1400-00004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74827" name="チェック19" hidden="1">
              <a:extLst>
                <a:ext uri="{63B3BB69-23CF-44E3-9099-C40C66FF867C}">
                  <a14:compatExt spid="_x0000_s74827"/>
                </a:ext>
                <a:ext uri="{FF2B5EF4-FFF2-40B4-BE49-F238E27FC236}">
                  <a16:creationId xmlns:a16="http://schemas.microsoft.com/office/drawing/2014/main" id="{00000000-0008-0000-1400-00004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74828" name="チェック20" hidden="1">
              <a:extLst>
                <a:ext uri="{63B3BB69-23CF-44E3-9099-C40C66FF867C}">
                  <a14:compatExt spid="_x0000_s74828"/>
                </a:ext>
                <a:ext uri="{FF2B5EF4-FFF2-40B4-BE49-F238E27FC236}">
                  <a16:creationId xmlns:a16="http://schemas.microsoft.com/office/drawing/2014/main" id="{00000000-0008-0000-1400-00004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74829" name="チェック68" hidden="1">
              <a:extLst>
                <a:ext uri="{63B3BB69-23CF-44E3-9099-C40C66FF867C}">
                  <a14:compatExt spid="_x0000_s74829"/>
                </a:ext>
                <a:ext uri="{FF2B5EF4-FFF2-40B4-BE49-F238E27FC236}">
                  <a16:creationId xmlns:a16="http://schemas.microsoft.com/office/drawing/2014/main" id="{00000000-0008-0000-1400-00004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42</xdr:row>
          <xdr:rowOff>0</xdr:rowOff>
        </xdr:from>
        <xdr:to>
          <xdr:col>70</xdr:col>
          <xdr:colOff>0</xdr:colOff>
          <xdr:row>43</xdr:row>
          <xdr:rowOff>0</xdr:rowOff>
        </xdr:to>
        <xdr:sp macro="" textlink="">
          <xdr:nvSpPr>
            <xdr:cNvPr id="74830" name="チェック69" hidden="1">
              <a:extLst>
                <a:ext uri="{63B3BB69-23CF-44E3-9099-C40C66FF867C}">
                  <a14:compatExt spid="_x0000_s74830"/>
                </a:ext>
                <a:ext uri="{FF2B5EF4-FFF2-40B4-BE49-F238E27FC236}">
                  <a16:creationId xmlns:a16="http://schemas.microsoft.com/office/drawing/2014/main" id="{00000000-0008-0000-1400-00004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74831" name="チェック70" hidden="1">
              <a:extLst>
                <a:ext uri="{63B3BB69-23CF-44E3-9099-C40C66FF867C}">
                  <a14:compatExt spid="_x0000_s74831"/>
                </a:ext>
                <a:ext uri="{FF2B5EF4-FFF2-40B4-BE49-F238E27FC236}">
                  <a16:creationId xmlns:a16="http://schemas.microsoft.com/office/drawing/2014/main" id="{00000000-0008-0000-1400-00004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74832" name="チェック71" hidden="1">
              <a:extLst>
                <a:ext uri="{63B3BB69-23CF-44E3-9099-C40C66FF867C}">
                  <a14:compatExt spid="_x0000_s74832"/>
                </a:ext>
                <a:ext uri="{FF2B5EF4-FFF2-40B4-BE49-F238E27FC236}">
                  <a16:creationId xmlns:a16="http://schemas.microsoft.com/office/drawing/2014/main" id="{00000000-0008-0000-1400-00005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74833" name="チェック72" hidden="1">
              <a:extLst>
                <a:ext uri="{63B3BB69-23CF-44E3-9099-C40C66FF867C}">
                  <a14:compatExt spid="_x0000_s74833"/>
                </a:ext>
                <a:ext uri="{FF2B5EF4-FFF2-40B4-BE49-F238E27FC236}">
                  <a16:creationId xmlns:a16="http://schemas.microsoft.com/office/drawing/2014/main" id="{00000000-0008-0000-1400-00005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74834" name="チェック34" hidden="1">
              <a:extLst>
                <a:ext uri="{63B3BB69-23CF-44E3-9099-C40C66FF867C}">
                  <a14:compatExt spid="_x0000_s74834"/>
                </a:ext>
                <a:ext uri="{FF2B5EF4-FFF2-40B4-BE49-F238E27FC236}">
                  <a16:creationId xmlns:a16="http://schemas.microsoft.com/office/drawing/2014/main" id="{00000000-0008-0000-1400-00005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26</xdr:row>
          <xdr:rowOff>0</xdr:rowOff>
        </xdr:from>
        <xdr:to>
          <xdr:col>62</xdr:col>
          <xdr:colOff>0</xdr:colOff>
          <xdr:row>28</xdr:row>
          <xdr:rowOff>0</xdr:rowOff>
        </xdr:to>
        <xdr:sp macro="" textlink="">
          <xdr:nvSpPr>
            <xdr:cNvPr id="74835" name="Check Box 83" hidden="1">
              <a:extLst>
                <a:ext uri="{63B3BB69-23CF-44E3-9099-C40C66FF867C}">
                  <a14:compatExt spid="_x0000_s74835"/>
                </a:ext>
                <a:ext uri="{FF2B5EF4-FFF2-40B4-BE49-F238E27FC236}">
                  <a16:creationId xmlns:a16="http://schemas.microsoft.com/office/drawing/2014/main" id="{00000000-0008-0000-1400-00005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74836" name="Check Box 84" hidden="1">
              <a:extLst>
                <a:ext uri="{63B3BB69-23CF-44E3-9099-C40C66FF867C}">
                  <a14:compatExt spid="_x0000_s74836"/>
                </a:ext>
                <a:ext uri="{FF2B5EF4-FFF2-40B4-BE49-F238E27FC236}">
                  <a16:creationId xmlns:a16="http://schemas.microsoft.com/office/drawing/2014/main" id="{00000000-0008-0000-1400-00005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182880</xdr:colOff>
          <xdr:row>12</xdr:row>
          <xdr:rowOff>0</xdr:rowOff>
        </xdr:from>
        <xdr:to>
          <xdr:col>71</xdr:col>
          <xdr:colOff>0</xdr:colOff>
          <xdr:row>13</xdr:row>
          <xdr:rowOff>0</xdr:rowOff>
        </xdr:to>
        <xdr:sp macro="" textlink="">
          <xdr:nvSpPr>
            <xdr:cNvPr id="74837" name="Check Box 85" hidden="1">
              <a:extLst>
                <a:ext uri="{63B3BB69-23CF-44E3-9099-C40C66FF867C}">
                  <a14:compatExt spid="_x0000_s74837"/>
                </a:ext>
                <a:ext uri="{FF2B5EF4-FFF2-40B4-BE49-F238E27FC236}">
                  <a16:creationId xmlns:a16="http://schemas.microsoft.com/office/drawing/2014/main" id="{00000000-0008-0000-1400-00005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74838" name="Check Box 86" hidden="1">
              <a:extLst>
                <a:ext uri="{63B3BB69-23CF-44E3-9099-C40C66FF867C}">
                  <a14:compatExt spid="_x0000_s74838"/>
                </a:ext>
                <a:ext uri="{FF2B5EF4-FFF2-40B4-BE49-F238E27FC236}">
                  <a16:creationId xmlns:a16="http://schemas.microsoft.com/office/drawing/2014/main" id="{00000000-0008-0000-1400-00005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74839" name="Check Box 87" hidden="1">
              <a:extLst>
                <a:ext uri="{63B3BB69-23CF-44E3-9099-C40C66FF867C}">
                  <a14:compatExt spid="_x0000_s74839"/>
                </a:ext>
                <a:ext uri="{FF2B5EF4-FFF2-40B4-BE49-F238E27FC236}">
                  <a16:creationId xmlns:a16="http://schemas.microsoft.com/office/drawing/2014/main" id="{00000000-0008-0000-1400-00005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47</xdr:row>
          <xdr:rowOff>0</xdr:rowOff>
        </xdr:from>
        <xdr:to>
          <xdr:col>69</xdr:col>
          <xdr:colOff>0</xdr:colOff>
          <xdr:row>48</xdr:row>
          <xdr:rowOff>0</xdr:rowOff>
        </xdr:to>
        <xdr:sp macro="" textlink="">
          <xdr:nvSpPr>
            <xdr:cNvPr id="74840" name="チェック83" hidden="1">
              <a:extLst>
                <a:ext uri="{63B3BB69-23CF-44E3-9099-C40C66FF867C}">
                  <a14:compatExt spid="_x0000_s74840"/>
                </a:ext>
                <a:ext uri="{FF2B5EF4-FFF2-40B4-BE49-F238E27FC236}">
                  <a16:creationId xmlns:a16="http://schemas.microsoft.com/office/drawing/2014/main" id="{00000000-0008-0000-1400-00005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47</xdr:row>
          <xdr:rowOff>0</xdr:rowOff>
        </xdr:from>
        <xdr:to>
          <xdr:col>76</xdr:col>
          <xdr:colOff>0</xdr:colOff>
          <xdr:row>48</xdr:row>
          <xdr:rowOff>0</xdr:rowOff>
        </xdr:to>
        <xdr:sp macro="" textlink="">
          <xdr:nvSpPr>
            <xdr:cNvPr id="74841" name="チェック84" hidden="1">
              <a:extLst>
                <a:ext uri="{63B3BB69-23CF-44E3-9099-C40C66FF867C}">
                  <a14:compatExt spid="_x0000_s74841"/>
                </a:ext>
                <a:ext uri="{FF2B5EF4-FFF2-40B4-BE49-F238E27FC236}">
                  <a16:creationId xmlns:a16="http://schemas.microsoft.com/office/drawing/2014/main" id="{00000000-0008-0000-1400-00005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47</xdr:row>
          <xdr:rowOff>0</xdr:rowOff>
        </xdr:from>
        <xdr:to>
          <xdr:col>83</xdr:col>
          <xdr:colOff>0</xdr:colOff>
          <xdr:row>48</xdr:row>
          <xdr:rowOff>0</xdr:rowOff>
        </xdr:to>
        <xdr:sp macro="" textlink="">
          <xdr:nvSpPr>
            <xdr:cNvPr id="74842" name="チェック85" hidden="1">
              <a:extLst>
                <a:ext uri="{63B3BB69-23CF-44E3-9099-C40C66FF867C}">
                  <a14:compatExt spid="_x0000_s74842"/>
                </a:ext>
                <a:ext uri="{FF2B5EF4-FFF2-40B4-BE49-F238E27FC236}">
                  <a16:creationId xmlns:a16="http://schemas.microsoft.com/office/drawing/2014/main" id="{00000000-0008-0000-1400-00005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74843" name="チェック73" hidden="1">
              <a:extLst>
                <a:ext uri="{63B3BB69-23CF-44E3-9099-C40C66FF867C}">
                  <a14:compatExt spid="_x0000_s74843"/>
                </a:ext>
                <a:ext uri="{FF2B5EF4-FFF2-40B4-BE49-F238E27FC236}">
                  <a16:creationId xmlns:a16="http://schemas.microsoft.com/office/drawing/2014/main" id="{00000000-0008-0000-1400-00005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44</xdr:row>
          <xdr:rowOff>0</xdr:rowOff>
        </xdr:from>
        <xdr:to>
          <xdr:col>69</xdr:col>
          <xdr:colOff>0</xdr:colOff>
          <xdr:row>45</xdr:row>
          <xdr:rowOff>0</xdr:rowOff>
        </xdr:to>
        <xdr:sp macro="" textlink="">
          <xdr:nvSpPr>
            <xdr:cNvPr id="74844" name="チェック74" hidden="1">
              <a:extLst>
                <a:ext uri="{63B3BB69-23CF-44E3-9099-C40C66FF867C}">
                  <a14:compatExt spid="_x0000_s74844"/>
                </a:ext>
                <a:ext uri="{FF2B5EF4-FFF2-40B4-BE49-F238E27FC236}">
                  <a16:creationId xmlns:a16="http://schemas.microsoft.com/office/drawing/2014/main" id="{00000000-0008-0000-1400-00005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74845" name="チェック75" hidden="1">
              <a:extLst>
                <a:ext uri="{63B3BB69-23CF-44E3-9099-C40C66FF867C}">
                  <a14:compatExt spid="_x0000_s74845"/>
                </a:ext>
                <a:ext uri="{FF2B5EF4-FFF2-40B4-BE49-F238E27FC236}">
                  <a16:creationId xmlns:a16="http://schemas.microsoft.com/office/drawing/2014/main" id="{00000000-0008-0000-1400-00005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74846" name="チェック76" hidden="1">
              <a:extLst>
                <a:ext uri="{63B3BB69-23CF-44E3-9099-C40C66FF867C}">
                  <a14:compatExt spid="_x0000_s74846"/>
                </a:ext>
                <a:ext uri="{FF2B5EF4-FFF2-40B4-BE49-F238E27FC236}">
                  <a16:creationId xmlns:a16="http://schemas.microsoft.com/office/drawing/2014/main" id="{00000000-0008-0000-1400-00005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45</xdr:row>
          <xdr:rowOff>0</xdr:rowOff>
        </xdr:from>
        <xdr:to>
          <xdr:col>69</xdr:col>
          <xdr:colOff>0</xdr:colOff>
          <xdr:row>46</xdr:row>
          <xdr:rowOff>0</xdr:rowOff>
        </xdr:to>
        <xdr:sp macro="" textlink="">
          <xdr:nvSpPr>
            <xdr:cNvPr id="74847" name="チェック77" hidden="1">
              <a:extLst>
                <a:ext uri="{63B3BB69-23CF-44E3-9099-C40C66FF867C}">
                  <a14:compatExt spid="_x0000_s74847"/>
                </a:ext>
                <a:ext uri="{FF2B5EF4-FFF2-40B4-BE49-F238E27FC236}">
                  <a16:creationId xmlns:a16="http://schemas.microsoft.com/office/drawing/2014/main" id="{00000000-0008-0000-1400-00005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74848" name="チェック78" hidden="1">
              <a:extLst>
                <a:ext uri="{63B3BB69-23CF-44E3-9099-C40C66FF867C}">
                  <a14:compatExt spid="_x0000_s74848"/>
                </a:ext>
                <a:ext uri="{FF2B5EF4-FFF2-40B4-BE49-F238E27FC236}">
                  <a16:creationId xmlns:a16="http://schemas.microsoft.com/office/drawing/2014/main" id="{00000000-0008-0000-1400-00006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74849" name="チェック79" hidden="1">
              <a:extLst>
                <a:ext uri="{63B3BB69-23CF-44E3-9099-C40C66FF867C}">
                  <a14:compatExt spid="_x0000_s74849"/>
                </a:ext>
                <a:ext uri="{FF2B5EF4-FFF2-40B4-BE49-F238E27FC236}">
                  <a16:creationId xmlns:a16="http://schemas.microsoft.com/office/drawing/2014/main" id="{00000000-0008-0000-1400-00006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46</xdr:row>
          <xdr:rowOff>0</xdr:rowOff>
        </xdr:from>
        <xdr:to>
          <xdr:col>69</xdr:col>
          <xdr:colOff>0</xdr:colOff>
          <xdr:row>47</xdr:row>
          <xdr:rowOff>0</xdr:rowOff>
        </xdr:to>
        <xdr:sp macro="" textlink="">
          <xdr:nvSpPr>
            <xdr:cNvPr id="74850" name="チェック80" hidden="1">
              <a:extLst>
                <a:ext uri="{63B3BB69-23CF-44E3-9099-C40C66FF867C}">
                  <a14:compatExt spid="_x0000_s74850"/>
                </a:ext>
                <a:ext uri="{FF2B5EF4-FFF2-40B4-BE49-F238E27FC236}">
                  <a16:creationId xmlns:a16="http://schemas.microsoft.com/office/drawing/2014/main" id="{00000000-0008-0000-1400-00006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74851" name="チェック81" hidden="1">
              <a:extLst>
                <a:ext uri="{63B3BB69-23CF-44E3-9099-C40C66FF867C}">
                  <a14:compatExt spid="_x0000_s74851"/>
                </a:ext>
                <a:ext uri="{FF2B5EF4-FFF2-40B4-BE49-F238E27FC236}">
                  <a16:creationId xmlns:a16="http://schemas.microsoft.com/office/drawing/2014/main" id="{00000000-0008-0000-1400-00006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12</xdr:row>
          <xdr:rowOff>0</xdr:rowOff>
        </xdr:from>
        <xdr:to>
          <xdr:col>62</xdr:col>
          <xdr:colOff>0</xdr:colOff>
          <xdr:row>13</xdr:row>
          <xdr:rowOff>0</xdr:rowOff>
        </xdr:to>
        <xdr:sp macro="" textlink="">
          <xdr:nvSpPr>
            <xdr:cNvPr id="74852" name="Check Box 100" hidden="1">
              <a:extLst>
                <a:ext uri="{63B3BB69-23CF-44E3-9099-C40C66FF867C}">
                  <a14:compatExt spid="_x0000_s74852"/>
                </a:ext>
                <a:ext uri="{FF2B5EF4-FFF2-40B4-BE49-F238E27FC236}">
                  <a16:creationId xmlns:a16="http://schemas.microsoft.com/office/drawing/2014/main" id="{00000000-0008-0000-1400-00006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74853" name="Check Box 101" hidden="1">
              <a:extLst>
                <a:ext uri="{63B3BB69-23CF-44E3-9099-C40C66FF867C}">
                  <a14:compatExt spid="_x0000_s74853"/>
                </a:ext>
                <a:ext uri="{FF2B5EF4-FFF2-40B4-BE49-F238E27FC236}">
                  <a16:creationId xmlns:a16="http://schemas.microsoft.com/office/drawing/2014/main" id="{00000000-0008-0000-1400-00006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54</xdr:row>
          <xdr:rowOff>0</xdr:rowOff>
        </xdr:from>
        <xdr:to>
          <xdr:col>70</xdr:col>
          <xdr:colOff>7620</xdr:colOff>
          <xdr:row>55</xdr:row>
          <xdr:rowOff>0</xdr:rowOff>
        </xdr:to>
        <xdr:sp macro="" textlink="">
          <xdr:nvSpPr>
            <xdr:cNvPr id="74854" name="Check Box 102" hidden="1">
              <a:extLst>
                <a:ext uri="{63B3BB69-23CF-44E3-9099-C40C66FF867C}">
                  <a14:compatExt spid="_x0000_s74854"/>
                </a:ext>
                <a:ext uri="{FF2B5EF4-FFF2-40B4-BE49-F238E27FC236}">
                  <a16:creationId xmlns:a16="http://schemas.microsoft.com/office/drawing/2014/main" id="{00000000-0008-0000-1400-00006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74855" name="Check Box 103" hidden="1">
              <a:extLst>
                <a:ext uri="{63B3BB69-23CF-44E3-9099-C40C66FF867C}">
                  <a14:compatExt spid="_x0000_s74855"/>
                </a:ext>
                <a:ext uri="{FF2B5EF4-FFF2-40B4-BE49-F238E27FC236}">
                  <a16:creationId xmlns:a16="http://schemas.microsoft.com/office/drawing/2014/main" id="{00000000-0008-0000-1400-00006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74856" name="Check Box 104" hidden="1">
              <a:extLst>
                <a:ext uri="{63B3BB69-23CF-44E3-9099-C40C66FF867C}">
                  <a14:compatExt spid="_x0000_s74856"/>
                </a:ext>
                <a:ext uri="{FF2B5EF4-FFF2-40B4-BE49-F238E27FC236}">
                  <a16:creationId xmlns:a16="http://schemas.microsoft.com/office/drawing/2014/main" id="{00000000-0008-0000-1400-00006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74857" name="Check Box 105" hidden="1">
              <a:extLst>
                <a:ext uri="{63B3BB69-23CF-44E3-9099-C40C66FF867C}">
                  <a14:compatExt spid="_x0000_s74857"/>
                </a:ext>
                <a:ext uri="{FF2B5EF4-FFF2-40B4-BE49-F238E27FC236}">
                  <a16:creationId xmlns:a16="http://schemas.microsoft.com/office/drawing/2014/main" id="{00000000-0008-0000-1400-00006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74858" name="Check Box 106" hidden="1">
              <a:extLst>
                <a:ext uri="{63B3BB69-23CF-44E3-9099-C40C66FF867C}">
                  <a14:compatExt spid="_x0000_s74858"/>
                </a:ext>
                <a:ext uri="{FF2B5EF4-FFF2-40B4-BE49-F238E27FC236}">
                  <a16:creationId xmlns:a16="http://schemas.microsoft.com/office/drawing/2014/main" id="{00000000-0008-0000-1400-00006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56</xdr:row>
          <xdr:rowOff>0</xdr:rowOff>
        </xdr:from>
        <xdr:to>
          <xdr:col>69</xdr:col>
          <xdr:colOff>0</xdr:colOff>
          <xdr:row>57</xdr:row>
          <xdr:rowOff>0</xdr:rowOff>
        </xdr:to>
        <xdr:sp macro="" textlink="">
          <xdr:nvSpPr>
            <xdr:cNvPr id="74859" name="Check Box 107" hidden="1">
              <a:extLst>
                <a:ext uri="{63B3BB69-23CF-44E3-9099-C40C66FF867C}">
                  <a14:compatExt spid="_x0000_s74859"/>
                </a:ext>
                <a:ext uri="{FF2B5EF4-FFF2-40B4-BE49-F238E27FC236}">
                  <a16:creationId xmlns:a16="http://schemas.microsoft.com/office/drawing/2014/main" id="{00000000-0008-0000-1400-00006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74860" name="Check Box 108" hidden="1">
              <a:extLst>
                <a:ext uri="{63B3BB69-23CF-44E3-9099-C40C66FF867C}">
                  <a14:compatExt spid="_x0000_s74860"/>
                </a:ext>
                <a:ext uri="{FF2B5EF4-FFF2-40B4-BE49-F238E27FC236}">
                  <a16:creationId xmlns:a16="http://schemas.microsoft.com/office/drawing/2014/main" id="{00000000-0008-0000-1400-00006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74861" name="Check Box 109" hidden="1">
              <a:extLst>
                <a:ext uri="{63B3BB69-23CF-44E3-9099-C40C66FF867C}">
                  <a14:compatExt spid="_x0000_s74861"/>
                </a:ext>
                <a:ext uri="{FF2B5EF4-FFF2-40B4-BE49-F238E27FC236}">
                  <a16:creationId xmlns:a16="http://schemas.microsoft.com/office/drawing/2014/main" id="{00000000-0008-0000-1400-00006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74862" name="Check Box 110" hidden="1">
              <a:extLst>
                <a:ext uri="{63B3BB69-23CF-44E3-9099-C40C66FF867C}">
                  <a14:compatExt spid="_x0000_s74862"/>
                </a:ext>
                <a:ext uri="{FF2B5EF4-FFF2-40B4-BE49-F238E27FC236}">
                  <a16:creationId xmlns:a16="http://schemas.microsoft.com/office/drawing/2014/main" id="{00000000-0008-0000-1400-00006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74863" name="Check Box 111" hidden="1">
              <a:extLst>
                <a:ext uri="{63B3BB69-23CF-44E3-9099-C40C66FF867C}">
                  <a14:compatExt spid="_x0000_s74863"/>
                </a:ext>
                <a:ext uri="{FF2B5EF4-FFF2-40B4-BE49-F238E27FC236}">
                  <a16:creationId xmlns:a16="http://schemas.microsoft.com/office/drawing/2014/main" id="{00000000-0008-0000-1400-00006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74864" name="Check Box 112" hidden="1">
              <a:extLst>
                <a:ext uri="{63B3BB69-23CF-44E3-9099-C40C66FF867C}">
                  <a14:compatExt spid="_x0000_s74864"/>
                </a:ext>
                <a:ext uri="{FF2B5EF4-FFF2-40B4-BE49-F238E27FC236}">
                  <a16:creationId xmlns:a16="http://schemas.microsoft.com/office/drawing/2014/main" id="{00000000-0008-0000-1400-00007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58</xdr:row>
          <xdr:rowOff>0</xdr:rowOff>
        </xdr:from>
        <xdr:to>
          <xdr:col>69</xdr:col>
          <xdr:colOff>0</xdr:colOff>
          <xdr:row>59</xdr:row>
          <xdr:rowOff>7620</xdr:rowOff>
        </xdr:to>
        <xdr:sp macro="" textlink="">
          <xdr:nvSpPr>
            <xdr:cNvPr id="74865" name="Check Box 113" hidden="1">
              <a:extLst>
                <a:ext uri="{63B3BB69-23CF-44E3-9099-C40C66FF867C}">
                  <a14:compatExt spid="_x0000_s74865"/>
                </a:ext>
                <a:ext uri="{FF2B5EF4-FFF2-40B4-BE49-F238E27FC236}">
                  <a16:creationId xmlns:a16="http://schemas.microsoft.com/office/drawing/2014/main" id="{00000000-0008-0000-1400-00007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74866" name="Check Box 114" hidden="1">
              <a:extLst>
                <a:ext uri="{63B3BB69-23CF-44E3-9099-C40C66FF867C}">
                  <a14:compatExt spid="_x0000_s74866"/>
                </a:ext>
                <a:ext uri="{FF2B5EF4-FFF2-40B4-BE49-F238E27FC236}">
                  <a16:creationId xmlns:a16="http://schemas.microsoft.com/office/drawing/2014/main" id="{00000000-0008-0000-1400-00007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74867" name="Check Box 115" hidden="1">
              <a:extLst>
                <a:ext uri="{63B3BB69-23CF-44E3-9099-C40C66FF867C}">
                  <a14:compatExt spid="_x0000_s74867"/>
                </a:ext>
                <a:ext uri="{FF2B5EF4-FFF2-40B4-BE49-F238E27FC236}">
                  <a16:creationId xmlns:a16="http://schemas.microsoft.com/office/drawing/2014/main" id="{00000000-0008-0000-1400-00007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59</xdr:row>
          <xdr:rowOff>0</xdr:rowOff>
        </xdr:from>
        <xdr:to>
          <xdr:col>69</xdr:col>
          <xdr:colOff>0</xdr:colOff>
          <xdr:row>60</xdr:row>
          <xdr:rowOff>0</xdr:rowOff>
        </xdr:to>
        <xdr:sp macro="" textlink="">
          <xdr:nvSpPr>
            <xdr:cNvPr id="74868" name="Check Box 116" hidden="1">
              <a:extLst>
                <a:ext uri="{63B3BB69-23CF-44E3-9099-C40C66FF867C}">
                  <a14:compatExt spid="_x0000_s74868"/>
                </a:ext>
                <a:ext uri="{FF2B5EF4-FFF2-40B4-BE49-F238E27FC236}">
                  <a16:creationId xmlns:a16="http://schemas.microsoft.com/office/drawing/2014/main" id="{00000000-0008-0000-1400-00007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59</xdr:row>
          <xdr:rowOff>0</xdr:rowOff>
        </xdr:from>
        <xdr:to>
          <xdr:col>76</xdr:col>
          <xdr:colOff>0</xdr:colOff>
          <xdr:row>60</xdr:row>
          <xdr:rowOff>0</xdr:rowOff>
        </xdr:to>
        <xdr:sp macro="" textlink="">
          <xdr:nvSpPr>
            <xdr:cNvPr id="74869" name="Check Box 117" hidden="1">
              <a:extLst>
                <a:ext uri="{63B3BB69-23CF-44E3-9099-C40C66FF867C}">
                  <a14:compatExt spid="_x0000_s74869"/>
                </a:ext>
                <a:ext uri="{FF2B5EF4-FFF2-40B4-BE49-F238E27FC236}">
                  <a16:creationId xmlns:a16="http://schemas.microsoft.com/office/drawing/2014/main" id="{00000000-0008-0000-1400-00007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59</xdr:row>
          <xdr:rowOff>0</xdr:rowOff>
        </xdr:from>
        <xdr:to>
          <xdr:col>83</xdr:col>
          <xdr:colOff>0</xdr:colOff>
          <xdr:row>60</xdr:row>
          <xdr:rowOff>0</xdr:rowOff>
        </xdr:to>
        <xdr:sp macro="" textlink="">
          <xdr:nvSpPr>
            <xdr:cNvPr id="74870" name="Check Box 118" hidden="1">
              <a:extLst>
                <a:ext uri="{63B3BB69-23CF-44E3-9099-C40C66FF867C}">
                  <a14:compatExt spid="_x0000_s74870"/>
                </a:ext>
                <a:ext uri="{FF2B5EF4-FFF2-40B4-BE49-F238E27FC236}">
                  <a16:creationId xmlns:a16="http://schemas.microsoft.com/office/drawing/2014/main" id="{00000000-0008-0000-1400-00007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74871" name="Check Box 119" hidden="1">
              <a:extLst>
                <a:ext uri="{63B3BB69-23CF-44E3-9099-C40C66FF867C}">
                  <a14:compatExt spid="_x0000_s74871"/>
                </a:ext>
                <a:ext uri="{FF2B5EF4-FFF2-40B4-BE49-F238E27FC236}">
                  <a16:creationId xmlns:a16="http://schemas.microsoft.com/office/drawing/2014/main" id="{00000000-0008-0000-1400-00007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66</xdr:row>
          <xdr:rowOff>0</xdr:rowOff>
        </xdr:from>
        <xdr:to>
          <xdr:col>70</xdr:col>
          <xdr:colOff>0</xdr:colOff>
          <xdr:row>67</xdr:row>
          <xdr:rowOff>0</xdr:rowOff>
        </xdr:to>
        <xdr:sp macro="" textlink="">
          <xdr:nvSpPr>
            <xdr:cNvPr id="74872" name="Check Box 120" hidden="1">
              <a:extLst>
                <a:ext uri="{63B3BB69-23CF-44E3-9099-C40C66FF867C}">
                  <a14:compatExt spid="_x0000_s74872"/>
                </a:ext>
                <a:ext uri="{FF2B5EF4-FFF2-40B4-BE49-F238E27FC236}">
                  <a16:creationId xmlns:a16="http://schemas.microsoft.com/office/drawing/2014/main" id="{00000000-0008-0000-1400-00007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74873" name="Check Box 121" hidden="1">
              <a:extLst>
                <a:ext uri="{63B3BB69-23CF-44E3-9099-C40C66FF867C}">
                  <a14:compatExt spid="_x0000_s74873"/>
                </a:ext>
                <a:ext uri="{FF2B5EF4-FFF2-40B4-BE49-F238E27FC236}">
                  <a16:creationId xmlns:a16="http://schemas.microsoft.com/office/drawing/2014/main" id="{00000000-0008-0000-1400-00007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74874" name="Check Box 122" hidden="1">
              <a:extLst>
                <a:ext uri="{63B3BB69-23CF-44E3-9099-C40C66FF867C}">
                  <a14:compatExt spid="_x0000_s74874"/>
                </a:ext>
                <a:ext uri="{FF2B5EF4-FFF2-40B4-BE49-F238E27FC236}">
                  <a16:creationId xmlns:a16="http://schemas.microsoft.com/office/drawing/2014/main" id="{00000000-0008-0000-1400-00007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74875" name="Check Box 123" hidden="1">
              <a:extLst>
                <a:ext uri="{63B3BB69-23CF-44E3-9099-C40C66FF867C}">
                  <a14:compatExt spid="_x0000_s74875"/>
                </a:ext>
                <a:ext uri="{FF2B5EF4-FFF2-40B4-BE49-F238E27FC236}">
                  <a16:creationId xmlns:a16="http://schemas.microsoft.com/office/drawing/2014/main" id="{00000000-0008-0000-1400-00007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74876" name="Check Box 124" hidden="1">
              <a:extLst>
                <a:ext uri="{63B3BB69-23CF-44E3-9099-C40C66FF867C}">
                  <a14:compatExt spid="_x0000_s74876"/>
                </a:ext>
                <a:ext uri="{FF2B5EF4-FFF2-40B4-BE49-F238E27FC236}">
                  <a16:creationId xmlns:a16="http://schemas.microsoft.com/office/drawing/2014/main" id="{00000000-0008-0000-1400-00007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68</xdr:row>
          <xdr:rowOff>0</xdr:rowOff>
        </xdr:from>
        <xdr:to>
          <xdr:col>69</xdr:col>
          <xdr:colOff>0</xdr:colOff>
          <xdr:row>69</xdr:row>
          <xdr:rowOff>0</xdr:rowOff>
        </xdr:to>
        <xdr:sp macro="" textlink="">
          <xdr:nvSpPr>
            <xdr:cNvPr id="74877" name="Check Box 125" hidden="1">
              <a:extLst>
                <a:ext uri="{63B3BB69-23CF-44E3-9099-C40C66FF867C}">
                  <a14:compatExt spid="_x0000_s74877"/>
                </a:ext>
                <a:ext uri="{FF2B5EF4-FFF2-40B4-BE49-F238E27FC236}">
                  <a16:creationId xmlns:a16="http://schemas.microsoft.com/office/drawing/2014/main" id="{00000000-0008-0000-1400-00007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74878" name="Check Box 126" hidden="1">
              <a:extLst>
                <a:ext uri="{63B3BB69-23CF-44E3-9099-C40C66FF867C}">
                  <a14:compatExt spid="_x0000_s74878"/>
                </a:ext>
                <a:ext uri="{FF2B5EF4-FFF2-40B4-BE49-F238E27FC236}">
                  <a16:creationId xmlns:a16="http://schemas.microsoft.com/office/drawing/2014/main" id="{00000000-0008-0000-1400-00007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74879" name="Check Box 127" hidden="1">
              <a:extLst>
                <a:ext uri="{63B3BB69-23CF-44E3-9099-C40C66FF867C}">
                  <a14:compatExt spid="_x0000_s74879"/>
                </a:ext>
                <a:ext uri="{FF2B5EF4-FFF2-40B4-BE49-F238E27FC236}">
                  <a16:creationId xmlns:a16="http://schemas.microsoft.com/office/drawing/2014/main" id="{00000000-0008-0000-1400-00007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69</xdr:row>
          <xdr:rowOff>0</xdr:rowOff>
        </xdr:from>
        <xdr:to>
          <xdr:col>69</xdr:col>
          <xdr:colOff>0</xdr:colOff>
          <xdr:row>70</xdr:row>
          <xdr:rowOff>0</xdr:rowOff>
        </xdr:to>
        <xdr:sp macro="" textlink="">
          <xdr:nvSpPr>
            <xdr:cNvPr id="74880" name="Check Box 128" hidden="1">
              <a:extLst>
                <a:ext uri="{63B3BB69-23CF-44E3-9099-C40C66FF867C}">
                  <a14:compatExt spid="_x0000_s74880"/>
                </a:ext>
                <a:ext uri="{FF2B5EF4-FFF2-40B4-BE49-F238E27FC236}">
                  <a16:creationId xmlns:a16="http://schemas.microsoft.com/office/drawing/2014/main" id="{00000000-0008-0000-1400-00008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74881" name="Check Box 129" hidden="1">
              <a:extLst>
                <a:ext uri="{63B3BB69-23CF-44E3-9099-C40C66FF867C}">
                  <a14:compatExt spid="_x0000_s74881"/>
                </a:ext>
                <a:ext uri="{FF2B5EF4-FFF2-40B4-BE49-F238E27FC236}">
                  <a16:creationId xmlns:a16="http://schemas.microsoft.com/office/drawing/2014/main" id="{00000000-0008-0000-1400-00008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74882" name="Check Box 130" hidden="1">
              <a:extLst>
                <a:ext uri="{63B3BB69-23CF-44E3-9099-C40C66FF867C}">
                  <a14:compatExt spid="_x0000_s74882"/>
                </a:ext>
                <a:ext uri="{FF2B5EF4-FFF2-40B4-BE49-F238E27FC236}">
                  <a16:creationId xmlns:a16="http://schemas.microsoft.com/office/drawing/2014/main" id="{00000000-0008-0000-1400-00008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70</xdr:row>
          <xdr:rowOff>0</xdr:rowOff>
        </xdr:from>
        <xdr:to>
          <xdr:col>69</xdr:col>
          <xdr:colOff>0</xdr:colOff>
          <xdr:row>71</xdr:row>
          <xdr:rowOff>0</xdr:rowOff>
        </xdr:to>
        <xdr:sp macro="" textlink="">
          <xdr:nvSpPr>
            <xdr:cNvPr id="74883" name="Check Box 131" hidden="1">
              <a:extLst>
                <a:ext uri="{63B3BB69-23CF-44E3-9099-C40C66FF867C}">
                  <a14:compatExt spid="_x0000_s74883"/>
                </a:ext>
                <a:ext uri="{FF2B5EF4-FFF2-40B4-BE49-F238E27FC236}">
                  <a16:creationId xmlns:a16="http://schemas.microsoft.com/office/drawing/2014/main" id="{00000000-0008-0000-1400-00008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74884" name="Check Box 132" hidden="1">
              <a:extLst>
                <a:ext uri="{63B3BB69-23CF-44E3-9099-C40C66FF867C}">
                  <a14:compatExt spid="_x0000_s74884"/>
                </a:ext>
                <a:ext uri="{FF2B5EF4-FFF2-40B4-BE49-F238E27FC236}">
                  <a16:creationId xmlns:a16="http://schemas.microsoft.com/office/drawing/2014/main" id="{00000000-0008-0000-1400-00008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74885" name="Check Box 133" hidden="1">
              <a:extLst>
                <a:ext uri="{63B3BB69-23CF-44E3-9099-C40C66FF867C}">
                  <a14:compatExt spid="_x0000_s74885"/>
                </a:ext>
                <a:ext uri="{FF2B5EF4-FFF2-40B4-BE49-F238E27FC236}">
                  <a16:creationId xmlns:a16="http://schemas.microsoft.com/office/drawing/2014/main" id="{00000000-0008-0000-1400-00008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71</xdr:row>
          <xdr:rowOff>0</xdr:rowOff>
        </xdr:from>
        <xdr:to>
          <xdr:col>69</xdr:col>
          <xdr:colOff>0</xdr:colOff>
          <xdr:row>72</xdr:row>
          <xdr:rowOff>0</xdr:rowOff>
        </xdr:to>
        <xdr:sp macro="" textlink="">
          <xdr:nvSpPr>
            <xdr:cNvPr id="74886" name="Check Box 134" hidden="1">
              <a:extLst>
                <a:ext uri="{63B3BB69-23CF-44E3-9099-C40C66FF867C}">
                  <a14:compatExt spid="_x0000_s74886"/>
                </a:ext>
                <a:ext uri="{FF2B5EF4-FFF2-40B4-BE49-F238E27FC236}">
                  <a16:creationId xmlns:a16="http://schemas.microsoft.com/office/drawing/2014/main" id="{00000000-0008-0000-1400-00008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71</xdr:row>
          <xdr:rowOff>0</xdr:rowOff>
        </xdr:from>
        <xdr:to>
          <xdr:col>76</xdr:col>
          <xdr:colOff>0</xdr:colOff>
          <xdr:row>72</xdr:row>
          <xdr:rowOff>0</xdr:rowOff>
        </xdr:to>
        <xdr:sp macro="" textlink="">
          <xdr:nvSpPr>
            <xdr:cNvPr id="74887" name="Check Box 135" hidden="1">
              <a:extLst>
                <a:ext uri="{63B3BB69-23CF-44E3-9099-C40C66FF867C}">
                  <a14:compatExt spid="_x0000_s74887"/>
                </a:ext>
                <a:ext uri="{FF2B5EF4-FFF2-40B4-BE49-F238E27FC236}">
                  <a16:creationId xmlns:a16="http://schemas.microsoft.com/office/drawing/2014/main" id="{00000000-0008-0000-1400-00008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71</xdr:row>
          <xdr:rowOff>0</xdr:rowOff>
        </xdr:from>
        <xdr:to>
          <xdr:col>83</xdr:col>
          <xdr:colOff>0</xdr:colOff>
          <xdr:row>72</xdr:row>
          <xdr:rowOff>0</xdr:rowOff>
        </xdr:to>
        <xdr:sp macro="" textlink="">
          <xdr:nvSpPr>
            <xdr:cNvPr id="74888" name="Check Box 136" hidden="1">
              <a:extLst>
                <a:ext uri="{63B3BB69-23CF-44E3-9099-C40C66FF867C}">
                  <a14:compatExt spid="_x0000_s74888"/>
                </a:ext>
                <a:ext uri="{FF2B5EF4-FFF2-40B4-BE49-F238E27FC236}">
                  <a16:creationId xmlns:a16="http://schemas.microsoft.com/office/drawing/2014/main" id="{00000000-0008-0000-1400-00008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74889" name="Check Box 137" hidden="1">
              <a:extLst>
                <a:ext uri="{63B3BB69-23CF-44E3-9099-C40C66FF867C}">
                  <a14:compatExt spid="_x0000_s74889"/>
                </a:ext>
                <a:ext uri="{FF2B5EF4-FFF2-40B4-BE49-F238E27FC236}">
                  <a16:creationId xmlns:a16="http://schemas.microsoft.com/office/drawing/2014/main" id="{00000000-0008-0000-1400-00008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40</xdr:row>
          <xdr:rowOff>228600</xdr:rowOff>
        </xdr:from>
        <xdr:to>
          <xdr:col>68</xdr:col>
          <xdr:colOff>0</xdr:colOff>
          <xdr:row>42</xdr:row>
          <xdr:rowOff>0</xdr:rowOff>
        </xdr:to>
        <xdr:sp macro="" textlink="">
          <xdr:nvSpPr>
            <xdr:cNvPr id="74890" name="Check Box 138" hidden="1">
              <a:extLst>
                <a:ext uri="{63B3BB69-23CF-44E3-9099-C40C66FF867C}">
                  <a14:compatExt spid="_x0000_s74890"/>
                </a:ext>
                <a:ext uri="{FF2B5EF4-FFF2-40B4-BE49-F238E27FC236}">
                  <a16:creationId xmlns:a16="http://schemas.microsoft.com/office/drawing/2014/main" id="{00000000-0008-0000-1400-00008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74891" name="Check Box 139" hidden="1">
              <a:extLst>
                <a:ext uri="{63B3BB69-23CF-44E3-9099-C40C66FF867C}">
                  <a14:compatExt spid="_x0000_s74891"/>
                </a:ext>
                <a:ext uri="{FF2B5EF4-FFF2-40B4-BE49-F238E27FC236}">
                  <a16:creationId xmlns:a16="http://schemas.microsoft.com/office/drawing/2014/main" id="{00000000-0008-0000-1400-00008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52</xdr:row>
          <xdr:rowOff>228600</xdr:rowOff>
        </xdr:from>
        <xdr:to>
          <xdr:col>68</xdr:col>
          <xdr:colOff>0</xdr:colOff>
          <xdr:row>54</xdr:row>
          <xdr:rowOff>0</xdr:rowOff>
        </xdr:to>
        <xdr:sp macro="" textlink="">
          <xdr:nvSpPr>
            <xdr:cNvPr id="74892" name="Check Box 140" hidden="1">
              <a:extLst>
                <a:ext uri="{63B3BB69-23CF-44E3-9099-C40C66FF867C}">
                  <a14:compatExt spid="_x0000_s74892"/>
                </a:ext>
                <a:ext uri="{FF2B5EF4-FFF2-40B4-BE49-F238E27FC236}">
                  <a16:creationId xmlns:a16="http://schemas.microsoft.com/office/drawing/2014/main" id="{00000000-0008-0000-1400-00008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74893" name="Check Box 141" hidden="1">
              <a:extLst>
                <a:ext uri="{63B3BB69-23CF-44E3-9099-C40C66FF867C}">
                  <a14:compatExt spid="_x0000_s74893"/>
                </a:ext>
                <a:ext uri="{FF2B5EF4-FFF2-40B4-BE49-F238E27FC236}">
                  <a16:creationId xmlns:a16="http://schemas.microsoft.com/office/drawing/2014/main" id="{00000000-0008-0000-1400-00008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64</xdr:row>
          <xdr:rowOff>228600</xdr:rowOff>
        </xdr:from>
        <xdr:to>
          <xdr:col>68</xdr:col>
          <xdr:colOff>0</xdr:colOff>
          <xdr:row>66</xdr:row>
          <xdr:rowOff>0</xdr:rowOff>
        </xdr:to>
        <xdr:sp macro="" textlink="">
          <xdr:nvSpPr>
            <xdr:cNvPr id="74894" name="Check Box 142" hidden="1">
              <a:extLst>
                <a:ext uri="{63B3BB69-23CF-44E3-9099-C40C66FF867C}">
                  <a14:compatExt spid="_x0000_s74894"/>
                </a:ext>
                <a:ext uri="{FF2B5EF4-FFF2-40B4-BE49-F238E27FC236}">
                  <a16:creationId xmlns:a16="http://schemas.microsoft.com/office/drawing/2014/main" id="{00000000-0008-0000-1400-00008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74895" name="Check Box 143" hidden="1">
              <a:extLst>
                <a:ext uri="{63B3BB69-23CF-44E3-9099-C40C66FF867C}">
                  <a14:compatExt spid="_x0000_s74895"/>
                </a:ext>
                <a:ext uri="{FF2B5EF4-FFF2-40B4-BE49-F238E27FC236}">
                  <a16:creationId xmlns:a16="http://schemas.microsoft.com/office/drawing/2014/main" id="{00000000-0008-0000-1400-00008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74896" name="Check Box 144" hidden="1">
              <a:extLst>
                <a:ext uri="{63B3BB69-23CF-44E3-9099-C40C66FF867C}">
                  <a14:compatExt spid="_x0000_s74896"/>
                </a:ext>
                <a:ext uri="{FF2B5EF4-FFF2-40B4-BE49-F238E27FC236}">
                  <a16:creationId xmlns:a16="http://schemas.microsoft.com/office/drawing/2014/main" id="{00000000-0008-0000-1400-00009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3</xdr:row>
          <xdr:rowOff>0</xdr:rowOff>
        </xdr:from>
        <xdr:to>
          <xdr:col>114</xdr:col>
          <xdr:colOff>7620</xdr:colOff>
          <xdr:row>4</xdr:row>
          <xdr:rowOff>0</xdr:rowOff>
        </xdr:to>
        <xdr:sp macro="" textlink="">
          <xdr:nvSpPr>
            <xdr:cNvPr id="74897" name="Check Box 145" hidden="1">
              <a:extLst>
                <a:ext uri="{63B3BB69-23CF-44E3-9099-C40C66FF867C}">
                  <a14:compatExt spid="_x0000_s74897"/>
                </a:ext>
                <a:ext uri="{FF2B5EF4-FFF2-40B4-BE49-F238E27FC236}">
                  <a16:creationId xmlns:a16="http://schemas.microsoft.com/office/drawing/2014/main" id="{00000000-0008-0000-1400-00009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7620</xdr:colOff>
          <xdr:row>4</xdr:row>
          <xdr:rowOff>0</xdr:rowOff>
        </xdr:to>
        <xdr:sp macro="" textlink="">
          <xdr:nvSpPr>
            <xdr:cNvPr id="74898" name="Check Box 146" hidden="1">
              <a:extLst>
                <a:ext uri="{63B3BB69-23CF-44E3-9099-C40C66FF867C}">
                  <a14:compatExt spid="_x0000_s74898"/>
                </a:ext>
                <a:ext uri="{FF2B5EF4-FFF2-40B4-BE49-F238E27FC236}">
                  <a16:creationId xmlns:a16="http://schemas.microsoft.com/office/drawing/2014/main" id="{00000000-0008-0000-1400-00009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7620</xdr:colOff>
          <xdr:row>4</xdr:row>
          <xdr:rowOff>0</xdr:rowOff>
        </xdr:to>
        <xdr:sp macro="" textlink="">
          <xdr:nvSpPr>
            <xdr:cNvPr id="74899" name="Check Box 147" hidden="1">
              <a:extLst>
                <a:ext uri="{63B3BB69-23CF-44E3-9099-C40C66FF867C}">
                  <a14:compatExt spid="_x0000_s74899"/>
                </a:ext>
                <a:ext uri="{FF2B5EF4-FFF2-40B4-BE49-F238E27FC236}">
                  <a16:creationId xmlns:a16="http://schemas.microsoft.com/office/drawing/2014/main" id="{00000000-0008-0000-1400-00009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7620</xdr:colOff>
          <xdr:row>4</xdr:row>
          <xdr:rowOff>0</xdr:rowOff>
        </xdr:to>
        <xdr:sp macro="" textlink="">
          <xdr:nvSpPr>
            <xdr:cNvPr id="74900" name="Check Box 148" hidden="1">
              <a:extLst>
                <a:ext uri="{63B3BB69-23CF-44E3-9099-C40C66FF867C}">
                  <a14:compatExt spid="_x0000_s74900"/>
                </a:ext>
                <a:ext uri="{FF2B5EF4-FFF2-40B4-BE49-F238E27FC236}">
                  <a16:creationId xmlns:a16="http://schemas.microsoft.com/office/drawing/2014/main" id="{00000000-0008-0000-1400-00009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7620</xdr:colOff>
          <xdr:row>43</xdr:row>
          <xdr:rowOff>0</xdr:rowOff>
        </xdr:to>
        <xdr:sp macro="" textlink="">
          <xdr:nvSpPr>
            <xdr:cNvPr id="74901" name="Check Box 149" hidden="1">
              <a:extLst>
                <a:ext uri="{63B3BB69-23CF-44E3-9099-C40C66FF867C}">
                  <a14:compatExt spid="_x0000_s74901"/>
                </a:ext>
                <a:ext uri="{FF2B5EF4-FFF2-40B4-BE49-F238E27FC236}">
                  <a16:creationId xmlns:a16="http://schemas.microsoft.com/office/drawing/2014/main" id="{00000000-0008-0000-1400-00009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42</xdr:row>
          <xdr:rowOff>0</xdr:rowOff>
        </xdr:from>
        <xdr:to>
          <xdr:col>122</xdr:col>
          <xdr:colOff>7620</xdr:colOff>
          <xdr:row>43</xdr:row>
          <xdr:rowOff>0</xdr:rowOff>
        </xdr:to>
        <xdr:sp macro="" textlink="">
          <xdr:nvSpPr>
            <xdr:cNvPr id="74902" name="Check Box 150" hidden="1">
              <a:extLst>
                <a:ext uri="{63B3BB69-23CF-44E3-9099-C40C66FF867C}">
                  <a14:compatExt spid="_x0000_s74902"/>
                </a:ext>
                <a:ext uri="{FF2B5EF4-FFF2-40B4-BE49-F238E27FC236}">
                  <a16:creationId xmlns:a16="http://schemas.microsoft.com/office/drawing/2014/main" id="{00000000-0008-0000-1400-00009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7620</xdr:colOff>
          <xdr:row>43</xdr:row>
          <xdr:rowOff>0</xdr:rowOff>
        </xdr:to>
        <xdr:sp macro="" textlink="">
          <xdr:nvSpPr>
            <xdr:cNvPr id="74903" name="Check Box 151" hidden="1">
              <a:extLst>
                <a:ext uri="{63B3BB69-23CF-44E3-9099-C40C66FF867C}">
                  <a14:compatExt spid="_x0000_s74903"/>
                </a:ext>
                <a:ext uri="{FF2B5EF4-FFF2-40B4-BE49-F238E27FC236}">
                  <a16:creationId xmlns:a16="http://schemas.microsoft.com/office/drawing/2014/main" id="{00000000-0008-0000-1400-00009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7620</xdr:colOff>
          <xdr:row>44</xdr:row>
          <xdr:rowOff>0</xdr:rowOff>
        </xdr:to>
        <xdr:sp macro="" textlink="">
          <xdr:nvSpPr>
            <xdr:cNvPr id="74904" name="Check Box 152" hidden="1">
              <a:extLst>
                <a:ext uri="{63B3BB69-23CF-44E3-9099-C40C66FF867C}">
                  <a14:compatExt spid="_x0000_s74904"/>
                </a:ext>
                <a:ext uri="{FF2B5EF4-FFF2-40B4-BE49-F238E27FC236}">
                  <a16:creationId xmlns:a16="http://schemas.microsoft.com/office/drawing/2014/main" id="{00000000-0008-0000-1400-00009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7620</xdr:colOff>
          <xdr:row>44</xdr:row>
          <xdr:rowOff>0</xdr:rowOff>
        </xdr:to>
        <xdr:sp macro="" textlink="">
          <xdr:nvSpPr>
            <xdr:cNvPr id="74905" name="Check Box 153" hidden="1">
              <a:extLst>
                <a:ext uri="{63B3BB69-23CF-44E3-9099-C40C66FF867C}">
                  <a14:compatExt spid="_x0000_s74905"/>
                </a:ext>
                <a:ext uri="{FF2B5EF4-FFF2-40B4-BE49-F238E27FC236}">
                  <a16:creationId xmlns:a16="http://schemas.microsoft.com/office/drawing/2014/main" id="{00000000-0008-0000-1400-00009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74906" name="Check Box 154" hidden="1">
              <a:extLst>
                <a:ext uri="{63B3BB69-23CF-44E3-9099-C40C66FF867C}">
                  <a14:compatExt spid="_x0000_s74906"/>
                </a:ext>
                <a:ext uri="{FF2B5EF4-FFF2-40B4-BE49-F238E27FC236}">
                  <a16:creationId xmlns:a16="http://schemas.microsoft.com/office/drawing/2014/main" id="{00000000-0008-0000-1400-00009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74907" name="Check Box 155" hidden="1">
              <a:extLst>
                <a:ext uri="{63B3BB69-23CF-44E3-9099-C40C66FF867C}">
                  <a14:compatExt spid="_x0000_s74907"/>
                </a:ext>
                <a:ext uri="{FF2B5EF4-FFF2-40B4-BE49-F238E27FC236}">
                  <a16:creationId xmlns:a16="http://schemas.microsoft.com/office/drawing/2014/main" id="{00000000-0008-0000-1400-00009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7620</xdr:colOff>
          <xdr:row>28</xdr:row>
          <xdr:rowOff>0</xdr:rowOff>
        </xdr:to>
        <xdr:sp macro="" textlink="">
          <xdr:nvSpPr>
            <xdr:cNvPr id="74908" name="Check Box 156" hidden="1">
              <a:extLst>
                <a:ext uri="{63B3BB69-23CF-44E3-9099-C40C66FF867C}">
                  <a14:compatExt spid="_x0000_s74908"/>
                </a:ext>
                <a:ext uri="{FF2B5EF4-FFF2-40B4-BE49-F238E27FC236}">
                  <a16:creationId xmlns:a16="http://schemas.microsoft.com/office/drawing/2014/main" id="{00000000-0008-0000-1400-00009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26</xdr:row>
          <xdr:rowOff>0</xdr:rowOff>
        </xdr:from>
        <xdr:to>
          <xdr:col>114</xdr:col>
          <xdr:colOff>7620</xdr:colOff>
          <xdr:row>28</xdr:row>
          <xdr:rowOff>0</xdr:rowOff>
        </xdr:to>
        <xdr:sp macro="" textlink="">
          <xdr:nvSpPr>
            <xdr:cNvPr id="74909" name="Check Box 157" hidden="1">
              <a:extLst>
                <a:ext uri="{63B3BB69-23CF-44E3-9099-C40C66FF867C}">
                  <a14:compatExt spid="_x0000_s74909"/>
                </a:ext>
                <a:ext uri="{FF2B5EF4-FFF2-40B4-BE49-F238E27FC236}">
                  <a16:creationId xmlns:a16="http://schemas.microsoft.com/office/drawing/2014/main" id="{00000000-0008-0000-1400-00009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7620</xdr:colOff>
          <xdr:row>28</xdr:row>
          <xdr:rowOff>0</xdr:rowOff>
        </xdr:to>
        <xdr:sp macro="" textlink="">
          <xdr:nvSpPr>
            <xdr:cNvPr id="74910" name="Check Box 158" hidden="1">
              <a:extLst>
                <a:ext uri="{63B3BB69-23CF-44E3-9099-C40C66FF867C}">
                  <a14:compatExt spid="_x0000_s74910"/>
                </a:ext>
                <a:ext uri="{FF2B5EF4-FFF2-40B4-BE49-F238E27FC236}">
                  <a16:creationId xmlns:a16="http://schemas.microsoft.com/office/drawing/2014/main" id="{00000000-0008-0000-1400-00009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3</xdr:row>
          <xdr:rowOff>0</xdr:rowOff>
        </xdr:from>
        <xdr:to>
          <xdr:col>114</xdr:col>
          <xdr:colOff>7620</xdr:colOff>
          <xdr:row>4</xdr:row>
          <xdr:rowOff>0</xdr:rowOff>
        </xdr:to>
        <xdr:sp macro="" textlink="">
          <xdr:nvSpPr>
            <xdr:cNvPr id="74911" name="Check Box 159" hidden="1">
              <a:extLst>
                <a:ext uri="{63B3BB69-23CF-44E3-9099-C40C66FF867C}">
                  <a14:compatExt spid="_x0000_s74911"/>
                </a:ext>
                <a:ext uri="{FF2B5EF4-FFF2-40B4-BE49-F238E27FC236}">
                  <a16:creationId xmlns:a16="http://schemas.microsoft.com/office/drawing/2014/main" id="{00000000-0008-0000-1400-00009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3</xdr:row>
          <xdr:rowOff>0</xdr:rowOff>
        </xdr:from>
        <xdr:to>
          <xdr:col>114</xdr:col>
          <xdr:colOff>7620</xdr:colOff>
          <xdr:row>4</xdr:row>
          <xdr:rowOff>0</xdr:rowOff>
        </xdr:to>
        <xdr:sp macro="" textlink="">
          <xdr:nvSpPr>
            <xdr:cNvPr id="74912" name="Check Box 160" hidden="1">
              <a:extLst>
                <a:ext uri="{63B3BB69-23CF-44E3-9099-C40C66FF867C}">
                  <a14:compatExt spid="_x0000_s74912"/>
                </a:ext>
                <a:ext uri="{FF2B5EF4-FFF2-40B4-BE49-F238E27FC236}">
                  <a16:creationId xmlns:a16="http://schemas.microsoft.com/office/drawing/2014/main" id="{00000000-0008-0000-1400-0000A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3</xdr:row>
          <xdr:rowOff>0</xdr:rowOff>
        </xdr:from>
        <xdr:to>
          <xdr:col>114</xdr:col>
          <xdr:colOff>7620</xdr:colOff>
          <xdr:row>4</xdr:row>
          <xdr:rowOff>0</xdr:rowOff>
        </xdr:to>
        <xdr:sp macro="" textlink="">
          <xdr:nvSpPr>
            <xdr:cNvPr id="74913" name="Check Box 161" hidden="1">
              <a:extLst>
                <a:ext uri="{63B3BB69-23CF-44E3-9099-C40C66FF867C}">
                  <a14:compatExt spid="_x0000_s74913"/>
                </a:ext>
                <a:ext uri="{FF2B5EF4-FFF2-40B4-BE49-F238E27FC236}">
                  <a16:creationId xmlns:a16="http://schemas.microsoft.com/office/drawing/2014/main" id="{00000000-0008-0000-1400-0000A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182880</xdr:colOff>
          <xdr:row>12</xdr:row>
          <xdr:rowOff>0</xdr:rowOff>
        </xdr:from>
        <xdr:to>
          <xdr:col>123</xdr:col>
          <xdr:colOff>7620</xdr:colOff>
          <xdr:row>13</xdr:row>
          <xdr:rowOff>0</xdr:rowOff>
        </xdr:to>
        <xdr:sp macro="" textlink="">
          <xdr:nvSpPr>
            <xdr:cNvPr id="74914" name="Check Box 162" hidden="1">
              <a:extLst>
                <a:ext uri="{63B3BB69-23CF-44E3-9099-C40C66FF867C}">
                  <a14:compatExt spid="_x0000_s74914"/>
                </a:ext>
                <a:ext uri="{FF2B5EF4-FFF2-40B4-BE49-F238E27FC236}">
                  <a16:creationId xmlns:a16="http://schemas.microsoft.com/office/drawing/2014/main" id="{00000000-0008-0000-1400-0000A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7620</xdr:colOff>
          <xdr:row>13</xdr:row>
          <xdr:rowOff>0</xdr:rowOff>
        </xdr:to>
        <xdr:sp macro="" textlink="">
          <xdr:nvSpPr>
            <xdr:cNvPr id="74915" name="Check Box 163" hidden="1">
              <a:extLst>
                <a:ext uri="{63B3BB69-23CF-44E3-9099-C40C66FF867C}">
                  <a14:compatExt spid="_x0000_s74915"/>
                </a:ext>
                <a:ext uri="{FF2B5EF4-FFF2-40B4-BE49-F238E27FC236}">
                  <a16:creationId xmlns:a16="http://schemas.microsoft.com/office/drawing/2014/main" id="{00000000-0008-0000-1400-0000A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7620</xdr:colOff>
          <xdr:row>48</xdr:row>
          <xdr:rowOff>0</xdr:rowOff>
        </xdr:to>
        <xdr:sp macro="" textlink="">
          <xdr:nvSpPr>
            <xdr:cNvPr id="74916" name="Check Box 164" hidden="1">
              <a:extLst>
                <a:ext uri="{63B3BB69-23CF-44E3-9099-C40C66FF867C}">
                  <a14:compatExt spid="_x0000_s74916"/>
                </a:ext>
                <a:ext uri="{FF2B5EF4-FFF2-40B4-BE49-F238E27FC236}">
                  <a16:creationId xmlns:a16="http://schemas.microsoft.com/office/drawing/2014/main" id="{00000000-0008-0000-1400-0000A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47</xdr:row>
          <xdr:rowOff>0</xdr:rowOff>
        </xdr:from>
        <xdr:to>
          <xdr:col>121</xdr:col>
          <xdr:colOff>7620</xdr:colOff>
          <xdr:row>48</xdr:row>
          <xdr:rowOff>0</xdr:rowOff>
        </xdr:to>
        <xdr:sp macro="" textlink="">
          <xdr:nvSpPr>
            <xdr:cNvPr id="74917" name="Check Box 165" hidden="1">
              <a:extLst>
                <a:ext uri="{63B3BB69-23CF-44E3-9099-C40C66FF867C}">
                  <a14:compatExt spid="_x0000_s74917"/>
                </a:ext>
                <a:ext uri="{FF2B5EF4-FFF2-40B4-BE49-F238E27FC236}">
                  <a16:creationId xmlns:a16="http://schemas.microsoft.com/office/drawing/2014/main" id="{00000000-0008-0000-1400-0000A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47</xdr:row>
          <xdr:rowOff>0</xdr:rowOff>
        </xdr:from>
        <xdr:to>
          <xdr:col>128</xdr:col>
          <xdr:colOff>7620</xdr:colOff>
          <xdr:row>48</xdr:row>
          <xdr:rowOff>0</xdr:rowOff>
        </xdr:to>
        <xdr:sp macro="" textlink="">
          <xdr:nvSpPr>
            <xdr:cNvPr id="74918" name="Check Box 166" hidden="1">
              <a:extLst>
                <a:ext uri="{63B3BB69-23CF-44E3-9099-C40C66FF867C}">
                  <a14:compatExt spid="_x0000_s74918"/>
                </a:ext>
                <a:ext uri="{FF2B5EF4-FFF2-40B4-BE49-F238E27FC236}">
                  <a16:creationId xmlns:a16="http://schemas.microsoft.com/office/drawing/2014/main" id="{00000000-0008-0000-1400-0000A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47</xdr:row>
          <xdr:rowOff>0</xdr:rowOff>
        </xdr:from>
        <xdr:to>
          <xdr:col>135</xdr:col>
          <xdr:colOff>7620</xdr:colOff>
          <xdr:row>48</xdr:row>
          <xdr:rowOff>0</xdr:rowOff>
        </xdr:to>
        <xdr:sp macro="" textlink="">
          <xdr:nvSpPr>
            <xdr:cNvPr id="74919" name="Check Box 167" hidden="1">
              <a:extLst>
                <a:ext uri="{63B3BB69-23CF-44E3-9099-C40C66FF867C}">
                  <a14:compatExt spid="_x0000_s74919"/>
                </a:ext>
                <a:ext uri="{FF2B5EF4-FFF2-40B4-BE49-F238E27FC236}">
                  <a16:creationId xmlns:a16="http://schemas.microsoft.com/office/drawing/2014/main" id="{00000000-0008-0000-1400-0000A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7620</xdr:colOff>
          <xdr:row>45</xdr:row>
          <xdr:rowOff>0</xdr:rowOff>
        </xdr:to>
        <xdr:sp macro="" textlink="">
          <xdr:nvSpPr>
            <xdr:cNvPr id="74920" name="Check Box 168" hidden="1">
              <a:extLst>
                <a:ext uri="{63B3BB69-23CF-44E3-9099-C40C66FF867C}">
                  <a14:compatExt spid="_x0000_s74920"/>
                </a:ext>
                <a:ext uri="{FF2B5EF4-FFF2-40B4-BE49-F238E27FC236}">
                  <a16:creationId xmlns:a16="http://schemas.microsoft.com/office/drawing/2014/main" id="{00000000-0008-0000-1400-0000A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44</xdr:row>
          <xdr:rowOff>0</xdr:rowOff>
        </xdr:from>
        <xdr:to>
          <xdr:col>121</xdr:col>
          <xdr:colOff>7620</xdr:colOff>
          <xdr:row>45</xdr:row>
          <xdr:rowOff>0</xdr:rowOff>
        </xdr:to>
        <xdr:sp macro="" textlink="">
          <xdr:nvSpPr>
            <xdr:cNvPr id="74921" name="Check Box 169" hidden="1">
              <a:extLst>
                <a:ext uri="{63B3BB69-23CF-44E3-9099-C40C66FF867C}">
                  <a14:compatExt spid="_x0000_s74921"/>
                </a:ext>
                <a:ext uri="{FF2B5EF4-FFF2-40B4-BE49-F238E27FC236}">
                  <a16:creationId xmlns:a16="http://schemas.microsoft.com/office/drawing/2014/main" id="{00000000-0008-0000-1400-0000A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7620</xdr:colOff>
          <xdr:row>45</xdr:row>
          <xdr:rowOff>0</xdr:rowOff>
        </xdr:to>
        <xdr:sp macro="" textlink="">
          <xdr:nvSpPr>
            <xdr:cNvPr id="74922" name="Check Box 170" hidden="1">
              <a:extLst>
                <a:ext uri="{63B3BB69-23CF-44E3-9099-C40C66FF867C}">
                  <a14:compatExt spid="_x0000_s74922"/>
                </a:ext>
                <a:ext uri="{FF2B5EF4-FFF2-40B4-BE49-F238E27FC236}">
                  <a16:creationId xmlns:a16="http://schemas.microsoft.com/office/drawing/2014/main" id="{00000000-0008-0000-1400-0000A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7620</xdr:colOff>
          <xdr:row>46</xdr:row>
          <xdr:rowOff>0</xdr:rowOff>
        </xdr:to>
        <xdr:sp macro="" textlink="">
          <xdr:nvSpPr>
            <xdr:cNvPr id="74923" name="Check Box 171" hidden="1">
              <a:extLst>
                <a:ext uri="{63B3BB69-23CF-44E3-9099-C40C66FF867C}">
                  <a14:compatExt spid="_x0000_s74923"/>
                </a:ext>
                <a:ext uri="{FF2B5EF4-FFF2-40B4-BE49-F238E27FC236}">
                  <a16:creationId xmlns:a16="http://schemas.microsoft.com/office/drawing/2014/main" id="{00000000-0008-0000-1400-0000A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45</xdr:row>
          <xdr:rowOff>0</xdr:rowOff>
        </xdr:from>
        <xdr:to>
          <xdr:col>121</xdr:col>
          <xdr:colOff>7620</xdr:colOff>
          <xdr:row>46</xdr:row>
          <xdr:rowOff>0</xdr:rowOff>
        </xdr:to>
        <xdr:sp macro="" textlink="">
          <xdr:nvSpPr>
            <xdr:cNvPr id="74924" name="Check Box 172" hidden="1">
              <a:extLst>
                <a:ext uri="{63B3BB69-23CF-44E3-9099-C40C66FF867C}">
                  <a14:compatExt spid="_x0000_s74924"/>
                </a:ext>
                <a:ext uri="{FF2B5EF4-FFF2-40B4-BE49-F238E27FC236}">
                  <a16:creationId xmlns:a16="http://schemas.microsoft.com/office/drawing/2014/main" id="{00000000-0008-0000-1400-0000A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7620</xdr:colOff>
          <xdr:row>46</xdr:row>
          <xdr:rowOff>0</xdr:rowOff>
        </xdr:to>
        <xdr:sp macro="" textlink="">
          <xdr:nvSpPr>
            <xdr:cNvPr id="74925" name="Check Box 173" hidden="1">
              <a:extLst>
                <a:ext uri="{63B3BB69-23CF-44E3-9099-C40C66FF867C}">
                  <a14:compatExt spid="_x0000_s74925"/>
                </a:ext>
                <a:ext uri="{FF2B5EF4-FFF2-40B4-BE49-F238E27FC236}">
                  <a16:creationId xmlns:a16="http://schemas.microsoft.com/office/drawing/2014/main" id="{00000000-0008-0000-1400-0000A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7620</xdr:colOff>
          <xdr:row>47</xdr:row>
          <xdr:rowOff>0</xdr:rowOff>
        </xdr:to>
        <xdr:sp macro="" textlink="">
          <xdr:nvSpPr>
            <xdr:cNvPr id="74926" name="Check Box 174" hidden="1">
              <a:extLst>
                <a:ext uri="{63B3BB69-23CF-44E3-9099-C40C66FF867C}">
                  <a14:compatExt spid="_x0000_s74926"/>
                </a:ext>
                <a:ext uri="{FF2B5EF4-FFF2-40B4-BE49-F238E27FC236}">
                  <a16:creationId xmlns:a16="http://schemas.microsoft.com/office/drawing/2014/main" id="{00000000-0008-0000-1400-0000A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46</xdr:row>
          <xdr:rowOff>0</xdr:rowOff>
        </xdr:from>
        <xdr:to>
          <xdr:col>121</xdr:col>
          <xdr:colOff>7620</xdr:colOff>
          <xdr:row>47</xdr:row>
          <xdr:rowOff>0</xdr:rowOff>
        </xdr:to>
        <xdr:sp macro="" textlink="">
          <xdr:nvSpPr>
            <xdr:cNvPr id="74927" name="Check Box 175" hidden="1">
              <a:extLst>
                <a:ext uri="{63B3BB69-23CF-44E3-9099-C40C66FF867C}">
                  <a14:compatExt spid="_x0000_s74927"/>
                </a:ext>
                <a:ext uri="{FF2B5EF4-FFF2-40B4-BE49-F238E27FC236}">
                  <a16:creationId xmlns:a16="http://schemas.microsoft.com/office/drawing/2014/main" id="{00000000-0008-0000-1400-0000A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7620</xdr:colOff>
          <xdr:row>47</xdr:row>
          <xdr:rowOff>0</xdr:rowOff>
        </xdr:to>
        <xdr:sp macro="" textlink="">
          <xdr:nvSpPr>
            <xdr:cNvPr id="74928" name="Check Box 176" hidden="1">
              <a:extLst>
                <a:ext uri="{63B3BB69-23CF-44E3-9099-C40C66FF867C}">
                  <a14:compatExt spid="_x0000_s74928"/>
                </a:ext>
                <a:ext uri="{FF2B5EF4-FFF2-40B4-BE49-F238E27FC236}">
                  <a16:creationId xmlns:a16="http://schemas.microsoft.com/office/drawing/2014/main" id="{00000000-0008-0000-1400-0000B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-22860</xdr:colOff>
          <xdr:row>12</xdr:row>
          <xdr:rowOff>0</xdr:rowOff>
        </xdr:from>
        <xdr:to>
          <xdr:col>114</xdr:col>
          <xdr:colOff>7620</xdr:colOff>
          <xdr:row>13</xdr:row>
          <xdr:rowOff>0</xdr:rowOff>
        </xdr:to>
        <xdr:sp macro="" textlink="">
          <xdr:nvSpPr>
            <xdr:cNvPr id="74929" name="Check Box 177" hidden="1">
              <a:extLst>
                <a:ext uri="{63B3BB69-23CF-44E3-9099-C40C66FF867C}">
                  <a14:compatExt spid="_x0000_s74929"/>
                </a:ext>
                <a:ext uri="{FF2B5EF4-FFF2-40B4-BE49-F238E27FC236}">
                  <a16:creationId xmlns:a16="http://schemas.microsoft.com/office/drawing/2014/main" id="{00000000-0008-0000-1400-0000B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7620</xdr:colOff>
          <xdr:row>55</xdr:row>
          <xdr:rowOff>0</xdr:rowOff>
        </xdr:to>
        <xdr:sp macro="" textlink="">
          <xdr:nvSpPr>
            <xdr:cNvPr id="74930" name="Check Box 178" hidden="1">
              <a:extLst>
                <a:ext uri="{63B3BB69-23CF-44E3-9099-C40C66FF867C}">
                  <a14:compatExt spid="_x0000_s74930"/>
                </a:ext>
                <a:ext uri="{FF2B5EF4-FFF2-40B4-BE49-F238E27FC236}">
                  <a16:creationId xmlns:a16="http://schemas.microsoft.com/office/drawing/2014/main" id="{00000000-0008-0000-1400-0000B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54</xdr:row>
          <xdr:rowOff>0</xdr:rowOff>
        </xdr:from>
        <xdr:to>
          <xdr:col>122</xdr:col>
          <xdr:colOff>22860</xdr:colOff>
          <xdr:row>55</xdr:row>
          <xdr:rowOff>0</xdr:rowOff>
        </xdr:to>
        <xdr:sp macro="" textlink="">
          <xdr:nvSpPr>
            <xdr:cNvPr id="74931" name="Check Box 179" hidden="1">
              <a:extLst>
                <a:ext uri="{63B3BB69-23CF-44E3-9099-C40C66FF867C}">
                  <a14:compatExt spid="_x0000_s74931"/>
                </a:ext>
                <a:ext uri="{FF2B5EF4-FFF2-40B4-BE49-F238E27FC236}">
                  <a16:creationId xmlns:a16="http://schemas.microsoft.com/office/drawing/2014/main" id="{00000000-0008-0000-1400-0000B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7620</xdr:colOff>
          <xdr:row>55</xdr:row>
          <xdr:rowOff>0</xdr:rowOff>
        </xdr:to>
        <xdr:sp macro="" textlink="">
          <xdr:nvSpPr>
            <xdr:cNvPr id="74932" name="Check Box 180" hidden="1">
              <a:extLst>
                <a:ext uri="{63B3BB69-23CF-44E3-9099-C40C66FF867C}">
                  <a14:compatExt spid="_x0000_s74932"/>
                </a:ext>
                <a:ext uri="{FF2B5EF4-FFF2-40B4-BE49-F238E27FC236}">
                  <a16:creationId xmlns:a16="http://schemas.microsoft.com/office/drawing/2014/main" id="{00000000-0008-0000-1400-0000B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7620</xdr:colOff>
          <xdr:row>56</xdr:row>
          <xdr:rowOff>0</xdr:rowOff>
        </xdr:to>
        <xdr:sp macro="" textlink="">
          <xdr:nvSpPr>
            <xdr:cNvPr id="74933" name="Check Box 181" hidden="1">
              <a:extLst>
                <a:ext uri="{63B3BB69-23CF-44E3-9099-C40C66FF867C}">
                  <a14:compatExt spid="_x0000_s74933"/>
                </a:ext>
                <a:ext uri="{FF2B5EF4-FFF2-40B4-BE49-F238E27FC236}">
                  <a16:creationId xmlns:a16="http://schemas.microsoft.com/office/drawing/2014/main" id="{00000000-0008-0000-1400-0000B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7620</xdr:colOff>
          <xdr:row>56</xdr:row>
          <xdr:rowOff>0</xdr:rowOff>
        </xdr:to>
        <xdr:sp macro="" textlink="">
          <xdr:nvSpPr>
            <xdr:cNvPr id="74934" name="Check Box 182" hidden="1">
              <a:extLst>
                <a:ext uri="{63B3BB69-23CF-44E3-9099-C40C66FF867C}">
                  <a14:compatExt spid="_x0000_s74934"/>
                </a:ext>
                <a:ext uri="{FF2B5EF4-FFF2-40B4-BE49-F238E27FC236}">
                  <a16:creationId xmlns:a16="http://schemas.microsoft.com/office/drawing/2014/main" id="{00000000-0008-0000-1400-0000B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7620</xdr:colOff>
          <xdr:row>57</xdr:row>
          <xdr:rowOff>0</xdr:rowOff>
        </xdr:to>
        <xdr:sp macro="" textlink="">
          <xdr:nvSpPr>
            <xdr:cNvPr id="74935" name="Check Box 183" hidden="1">
              <a:extLst>
                <a:ext uri="{63B3BB69-23CF-44E3-9099-C40C66FF867C}">
                  <a14:compatExt spid="_x0000_s74935"/>
                </a:ext>
                <a:ext uri="{FF2B5EF4-FFF2-40B4-BE49-F238E27FC236}">
                  <a16:creationId xmlns:a16="http://schemas.microsoft.com/office/drawing/2014/main" id="{00000000-0008-0000-1400-0000B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56</xdr:row>
          <xdr:rowOff>0</xdr:rowOff>
        </xdr:from>
        <xdr:to>
          <xdr:col>121</xdr:col>
          <xdr:colOff>7620</xdr:colOff>
          <xdr:row>57</xdr:row>
          <xdr:rowOff>0</xdr:rowOff>
        </xdr:to>
        <xdr:sp macro="" textlink="">
          <xdr:nvSpPr>
            <xdr:cNvPr id="74936" name="Check Box 184" hidden="1">
              <a:extLst>
                <a:ext uri="{63B3BB69-23CF-44E3-9099-C40C66FF867C}">
                  <a14:compatExt spid="_x0000_s74936"/>
                </a:ext>
                <a:ext uri="{FF2B5EF4-FFF2-40B4-BE49-F238E27FC236}">
                  <a16:creationId xmlns:a16="http://schemas.microsoft.com/office/drawing/2014/main" id="{00000000-0008-0000-1400-0000B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7620</xdr:colOff>
          <xdr:row>57</xdr:row>
          <xdr:rowOff>0</xdr:rowOff>
        </xdr:to>
        <xdr:sp macro="" textlink="">
          <xdr:nvSpPr>
            <xdr:cNvPr id="74937" name="Check Box 185" hidden="1">
              <a:extLst>
                <a:ext uri="{63B3BB69-23CF-44E3-9099-C40C66FF867C}">
                  <a14:compatExt spid="_x0000_s74937"/>
                </a:ext>
                <a:ext uri="{FF2B5EF4-FFF2-40B4-BE49-F238E27FC236}">
                  <a16:creationId xmlns:a16="http://schemas.microsoft.com/office/drawing/2014/main" id="{00000000-0008-0000-1400-0000B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7620</xdr:colOff>
          <xdr:row>58</xdr:row>
          <xdr:rowOff>0</xdr:rowOff>
        </xdr:to>
        <xdr:sp macro="" textlink="">
          <xdr:nvSpPr>
            <xdr:cNvPr id="74938" name="Check Box 186" hidden="1">
              <a:extLst>
                <a:ext uri="{63B3BB69-23CF-44E3-9099-C40C66FF867C}">
                  <a14:compatExt spid="_x0000_s74938"/>
                </a:ext>
                <a:ext uri="{FF2B5EF4-FFF2-40B4-BE49-F238E27FC236}">
                  <a16:creationId xmlns:a16="http://schemas.microsoft.com/office/drawing/2014/main" id="{00000000-0008-0000-1400-0000B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7620</xdr:colOff>
          <xdr:row>58</xdr:row>
          <xdr:rowOff>0</xdr:rowOff>
        </xdr:to>
        <xdr:sp macro="" textlink="">
          <xdr:nvSpPr>
            <xdr:cNvPr id="74939" name="Check Box 187" hidden="1">
              <a:extLst>
                <a:ext uri="{63B3BB69-23CF-44E3-9099-C40C66FF867C}">
                  <a14:compatExt spid="_x0000_s74939"/>
                </a:ext>
                <a:ext uri="{FF2B5EF4-FFF2-40B4-BE49-F238E27FC236}">
                  <a16:creationId xmlns:a16="http://schemas.microsoft.com/office/drawing/2014/main" id="{00000000-0008-0000-1400-0000B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7620</xdr:colOff>
          <xdr:row>58</xdr:row>
          <xdr:rowOff>0</xdr:rowOff>
        </xdr:to>
        <xdr:sp macro="" textlink="">
          <xdr:nvSpPr>
            <xdr:cNvPr id="74940" name="Check Box 188" hidden="1">
              <a:extLst>
                <a:ext uri="{63B3BB69-23CF-44E3-9099-C40C66FF867C}">
                  <a14:compatExt spid="_x0000_s74940"/>
                </a:ext>
                <a:ext uri="{FF2B5EF4-FFF2-40B4-BE49-F238E27FC236}">
                  <a16:creationId xmlns:a16="http://schemas.microsoft.com/office/drawing/2014/main" id="{00000000-0008-0000-1400-0000B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7620</xdr:colOff>
          <xdr:row>59</xdr:row>
          <xdr:rowOff>0</xdr:rowOff>
        </xdr:to>
        <xdr:sp macro="" textlink="">
          <xdr:nvSpPr>
            <xdr:cNvPr id="74941" name="Check Box 189" hidden="1">
              <a:extLst>
                <a:ext uri="{63B3BB69-23CF-44E3-9099-C40C66FF867C}">
                  <a14:compatExt spid="_x0000_s74941"/>
                </a:ext>
                <a:ext uri="{FF2B5EF4-FFF2-40B4-BE49-F238E27FC236}">
                  <a16:creationId xmlns:a16="http://schemas.microsoft.com/office/drawing/2014/main" id="{00000000-0008-0000-1400-0000B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58</xdr:row>
          <xdr:rowOff>0</xdr:rowOff>
        </xdr:from>
        <xdr:to>
          <xdr:col>121</xdr:col>
          <xdr:colOff>7620</xdr:colOff>
          <xdr:row>59</xdr:row>
          <xdr:rowOff>7620</xdr:rowOff>
        </xdr:to>
        <xdr:sp macro="" textlink="">
          <xdr:nvSpPr>
            <xdr:cNvPr id="74942" name="Check Box 190" hidden="1">
              <a:extLst>
                <a:ext uri="{63B3BB69-23CF-44E3-9099-C40C66FF867C}">
                  <a14:compatExt spid="_x0000_s74942"/>
                </a:ext>
                <a:ext uri="{FF2B5EF4-FFF2-40B4-BE49-F238E27FC236}">
                  <a16:creationId xmlns:a16="http://schemas.microsoft.com/office/drawing/2014/main" id="{00000000-0008-0000-1400-0000B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7620</xdr:colOff>
          <xdr:row>59</xdr:row>
          <xdr:rowOff>0</xdr:rowOff>
        </xdr:to>
        <xdr:sp macro="" textlink="">
          <xdr:nvSpPr>
            <xdr:cNvPr id="74943" name="Check Box 191" hidden="1">
              <a:extLst>
                <a:ext uri="{63B3BB69-23CF-44E3-9099-C40C66FF867C}">
                  <a14:compatExt spid="_x0000_s74943"/>
                </a:ext>
                <a:ext uri="{FF2B5EF4-FFF2-40B4-BE49-F238E27FC236}">
                  <a16:creationId xmlns:a16="http://schemas.microsoft.com/office/drawing/2014/main" id="{00000000-0008-0000-1400-0000B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7620</xdr:colOff>
          <xdr:row>60</xdr:row>
          <xdr:rowOff>0</xdr:rowOff>
        </xdr:to>
        <xdr:sp macro="" textlink="">
          <xdr:nvSpPr>
            <xdr:cNvPr id="74944" name="Check Box 192" hidden="1">
              <a:extLst>
                <a:ext uri="{63B3BB69-23CF-44E3-9099-C40C66FF867C}">
                  <a14:compatExt spid="_x0000_s74944"/>
                </a:ext>
                <a:ext uri="{FF2B5EF4-FFF2-40B4-BE49-F238E27FC236}">
                  <a16:creationId xmlns:a16="http://schemas.microsoft.com/office/drawing/2014/main" id="{00000000-0008-0000-1400-0000C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59</xdr:row>
          <xdr:rowOff>0</xdr:rowOff>
        </xdr:from>
        <xdr:to>
          <xdr:col>121</xdr:col>
          <xdr:colOff>7620</xdr:colOff>
          <xdr:row>60</xdr:row>
          <xdr:rowOff>0</xdr:rowOff>
        </xdr:to>
        <xdr:sp macro="" textlink="">
          <xdr:nvSpPr>
            <xdr:cNvPr id="74945" name="Check Box 193" hidden="1">
              <a:extLst>
                <a:ext uri="{63B3BB69-23CF-44E3-9099-C40C66FF867C}">
                  <a14:compatExt spid="_x0000_s74945"/>
                </a:ext>
                <a:ext uri="{FF2B5EF4-FFF2-40B4-BE49-F238E27FC236}">
                  <a16:creationId xmlns:a16="http://schemas.microsoft.com/office/drawing/2014/main" id="{00000000-0008-0000-1400-0000C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59</xdr:row>
          <xdr:rowOff>0</xdr:rowOff>
        </xdr:from>
        <xdr:to>
          <xdr:col>128</xdr:col>
          <xdr:colOff>7620</xdr:colOff>
          <xdr:row>60</xdr:row>
          <xdr:rowOff>0</xdr:rowOff>
        </xdr:to>
        <xdr:sp macro="" textlink="">
          <xdr:nvSpPr>
            <xdr:cNvPr id="74946" name="Check Box 194" hidden="1">
              <a:extLst>
                <a:ext uri="{63B3BB69-23CF-44E3-9099-C40C66FF867C}">
                  <a14:compatExt spid="_x0000_s74946"/>
                </a:ext>
                <a:ext uri="{FF2B5EF4-FFF2-40B4-BE49-F238E27FC236}">
                  <a16:creationId xmlns:a16="http://schemas.microsoft.com/office/drawing/2014/main" id="{00000000-0008-0000-1400-0000C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59</xdr:row>
          <xdr:rowOff>0</xdr:rowOff>
        </xdr:from>
        <xdr:to>
          <xdr:col>135</xdr:col>
          <xdr:colOff>7620</xdr:colOff>
          <xdr:row>60</xdr:row>
          <xdr:rowOff>0</xdr:rowOff>
        </xdr:to>
        <xdr:sp macro="" textlink="">
          <xdr:nvSpPr>
            <xdr:cNvPr id="74947" name="Check Box 195" hidden="1">
              <a:extLst>
                <a:ext uri="{63B3BB69-23CF-44E3-9099-C40C66FF867C}">
                  <a14:compatExt spid="_x0000_s74947"/>
                </a:ext>
                <a:ext uri="{FF2B5EF4-FFF2-40B4-BE49-F238E27FC236}">
                  <a16:creationId xmlns:a16="http://schemas.microsoft.com/office/drawing/2014/main" id="{00000000-0008-0000-1400-0000C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7620</xdr:colOff>
          <xdr:row>67</xdr:row>
          <xdr:rowOff>0</xdr:rowOff>
        </xdr:to>
        <xdr:sp macro="" textlink="">
          <xdr:nvSpPr>
            <xdr:cNvPr id="74948" name="Check Box 196" hidden="1">
              <a:extLst>
                <a:ext uri="{63B3BB69-23CF-44E3-9099-C40C66FF867C}">
                  <a14:compatExt spid="_x0000_s74948"/>
                </a:ext>
                <a:ext uri="{FF2B5EF4-FFF2-40B4-BE49-F238E27FC236}">
                  <a16:creationId xmlns:a16="http://schemas.microsoft.com/office/drawing/2014/main" id="{00000000-0008-0000-1400-0000C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66</xdr:row>
          <xdr:rowOff>0</xdr:rowOff>
        </xdr:from>
        <xdr:to>
          <xdr:col>122</xdr:col>
          <xdr:colOff>7620</xdr:colOff>
          <xdr:row>67</xdr:row>
          <xdr:rowOff>0</xdr:rowOff>
        </xdr:to>
        <xdr:sp macro="" textlink="">
          <xdr:nvSpPr>
            <xdr:cNvPr id="74949" name="Check Box 197" hidden="1">
              <a:extLst>
                <a:ext uri="{63B3BB69-23CF-44E3-9099-C40C66FF867C}">
                  <a14:compatExt spid="_x0000_s74949"/>
                </a:ext>
                <a:ext uri="{FF2B5EF4-FFF2-40B4-BE49-F238E27FC236}">
                  <a16:creationId xmlns:a16="http://schemas.microsoft.com/office/drawing/2014/main" id="{00000000-0008-0000-1400-0000C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7620</xdr:colOff>
          <xdr:row>67</xdr:row>
          <xdr:rowOff>0</xdr:rowOff>
        </xdr:to>
        <xdr:sp macro="" textlink="">
          <xdr:nvSpPr>
            <xdr:cNvPr id="74950" name="Check Box 198" hidden="1">
              <a:extLst>
                <a:ext uri="{63B3BB69-23CF-44E3-9099-C40C66FF867C}">
                  <a14:compatExt spid="_x0000_s74950"/>
                </a:ext>
                <a:ext uri="{FF2B5EF4-FFF2-40B4-BE49-F238E27FC236}">
                  <a16:creationId xmlns:a16="http://schemas.microsoft.com/office/drawing/2014/main" id="{00000000-0008-0000-1400-0000C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7620</xdr:colOff>
          <xdr:row>68</xdr:row>
          <xdr:rowOff>0</xdr:rowOff>
        </xdr:to>
        <xdr:sp macro="" textlink="">
          <xdr:nvSpPr>
            <xdr:cNvPr id="74951" name="Check Box 199" hidden="1">
              <a:extLst>
                <a:ext uri="{63B3BB69-23CF-44E3-9099-C40C66FF867C}">
                  <a14:compatExt spid="_x0000_s74951"/>
                </a:ext>
                <a:ext uri="{FF2B5EF4-FFF2-40B4-BE49-F238E27FC236}">
                  <a16:creationId xmlns:a16="http://schemas.microsoft.com/office/drawing/2014/main" id="{00000000-0008-0000-1400-0000C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7620</xdr:colOff>
          <xdr:row>68</xdr:row>
          <xdr:rowOff>0</xdr:rowOff>
        </xdr:to>
        <xdr:sp macro="" textlink="">
          <xdr:nvSpPr>
            <xdr:cNvPr id="74952" name="Check Box 200" hidden="1">
              <a:extLst>
                <a:ext uri="{63B3BB69-23CF-44E3-9099-C40C66FF867C}">
                  <a14:compatExt spid="_x0000_s74952"/>
                </a:ext>
                <a:ext uri="{FF2B5EF4-FFF2-40B4-BE49-F238E27FC236}">
                  <a16:creationId xmlns:a16="http://schemas.microsoft.com/office/drawing/2014/main" id="{00000000-0008-0000-1400-0000C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7620</xdr:colOff>
          <xdr:row>69</xdr:row>
          <xdr:rowOff>0</xdr:rowOff>
        </xdr:to>
        <xdr:sp macro="" textlink="">
          <xdr:nvSpPr>
            <xdr:cNvPr id="74953" name="Check Box 201" hidden="1">
              <a:extLst>
                <a:ext uri="{63B3BB69-23CF-44E3-9099-C40C66FF867C}">
                  <a14:compatExt spid="_x0000_s74953"/>
                </a:ext>
                <a:ext uri="{FF2B5EF4-FFF2-40B4-BE49-F238E27FC236}">
                  <a16:creationId xmlns:a16="http://schemas.microsoft.com/office/drawing/2014/main" id="{00000000-0008-0000-1400-0000C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68</xdr:row>
          <xdr:rowOff>0</xdr:rowOff>
        </xdr:from>
        <xdr:to>
          <xdr:col>121</xdr:col>
          <xdr:colOff>7620</xdr:colOff>
          <xdr:row>69</xdr:row>
          <xdr:rowOff>0</xdr:rowOff>
        </xdr:to>
        <xdr:sp macro="" textlink="">
          <xdr:nvSpPr>
            <xdr:cNvPr id="74954" name="Check Box 202" hidden="1">
              <a:extLst>
                <a:ext uri="{63B3BB69-23CF-44E3-9099-C40C66FF867C}">
                  <a14:compatExt spid="_x0000_s74954"/>
                </a:ext>
                <a:ext uri="{FF2B5EF4-FFF2-40B4-BE49-F238E27FC236}">
                  <a16:creationId xmlns:a16="http://schemas.microsoft.com/office/drawing/2014/main" id="{00000000-0008-0000-1400-0000C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7620</xdr:colOff>
          <xdr:row>69</xdr:row>
          <xdr:rowOff>0</xdr:rowOff>
        </xdr:to>
        <xdr:sp macro="" textlink="">
          <xdr:nvSpPr>
            <xdr:cNvPr id="74955" name="Check Box 203" hidden="1">
              <a:extLst>
                <a:ext uri="{63B3BB69-23CF-44E3-9099-C40C66FF867C}">
                  <a14:compatExt spid="_x0000_s74955"/>
                </a:ext>
                <a:ext uri="{FF2B5EF4-FFF2-40B4-BE49-F238E27FC236}">
                  <a16:creationId xmlns:a16="http://schemas.microsoft.com/office/drawing/2014/main" id="{00000000-0008-0000-1400-0000C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7620</xdr:colOff>
          <xdr:row>70</xdr:row>
          <xdr:rowOff>0</xdr:rowOff>
        </xdr:to>
        <xdr:sp macro="" textlink="">
          <xdr:nvSpPr>
            <xdr:cNvPr id="74956" name="Check Box 204" hidden="1">
              <a:extLst>
                <a:ext uri="{63B3BB69-23CF-44E3-9099-C40C66FF867C}">
                  <a14:compatExt spid="_x0000_s74956"/>
                </a:ext>
                <a:ext uri="{FF2B5EF4-FFF2-40B4-BE49-F238E27FC236}">
                  <a16:creationId xmlns:a16="http://schemas.microsoft.com/office/drawing/2014/main" id="{00000000-0008-0000-1400-0000C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69</xdr:row>
          <xdr:rowOff>0</xdr:rowOff>
        </xdr:from>
        <xdr:to>
          <xdr:col>121</xdr:col>
          <xdr:colOff>7620</xdr:colOff>
          <xdr:row>70</xdr:row>
          <xdr:rowOff>0</xdr:rowOff>
        </xdr:to>
        <xdr:sp macro="" textlink="">
          <xdr:nvSpPr>
            <xdr:cNvPr id="74957" name="Check Box 205" hidden="1">
              <a:extLst>
                <a:ext uri="{63B3BB69-23CF-44E3-9099-C40C66FF867C}">
                  <a14:compatExt spid="_x0000_s74957"/>
                </a:ext>
                <a:ext uri="{FF2B5EF4-FFF2-40B4-BE49-F238E27FC236}">
                  <a16:creationId xmlns:a16="http://schemas.microsoft.com/office/drawing/2014/main" id="{00000000-0008-0000-1400-0000C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7620</xdr:colOff>
          <xdr:row>70</xdr:row>
          <xdr:rowOff>0</xdr:rowOff>
        </xdr:to>
        <xdr:sp macro="" textlink="">
          <xdr:nvSpPr>
            <xdr:cNvPr id="74958" name="Check Box 206" hidden="1">
              <a:extLst>
                <a:ext uri="{63B3BB69-23CF-44E3-9099-C40C66FF867C}">
                  <a14:compatExt spid="_x0000_s74958"/>
                </a:ext>
                <a:ext uri="{FF2B5EF4-FFF2-40B4-BE49-F238E27FC236}">
                  <a16:creationId xmlns:a16="http://schemas.microsoft.com/office/drawing/2014/main" id="{00000000-0008-0000-1400-0000C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7620</xdr:colOff>
          <xdr:row>71</xdr:row>
          <xdr:rowOff>0</xdr:rowOff>
        </xdr:to>
        <xdr:sp macro="" textlink="">
          <xdr:nvSpPr>
            <xdr:cNvPr id="74959" name="Check Box 207" hidden="1">
              <a:extLst>
                <a:ext uri="{63B3BB69-23CF-44E3-9099-C40C66FF867C}">
                  <a14:compatExt spid="_x0000_s74959"/>
                </a:ext>
                <a:ext uri="{FF2B5EF4-FFF2-40B4-BE49-F238E27FC236}">
                  <a16:creationId xmlns:a16="http://schemas.microsoft.com/office/drawing/2014/main" id="{00000000-0008-0000-1400-0000C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70</xdr:row>
          <xdr:rowOff>0</xdr:rowOff>
        </xdr:from>
        <xdr:to>
          <xdr:col>121</xdr:col>
          <xdr:colOff>7620</xdr:colOff>
          <xdr:row>71</xdr:row>
          <xdr:rowOff>0</xdr:rowOff>
        </xdr:to>
        <xdr:sp macro="" textlink="">
          <xdr:nvSpPr>
            <xdr:cNvPr id="74960" name="Check Box 208" hidden="1">
              <a:extLst>
                <a:ext uri="{63B3BB69-23CF-44E3-9099-C40C66FF867C}">
                  <a14:compatExt spid="_x0000_s74960"/>
                </a:ext>
                <a:ext uri="{FF2B5EF4-FFF2-40B4-BE49-F238E27FC236}">
                  <a16:creationId xmlns:a16="http://schemas.microsoft.com/office/drawing/2014/main" id="{00000000-0008-0000-1400-0000D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7620</xdr:colOff>
          <xdr:row>71</xdr:row>
          <xdr:rowOff>0</xdr:rowOff>
        </xdr:to>
        <xdr:sp macro="" textlink="">
          <xdr:nvSpPr>
            <xdr:cNvPr id="74961" name="Check Box 209" hidden="1">
              <a:extLst>
                <a:ext uri="{63B3BB69-23CF-44E3-9099-C40C66FF867C}">
                  <a14:compatExt spid="_x0000_s74961"/>
                </a:ext>
                <a:ext uri="{FF2B5EF4-FFF2-40B4-BE49-F238E27FC236}">
                  <a16:creationId xmlns:a16="http://schemas.microsoft.com/office/drawing/2014/main" id="{00000000-0008-0000-1400-0000D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7620</xdr:colOff>
          <xdr:row>72</xdr:row>
          <xdr:rowOff>0</xdr:rowOff>
        </xdr:to>
        <xdr:sp macro="" textlink="">
          <xdr:nvSpPr>
            <xdr:cNvPr id="74962" name="Check Box 210" hidden="1">
              <a:extLst>
                <a:ext uri="{63B3BB69-23CF-44E3-9099-C40C66FF867C}">
                  <a14:compatExt spid="_x0000_s74962"/>
                </a:ext>
                <a:ext uri="{FF2B5EF4-FFF2-40B4-BE49-F238E27FC236}">
                  <a16:creationId xmlns:a16="http://schemas.microsoft.com/office/drawing/2014/main" id="{00000000-0008-0000-1400-0000D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71</xdr:row>
          <xdr:rowOff>0</xdr:rowOff>
        </xdr:from>
        <xdr:to>
          <xdr:col>121</xdr:col>
          <xdr:colOff>7620</xdr:colOff>
          <xdr:row>72</xdr:row>
          <xdr:rowOff>0</xdr:rowOff>
        </xdr:to>
        <xdr:sp macro="" textlink="">
          <xdr:nvSpPr>
            <xdr:cNvPr id="74963" name="Check Box 211" hidden="1">
              <a:extLst>
                <a:ext uri="{63B3BB69-23CF-44E3-9099-C40C66FF867C}">
                  <a14:compatExt spid="_x0000_s74963"/>
                </a:ext>
                <a:ext uri="{FF2B5EF4-FFF2-40B4-BE49-F238E27FC236}">
                  <a16:creationId xmlns:a16="http://schemas.microsoft.com/office/drawing/2014/main" id="{00000000-0008-0000-1400-0000D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71</xdr:row>
          <xdr:rowOff>0</xdr:rowOff>
        </xdr:from>
        <xdr:to>
          <xdr:col>128</xdr:col>
          <xdr:colOff>7620</xdr:colOff>
          <xdr:row>72</xdr:row>
          <xdr:rowOff>0</xdr:rowOff>
        </xdr:to>
        <xdr:sp macro="" textlink="">
          <xdr:nvSpPr>
            <xdr:cNvPr id="74964" name="Check Box 212" hidden="1">
              <a:extLst>
                <a:ext uri="{63B3BB69-23CF-44E3-9099-C40C66FF867C}">
                  <a14:compatExt spid="_x0000_s74964"/>
                </a:ext>
                <a:ext uri="{FF2B5EF4-FFF2-40B4-BE49-F238E27FC236}">
                  <a16:creationId xmlns:a16="http://schemas.microsoft.com/office/drawing/2014/main" id="{00000000-0008-0000-1400-0000D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71</xdr:row>
          <xdr:rowOff>0</xdr:rowOff>
        </xdr:from>
        <xdr:to>
          <xdr:col>135</xdr:col>
          <xdr:colOff>7620</xdr:colOff>
          <xdr:row>72</xdr:row>
          <xdr:rowOff>0</xdr:rowOff>
        </xdr:to>
        <xdr:sp macro="" textlink="">
          <xdr:nvSpPr>
            <xdr:cNvPr id="74965" name="Check Box 213" hidden="1">
              <a:extLst>
                <a:ext uri="{63B3BB69-23CF-44E3-9099-C40C66FF867C}">
                  <a14:compatExt spid="_x0000_s74965"/>
                </a:ext>
                <a:ext uri="{FF2B5EF4-FFF2-40B4-BE49-F238E27FC236}">
                  <a16:creationId xmlns:a16="http://schemas.microsoft.com/office/drawing/2014/main" id="{00000000-0008-0000-1400-0000D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7620</xdr:colOff>
          <xdr:row>42</xdr:row>
          <xdr:rowOff>0</xdr:rowOff>
        </xdr:to>
        <xdr:sp macro="" textlink="">
          <xdr:nvSpPr>
            <xdr:cNvPr id="74966" name="Check Box 214" hidden="1">
              <a:extLst>
                <a:ext uri="{63B3BB69-23CF-44E3-9099-C40C66FF867C}">
                  <a14:compatExt spid="_x0000_s74966"/>
                </a:ext>
                <a:ext uri="{FF2B5EF4-FFF2-40B4-BE49-F238E27FC236}">
                  <a16:creationId xmlns:a16="http://schemas.microsoft.com/office/drawing/2014/main" id="{00000000-0008-0000-1400-0000D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40</xdr:row>
          <xdr:rowOff>228600</xdr:rowOff>
        </xdr:from>
        <xdr:to>
          <xdr:col>120</xdr:col>
          <xdr:colOff>7620</xdr:colOff>
          <xdr:row>42</xdr:row>
          <xdr:rowOff>0</xdr:rowOff>
        </xdr:to>
        <xdr:sp macro="" textlink="">
          <xdr:nvSpPr>
            <xdr:cNvPr id="74967" name="Check Box 215" hidden="1">
              <a:extLst>
                <a:ext uri="{63B3BB69-23CF-44E3-9099-C40C66FF867C}">
                  <a14:compatExt spid="_x0000_s74967"/>
                </a:ext>
                <a:ext uri="{FF2B5EF4-FFF2-40B4-BE49-F238E27FC236}">
                  <a16:creationId xmlns:a16="http://schemas.microsoft.com/office/drawing/2014/main" id="{00000000-0008-0000-1400-0000D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7620</xdr:colOff>
          <xdr:row>54</xdr:row>
          <xdr:rowOff>0</xdr:rowOff>
        </xdr:to>
        <xdr:sp macro="" textlink="">
          <xdr:nvSpPr>
            <xdr:cNvPr id="74968" name="Check Box 216" hidden="1">
              <a:extLst>
                <a:ext uri="{63B3BB69-23CF-44E3-9099-C40C66FF867C}">
                  <a14:compatExt spid="_x0000_s74968"/>
                </a:ext>
                <a:ext uri="{FF2B5EF4-FFF2-40B4-BE49-F238E27FC236}">
                  <a16:creationId xmlns:a16="http://schemas.microsoft.com/office/drawing/2014/main" id="{00000000-0008-0000-1400-0000D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52</xdr:row>
          <xdr:rowOff>228600</xdr:rowOff>
        </xdr:from>
        <xdr:to>
          <xdr:col>120</xdr:col>
          <xdr:colOff>7620</xdr:colOff>
          <xdr:row>54</xdr:row>
          <xdr:rowOff>0</xdr:rowOff>
        </xdr:to>
        <xdr:sp macro="" textlink="">
          <xdr:nvSpPr>
            <xdr:cNvPr id="74969" name="Check Box 217" hidden="1">
              <a:extLst>
                <a:ext uri="{63B3BB69-23CF-44E3-9099-C40C66FF867C}">
                  <a14:compatExt spid="_x0000_s74969"/>
                </a:ext>
                <a:ext uri="{FF2B5EF4-FFF2-40B4-BE49-F238E27FC236}">
                  <a16:creationId xmlns:a16="http://schemas.microsoft.com/office/drawing/2014/main" id="{00000000-0008-0000-1400-0000D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7620</xdr:colOff>
          <xdr:row>66</xdr:row>
          <xdr:rowOff>0</xdr:rowOff>
        </xdr:to>
        <xdr:sp macro="" textlink="">
          <xdr:nvSpPr>
            <xdr:cNvPr id="74970" name="Check Box 218" hidden="1">
              <a:extLst>
                <a:ext uri="{63B3BB69-23CF-44E3-9099-C40C66FF867C}">
                  <a14:compatExt spid="_x0000_s74970"/>
                </a:ext>
                <a:ext uri="{FF2B5EF4-FFF2-40B4-BE49-F238E27FC236}">
                  <a16:creationId xmlns:a16="http://schemas.microsoft.com/office/drawing/2014/main" id="{00000000-0008-0000-1400-0000D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64</xdr:row>
          <xdr:rowOff>228600</xdr:rowOff>
        </xdr:from>
        <xdr:to>
          <xdr:col>120</xdr:col>
          <xdr:colOff>7620</xdr:colOff>
          <xdr:row>66</xdr:row>
          <xdr:rowOff>0</xdr:rowOff>
        </xdr:to>
        <xdr:sp macro="" textlink="">
          <xdr:nvSpPr>
            <xdr:cNvPr id="74971" name="Check Box 219" hidden="1">
              <a:extLst>
                <a:ext uri="{63B3BB69-23CF-44E3-9099-C40C66FF867C}">
                  <a14:compatExt spid="_x0000_s74971"/>
                </a:ext>
                <a:ext uri="{FF2B5EF4-FFF2-40B4-BE49-F238E27FC236}">
                  <a16:creationId xmlns:a16="http://schemas.microsoft.com/office/drawing/2014/main" id="{00000000-0008-0000-1400-0000D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74972" name="Check Box 220" hidden="1">
              <a:extLst>
                <a:ext uri="{63B3BB69-23CF-44E3-9099-C40C66FF867C}">
                  <a14:compatExt spid="_x0000_s74972"/>
                </a:ext>
                <a:ext uri="{FF2B5EF4-FFF2-40B4-BE49-F238E27FC236}">
                  <a16:creationId xmlns:a16="http://schemas.microsoft.com/office/drawing/2014/main" id="{00000000-0008-0000-1400-0000D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74973" name="Check Box 221" hidden="1">
              <a:extLst>
                <a:ext uri="{63B3BB69-23CF-44E3-9099-C40C66FF867C}">
                  <a14:compatExt spid="_x0000_s74973"/>
                </a:ext>
                <a:ext uri="{FF2B5EF4-FFF2-40B4-BE49-F238E27FC236}">
                  <a16:creationId xmlns:a16="http://schemas.microsoft.com/office/drawing/2014/main" id="{00000000-0008-0000-1400-0000D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-30480</xdr:colOff>
          <xdr:row>3</xdr:row>
          <xdr:rowOff>0</xdr:rowOff>
        </xdr:from>
        <xdr:to>
          <xdr:col>166</xdr:col>
          <xdr:colOff>7620</xdr:colOff>
          <xdr:row>4</xdr:row>
          <xdr:rowOff>0</xdr:rowOff>
        </xdr:to>
        <xdr:sp macro="" textlink="">
          <xdr:nvSpPr>
            <xdr:cNvPr id="74974" name="Check Box 222" hidden="1">
              <a:extLst>
                <a:ext uri="{63B3BB69-23CF-44E3-9099-C40C66FF867C}">
                  <a14:compatExt spid="_x0000_s74974"/>
                </a:ext>
                <a:ext uri="{FF2B5EF4-FFF2-40B4-BE49-F238E27FC236}">
                  <a16:creationId xmlns:a16="http://schemas.microsoft.com/office/drawing/2014/main" id="{00000000-0008-0000-1400-0000D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7620</xdr:colOff>
          <xdr:row>4</xdr:row>
          <xdr:rowOff>0</xdr:rowOff>
        </xdr:to>
        <xdr:sp macro="" textlink="">
          <xdr:nvSpPr>
            <xdr:cNvPr id="74975" name="Check Box 223" hidden="1">
              <a:extLst>
                <a:ext uri="{63B3BB69-23CF-44E3-9099-C40C66FF867C}">
                  <a14:compatExt spid="_x0000_s74975"/>
                </a:ext>
                <a:ext uri="{FF2B5EF4-FFF2-40B4-BE49-F238E27FC236}">
                  <a16:creationId xmlns:a16="http://schemas.microsoft.com/office/drawing/2014/main" id="{00000000-0008-0000-1400-0000D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7620</xdr:colOff>
          <xdr:row>4</xdr:row>
          <xdr:rowOff>0</xdr:rowOff>
        </xdr:to>
        <xdr:sp macro="" textlink="">
          <xdr:nvSpPr>
            <xdr:cNvPr id="74976" name="Check Box 224" hidden="1">
              <a:extLst>
                <a:ext uri="{63B3BB69-23CF-44E3-9099-C40C66FF867C}">
                  <a14:compatExt spid="_x0000_s74976"/>
                </a:ext>
                <a:ext uri="{FF2B5EF4-FFF2-40B4-BE49-F238E27FC236}">
                  <a16:creationId xmlns:a16="http://schemas.microsoft.com/office/drawing/2014/main" id="{00000000-0008-0000-1400-0000E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7620</xdr:colOff>
          <xdr:row>4</xdr:row>
          <xdr:rowOff>0</xdr:rowOff>
        </xdr:to>
        <xdr:sp macro="" textlink="">
          <xdr:nvSpPr>
            <xdr:cNvPr id="74977" name="Check Box 225" hidden="1">
              <a:extLst>
                <a:ext uri="{63B3BB69-23CF-44E3-9099-C40C66FF867C}">
                  <a14:compatExt spid="_x0000_s74977"/>
                </a:ext>
                <a:ext uri="{FF2B5EF4-FFF2-40B4-BE49-F238E27FC236}">
                  <a16:creationId xmlns:a16="http://schemas.microsoft.com/office/drawing/2014/main" id="{00000000-0008-0000-1400-0000E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7620</xdr:colOff>
          <xdr:row>43</xdr:row>
          <xdr:rowOff>0</xdr:rowOff>
        </xdr:to>
        <xdr:sp macro="" textlink="">
          <xdr:nvSpPr>
            <xdr:cNvPr id="74978" name="Check Box 226" hidden="1">
              <a:extLst>
                <a:ext uri="{63B3BB69-23CF-44E3-9099-C40C66FF867C}">
                  <a14:compatExt spid="_x0000_s74978"/>
                </a:ext>
                <a:ext uri="{FF2B5EF4-FFF2-40B4-BE49-F238E27FC236}">
                  <a16:creationId xmlns:a16="http://schemas.microsoft.com/office/drawing/2014/main" id="{00000000-0008-0000-1400-0000E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42</xdr:row>
          <xdr:rowOff>0</xdr:rowOff>
        </xdr:from>
        <xdr:to>
          <xdr:col>174</xdr:col>
          <xdr:colOff>7620</xdr:colOff>
          <xdr:row>43</xdr:row>
          <xdr:rowOff>0</xdr:rowOff>
        </xdr:to>
        <xdr:sp macro="" textlink="">
          <xdr:nvSpPr>
            <xdr:cNvPr id="74979" name="Check Box 227" hidden="1">
              <a:extLst>
                <a:ext uri="{63B3BB69-23CF-44E3-9099-C40C66FF867C}">
                  <a14:compatExt spid="_x0000_s74979"/>
                </a:ext>
                <a:ext uri="{FF2B5EF4-FFF2-40B4-BE49-F238E27FC236}">
                  <a16:creationId xmlns:a16="http://schemas.microsoft.com/office/drawing/2014/main" id="{00000000-0008-0000-1400-0000E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7620</xdr:colOff>
          <xdr:row>43</xdr:row>
          <xdr:rowOff>0</xdr:rowOff>
        </xdr:to>
        <xdr:sp macro="" textlink="">
          <xdr:nvSpPr>
            <xdr:cNvPr id="74980" name="Check Box 228" hidden="1">
              <a:extLst>
                <a:ext uri="{63B3BB69-23CF-44E3-9099-C40C66FF867C}">
                  <a14:compatExt spid="_x0000_s74980"/>
                </a:ext>
                <a:ext uri="{FF2B5EF4-FFF2-40B4-BE49-F238E27FC236}">
                  <a16:creationId xmlns:a16="http://schemas.microsoft.com/office/drawing/2014/main" id="{00000000-0008-0000-1400-0000E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7620</xdr:colOff>
          <xdr:row>44</xdr:row>
          <xdr:rowOff>0</xdr:rowOff>
        </xdr:to>
        <xdr:sp macro="" textlink="">
          <xdr:nvSpPr>
            <xdr:cNvPr id="74981" name="Check Box 229" hidden="1">
              <a:extLst>
                <a:ext uri="{63B3BB69-23CF-44E3-9099-C40C66FF867C}">
                  <a14:compatExt spid="_x0000_s74981"/>
                </a:ext>
                <a:ext uri="{FF2B5EF4-FFF2-40B4-BE49-F238E27FC236}">
                  <a16:creationId xmlns:a16="http://schemas.microsoft.com/office/drawing/2014/main" id="{00000000-0008-0000-1400-0000E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7620</xdr:colOff>
          <xdr:row>44</xdr:row>
          <xdr:rowOff>0</xdr:rowOff>
        </xdr:to>
        <xdr:sp macro="" textlink="">
          <xdr:nvSpPr>
            <xdr:cNvPr id="74982" name="Check Box 230" hidden="1">
              <a:extLst>
                <a:ext uri="{63B3BB69-23CF-44E3-9099-C40C66FF867C}">
                  <a14:compatExt spid="_x0000_s74982"/>
                </a:ext>
                <a:ext uri="{FF2B5EF4-FFF2-40B4-BE49-F238E27FC236}">
                  <a16:creationId xmlns:a16="http://schemas.microsoft.com/office/drawing/2014/main" id="{00000000-0008-0000-1400-0000E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74983" name="Check Box 231" hidden="1">
              <a:extLst>
                <a:ext uri="{63B3BB69-23CF-44E3-9099-C40C66FF867C}">
                  <a14:compatExt spid="_x0000_s74983"/>
                </a:ext>
                <a:ext uri="{FF2B5EF4-FFF2-40B4-BE49-F238E27FC236}">
                  <a16:creationId xmlns:a16="http://schemas.microsoft.com/office/drawing/2014/main" id="{00000000-0008-0000-1400-0000E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74984" name="Check Box 232" hidden="1">
              <a:extLst>
                <a:ext uri="{63B3BB69-23CF-44E3-9099-C40C66FF867C}">
                  <a14:compatExt spid="_x0000_s74984"/>
                </a:ext>
                <a:ext uri="{FF2B5EF4-FFF2-40B4-BE49-F238E27FC236}">
                  <a16:creationId xmlns:a16="http://schemas.microsoft.com/office/drawing/2014/main" id="{00000000-0008-0000-1400-0000E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7620</xdr:colOff>
          <xdr:row>28</xdr:row>
          <xdr:rowOff>0</xdr:rowOff>
        </xdr:to>
        <xdr:sp macro="" textlink="">
          <xdr:nvSpPr>
            <xdr:cNvPr id="74985" name="Check Box 233" hidden="1">
              <a:extLst>
                <a:ext uri="{63B3BB69-23CF-44E3-9099-C40C66FF867C}">
                  <a14:compatExt spid="_x0000_s74985"/>
                </a:ext>
                <a:ext uri="{FF2B5EF4-FFF2-40B4-BE49-F238E27FC236}">
                  <a16:creationId xmlns:a16="http://schemas.microsoft.com/office/drawing/2014/main" id="{00000000-0008-0000-1400-0000E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-30480</xdr:colOff>
          <xdr:row>26</xdr:row>
          <xdr:rowOff>0</xdr:rowOff>
        </xdr:from>
        <xdr:to>
          <xdr:col>166</xdr:col>
          <xdr:colOff>7620</xdr:colOff>
          <xdr:row>28</xdr:row>
          <xdr:rowOff>0</xdr:rowOff>
        </xdr:to>
        <xdr:sp macro="" textlink="">
          <xdr:nvSpPr>
            <xdr:cNvPr id="74986" name="Check Box 234" hidden="1">
              <a:extLst>
                <a:ext uri="{63B3BB69-23CF-44E3-9099-C40C66FF867C}">
                  <a14:compatExt spid="_x0000_s74986"/>
                </a:ext>
                <a:ext uri="{FF2B5EF4-FFF2-40B4-BE49-F238E27FC236}">
                  <a16:creationId xmlns:a16="http://schemas.microsoft.com/office/drawing/2014/main" id="{00000000-0008-0000-1400-0000E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7620</xdr:colOff>
          <xdr:row>28</xdr:row>
          <xdr:rowOff>0</xdr:rowOff>
        </xdr:to>
        <xdr:sp macro="" textlink="">
          <xdr:nvSpPr>
            <xdr:cNvPr id="74987" name="Check Box 235" hidden="1">
              <a:extLst>
                <a:ext uri="{63B3BB69-23CF-44E3-9099-C40C66FF867C}">
                  <a14:compatExt spid="_x0000_s74987"/>
                </a:ext>
                <a:ext uri="{FF2B5EF4-FFF2-40B4-BE49-F238E27FC236}">
                  <a16:creationId xmlns:a16="http://schemas.microsoft.com/office/drawing/2014/main" id="{00000000-0008-0000-1400-0000E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-30480</xdr:colOff>
          <xdr:row>3</xdr:row>
          <xdr:rowOff>0</xdr:rowOff>
        </xdr:from>
        <xdr:to>
          <xdr:col>166</xdr:col>
          <xdr:colOff>7620</xdr:colOff>
          <xdr:row>4</xdr:row>
          <xdr:rowOff>0</xdr:rowOff>
        </xdr:to>
        <xdr:sp macro="" textlink="">
          <xdr:nvSpPr>
            <xdr:cNvPr id="74988" name="Check Box 236" hidden="1">
              <a:extLst>
                <a:ext uri="{63B3BB69-23CF-44E3-9099-C40C66FF867C}">
                  <a14:compatExt spid="_x0000_s74988"/>
                </a:ext>
                <a:ext uri="{FF2B5EF4-FFF2-40B4-BE49-F238E27FC236}">
                  <a16:creationId xmlns:a16="http://schemas.microsoft.com/office/drawing/2014/main" id="{00000000-0008-0000-1400-0000E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-30480</xdr:colOff>
          <xdr:row>3</xdr:row>
          <xdr:rowOff>0</xdr:rowOff>
        </xdr:from>
        <xdr:to>
          <xdr:col>166</xdr:col>
          <xdr:colOff>7620</xdr:colOff>
          <xdr:row>4</xdr:row>
          <xdr:rowOff>0</xdr:rowOff>
        </xdr:to>
        <xdr:sp macro="" textlink="">
          <xdr:nvSpPr>
            <xdr:cNvPr id="74989" name="Check Box 237" hidden="1">
              <a:extLst>
                <a:ext uri="{63B3BB69-23CF-44E3-9099-C40C66FF867C}">
                  <a14:compatExt spid="_x0000_s74989"/>
                </a:ext>
                <a:ext uri="{FF2B5EF4-FFF2-40B4-BE49-F238E27FC236}">
                  <a16:creationId xmlns:a16="http://schemas.microsoft.com/office/drawing/2014/main" id="{00000000-0008-0000-1400-0000E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-30480</xdr:colOff>
          <xdr:row>3</xdr:row>
          <xdr:rowOff>0</xdr:rowOff>
        </xdr:from>
        <xdr:to>
          <xdr:col>166</xdr:col>
          <xdr:colOff>7620</xdr:colOff>
          <xdr:row>4</xdr:row>
          <xdr:rowOff>0</xdr:rowOff>
        </xdr:to>
        <xdr:sp macro="" textlink="">
          <xdr:nvSpPr>
            <xdr:cNvPr id="74990" name="Check Box 238" hidden="1">
              <a:extLst>
                <a:ext uri="{63B3BB69-23CF-44E3-9099-C40C66FF867C}">
                  <a14:compatExt spid="_x0000_s74990"/>
                </a:ext>
                <a:ext uri="{FF2B5EF4-FFF2-40B4-BE49-F238E27FC236}">
                  <a16:creationId xmlns:a16="http://schemas.microsoft.com/office/drawing/2014/main" id="{00000000-0008-0000-1400-0000E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30480</xdr:colOff>
          <xdr:row>13</xdr:row>
          <xdr:rowOff>7620</xdr:rowOff>
        </xdr:to>
        <xdr:sp macro="" textlink="">
          <xdr:nvSpPr>
            <xdr:cNvPr id="74991" name="Check Box 239" hidden="1">
              <a:extLst>
                <a:ext uri="{63B3BB69-23CF-44E3-9099-C40C66FF867C}">
                  <a14:compatExt spid="_x0000_s74991"/>
                </a:ext>
                <a:ext uri="{FF2B5EF4-FFF2-40B4-BE49-F238E27FC236}">
                  <a16:creationId xmlns:a16="http://schemas.microsoft.com/office/drawing/2014/main" id="{00000000-0008-0000-1400-0000E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7620</xdr:colOff>
          <xdr:row>13</xdr:row>
          <xdr:rowOff>0</xdr:rowOff>
        </xdr:to>
        <xdr:sp macro="" textlink="">
          <xdr:nvSpPr>
            <xdr:cNvPr id="74992" name="Check Box 240" hidden="1">
              <a:extLst>
                <a:ext uri="{63B3BB69-23CF-44E3-9099-C40C66FF867C}">
                  <a14:compatExt spid="_x0000_s74992"/>
                </a:ext>
                <a:ext uri="{FF2B5EF4-FFF2-40B4-BE49-F238E27FC236}">
                  <a16:creationId xmlns:a16="http://schemas.microsoft.com/office/drawing/2014/main" id="{00000000-0008-0000-1400-0000F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7620</xdr:colOff>
          <xdr:row>48</xdr:row>
          <xdr:rowOff>0</xdr:rowOff>
        </xdr:to>
        <xdr:sp macro="" textlink="">
          <xdr:nvSpPr>
            <xdr:cNvPr id="74993" name="Check Box 241" hidden="1">
              <a:extLst>
                <a:ext uri="{63B3BB69-23CF-44E3-9099-C40C66FF867C}">
                  <a14:compatExt spid="_x0000_s74993"/>
                </a:ext>
                <a:ext uri="{FF2B5EF4-FFF2-40B4-BE49-F238E27FC236}">
                  <a16:creationId xmlns:a16="http://schemas.microsoft.com/office/drawing/2014/main" id="{00000000-0008-0000-1400-0000F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47</xdr:row>
          <xdr:rowOff>0</xdr:rowOff>
        </xdr:from>
        <xdr:to>
          <xdr:col>173</xdr:col>
          <xdr:colOff>7620</xdr:colOff>
          <xdr:row>48</xdr:row>
          <xdr:rowOff>0</xdr:rowOff>
        </xdr:to>
        <xdr:sp macro="" textlink="">
          <xdr:nvSpPr>
            <xdr:cNvPr id="74994" name="Check Box 242" hidden="1">
              <a:extLst>
                <a:ext uri="{63B3BB69-23CF-44E3-9099-C40C66FF867C}">
                  <a14:compatExt spid="_x0000_s74994"/>
                </a:ext>
                <a:ext uri="{FF2B5EF4-FFF2-40B4-BE49-F238E27FC236}">
                  <a16:creationId xmlns:a16="http://schemas.microsoft.com/office/drawing/2014/main" id="{00000000-0008-0000-1400-0000F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47</xdr:row>
          <xdr:rowOff>0</xdr:rowOff>
        </xdr:from>
        <xdr:to>
          <xdr:col>180</xdr:col>
          <xdr:colOff>7620</xdr:colOff>
          <xdr:row>48</xdr:row>
          <xdr:rowOff>0</xdr:rowOff>
        </xdr:to>
        <xdr:sp macro="" textlink="">
          <xdr:nvSpPr>
            <xdr:cNvPr id="74995" name="Check Box 243" hidden="1">
              <a:extLst>
                <a:ext uri="{63B3BB69-23CF-44E3-9099-C40C66FF867C}">
                  <a14:compatExt spid="_x0000_s74995"/>
                </a:ext>
                <a:ext uri="{FF2B5EF4-FFF2-40B4-BE49-F238E27FC236}">
                  <a16:creationId xmlns:a16="http://schemas.microsoft.com/office/drawing/2014/main" id="{00000000-0008-0000-1400-0000F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47</xdr:row>
          <xdr:rowOff>0</xdr:rowOff>
        </xdr:from>
        <xdr:to>
          <xdr:col>187</xdr:col>
          <xdr:colOff>7620</xdr:colOff>
          <xdr:row>48</xdr:row>
          <xdr:rowOff>0</xdr:rowOff>
        </xdr:to>
        <xdr:sp macro="" textlink="">
          <xdr:nvSpPr>
            <xdr:cNvPr id="74996" name="Check Box 244" hidden="1">
              <a:extLst>
                <a:ext uri="{63B3BB69-23CF-44E3-9099-C40C66FF867C}">
                  <a14:compatExt spid="_x0000_s74996"/>
                </a:ext>
                <a:ext uri="{FF2B5EF4-FFF2-40B4-BE49-F238E27FC236}">
                  <a16:creationId xmlns:a16="http://schemas.microsoft.com/office/drawing/2014/main" id="{00000000-0008-0000-1400-0000F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7620</xdr:colOff>
          <xdr:row>45</xdr:row>
          <xdr:rowOff>0</xdr:rowOff>
        </xdr:to>
        <xdr:sp macro="" textlink="">
          <xdr:nvSpPr>
            <xdr:cNvPr id="74997" name="Check Box 245" hidden="1">
              <a:extLst>
                <a:ext uri="{63B3BB69-23CF-44E3-9099-C40C66FF867C}">
                  <a14:compatExt spid="_x0000_s74997"/>
                </a:ext>
                <a:ext uri="{FF2B5EF4-FFF2-40B4-BE49-F238E27FC236}">
                  <a16:creationId xmlns:a16="http://schemas.microsoft.com/office/drawing/2014/main" id="{00000000-0008-0000-1400-0000F5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44</xdr:row>
          <xdr:rowOff>0</xdr:rowOff>
        </xdr:from>
        <xdr:to>
          <xdr:col>173</xdr:col>
          <xdr:colOff>7620</xdr:colOff>
          <xdr:row>45</xdr:row>
          <xdr:rowOff>0</xdr:rowOff>
        </xdr:to>
        <xdr:sp macro="" textlink="">
          <xdr:nvSpPr>
            <xdr:cNvPr id="74998" name="Check Box 246" hidden="1">
              <a:extLst>
                <a:ext uri="{63B3BB69-23CF-44E3-9099-C40C66FF867C}">
                  <a14:compatExt spid="_x0000_s74998"/>
                </a:ext>
                <a:ext uri="{FF2B5EF4-FFF2-40B4-BE49-F238E27FC236}">
                  <a16:creationId xmlns:a16="http://schemas.microsoft.com/office/drawing/2014/main" id="{00000000-0008-0000-1400-0000F6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7620</xdr:colOff>
          <xdr:row>45</xdr:row>
          <xdr:rowOff>0</xdr:rowOff>
        </xdr:to>
        <xdr:sp macro="" textlink="">
          <xdr:nvSpPr>
            <xdr:cNvPr id="74999" name="Check Box 247" hidden="1">
              <a:extLst>
                <a:ext uri="{63B3BB69-23CF-44E3-9099-C40C66FF867C}">
                  <a14:compatExt spid="_x0000_s74999"/>
                </a:ext>
                <a:ext uri="{FF2B5EF4-FFF2-40B4-BE49-F238E27FC236}">
                  <a16:creationId xmlns:a16="http://schemas.microsoft.com/office/drawing/2014/main" id="{00000000-0008-0000-1400-0000F7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7620</xdr:colOff>
          <xdr:row>46</xdr:row>
          <xdr:rowOff>0</xdr:rowOff>
        </xdr:to>
        <xdr:sp macro="" textlink="">
          <xdr:nvSpPr>
            <xdr:cNvPr id="75000" name="Check Box 248" hidden="1">
              <a:extLst>
                <a:ext uri="{63B3BB69-23CF-44E3-9099-C40C66FF867C}">
                  <a14:compatExt spid="_x0000_s75000"/>
                </a:ext>
                <a:ext uri="{FF2B5EF4-FFF2-40B4-BE49-F238E27FC236}">
                  <a16:creationId xmlns:a16="http://schemas.microsoft.com/office/drawing/2014/main" id="{00000000-0008-0000-1400-0000F8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45</xdr:row>
          <xdr:rowOff>0</xdr:rowOff>
        </xdr:from>
        <xdr:to>
          <xdr:col>173</xdr:col>
          <xdr:colOff>7620</xdr:colOff>
          <xdr:row>46</xdr:row>
          <xdr:rowOff>0</xdr:rowOff>
        </xdr:to>
        <xdr:sp macro="" textlink="">
          <xdr:nvSpPr>
            <xdr:cNvPr id="75001" name="Check Box 249" hidden="1">
              <a:extLst>
                <a:ext uri="{63B3BB69-23CF-44E3-9099-C40C66FF867C}">
                  <a14:compatExt spid="_x0000_s75001"/>
                </a:ext>
                <a:ext uri="{FF2B5EF4-FFF2-40B4-BE49-F238E27FC236}">
                  <a16:creationId xmlns:a16="http://schemas.microsoft.com/office/drawing/2014/main" id="{00000000-0008-0000-1400-0000F9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7620</xdr:colOff>
          <xdr:row>46</xdr:row>
          <xdr:rowOff>0</xdr:rowOff>
        </xdr:to>
        <xdr:sp macro="" textlink="">
          <xdr:nvSpPr>
            <xdr:cNvPr id="75002" name="Check Box 250" hidden="1">
              <a:extLst>
                <a:ext uri="{63B3BB69-23CF-44E3-9099-C40C66FF867C}">
                  <a14:compatExt spid="_x0000_s75002"/>
                </a:ext>
                <a:ext uri="{FF2B5EF4-FFF2-40B4-BE49-F238E27FC236}">
                  <a16:creationId xmlns:a16="http://schemas.microsoft.com/office/drawing/2014/main" id="{00000000-0008-0000-1400-0000FA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7620</xdr:colOff>
          <xdr:row>47</xdr:row>
          <xdr:rowOff>0</xdr:rowOff>
        </xdr:to>
        <xdr:sp macro="" textlink="">
          <xdr:nvSpPr>
            <xdr:cNvPr id="75003" name="Check Box 251" hidden="1">
              <a:extLst>
                <a:ext uri="{63B3BB69-23CF-44E3-9099-C40C66FF867C}">
                  <a14:compatExt spid="_x0000_s75003"/>
                </a:ext>
                <a:ext uri="{FF2B5EF4-FFF2-40B4-BE49-F238E27FC236}">
                  <a16:creationId xmlns:a16="http://schemas.microsoft.com/office/drawing/2014/main" id="{00000000-0008-0000-1400-0000FB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46</xdr:row>
          <xdr:rowOff>0</xdr:rowOff>
        </xdr:from>
        <xdr:to>
          <xdr:col>173</xdr:col>
          <xdr:colOff>7620</xdr:colOff>
          <xdr:row>47</xdr:row>
          <xdr:rowOff>0</xdr:rowOff>
        </xdr:to>
        <xdr:sp macro="" textlink="">
          <xdr:nvSpPr>
            <xdr:cNvPr id="75004" name="Check Box 252" hidden="1">
              <a:extLst>
                <a:ext uri="{63B3BB69-23CF-44E3-9099-C40C66FF867C}">
                  <a14:compatExt spid="_x0000_s75004"/>
                </a:ext>
                <a:ext uri="{FF2B5EF4-FFF2-40B4-BE49-F238E27FC236}">
                  <a16:creationId xmlns:a16="http://schemas.microsoft.com/office/drawing/2014/main" id="{00000000-0008-0000-1400-0000FC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7620</xdr:colOff>
          <xdr:row>47</xdr:row>
          <xdr:rowOff>0</xdr:rowOff>
        </xdr:to>
        <xdr:sp macro="" textlink="">
          <xdr:nvSpPr>
            <xdr:cNvPr id="75005" name="Check Box 253" hidden="1">
              <a:extLst>
                <a:ext uri="{63B3BB69-23CF-44E3-9099-C40C66FF867C}">
                  <a14:compatExt spid="_x0000_s75005"/>
                </a:ext>
                <a:ext uri="{FF2B5EF4-FFF2-40B4-BE49-F238E27FC236}">
                  <a16:creationId xmlns:a16="http://schemas.microsoft.com/office/drawing/2014/main" id="{00000000-0008-0000-1400-0000FD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7620</xdr:colOff>
          <xdr:row>55</xdr:row>
          <xdr:rowOff>0</xdr:rowOff>
        </xdr:to>
        <xdr:sp macro="" textlink="">
          <xdr:nvSpPr>
            <xdr:cNvPr id="75006" name="Check Box 254" hidden="1">
              <a:extLst>
                <a:ext uri="{63B3BB69-23CF-44E3-9099-C40C66FF867C}">
                  <a14:compatExt spid="_x0000_s75006"/>
                </a:ext>
                <a:ext uri="{FF2B5EF4-FFF2-40B4-BE49-F238E27FC236}">
                  <a16:creationId xmlns:a16="http://schemas.microsoft.com/office/drawing/2014/main" id="{00000000-0008-0000-1400-0000F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54</xdr:row>
          <xdr:rowOff>0</xdr:rowOff>
        </xdr:from>
        <xdr:to>
          <xdr:col>174</xdr:col>
          <xdr:colOff>22860</xdr:colOff>
          <xdr:row>55</xdr:row>
          <xdr:rowOff>0</xdr:rowOff>
        </xdr:to>
        <xdr:sp macro="" textlink="">
          <xdr:nvSpPr>
            <xdr:cNvPr id="75007" name="Check Box 255" hidden="1">
              <a:extLst>
                <a:ext uri="{63B3BB69-23CF-44E3-9099-C40C66FF867C}">
                  <a14:compatExt spid="_x0000_s75007"/>
                </a:ext>
                <a:ext uri="{FF2B5EF4-FFF2-40B4-BE49-F238E27FC236}">
                  <a16:creationId xmlns:a16="http://schemas.microsoft.com/office/drawing/2014/main" id="{00000000-0008-0000-1400-0000F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7620</xdr:colOff>
          <xdr:row>55</xdr:row>
          <xdr:rowOff>0</xdr:rowOff>
        </xdr:to>
        <xdr:sp macro="" textlink="">
          <xdr:nvSpPr>
            <xdr:cNvPr id="75008" name="Check Box 256" hidden="1">
              <a:extLst>
                <a:ext uri="{63B3BB69-23CF-44E3-9099-C40C66FF867C}">
                  <a14:compatExt spid="_x0000_s75008"/>
                </a:ext>
                <a:ext uri="{FF2B5EF4-FFF2-40B4-BE49-F238E27FC236}">
                  <a16:creationId xmlns:a16="http://schemas.microsoft.com/office/drawing/2014/main" id="{00000000-0008-0000-1400-000000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7620</xdr:colOff>
          <xdr:row>56</xdr:row>
          <xdr:rowOff>0</xdr:rowOff>
        </xdr:to>
        <xdr:sp macro="" textlink="">
          <xdr:nvSpPr>
            <xdr:cNvPr id="75009" name="Check Box 257" hidden="1">
              <a:extLst>
                <a:ext uri="{63B3BB69-23CF-44E3-9099-C40C66FF867C}">
                  <a14:compatExt spid="_x0000_s75009"/>
                </a:ext>
                <a:ext uri="{FF2B5EF4-FFF2-40B4-BE49-F238E27FC236}">
                  <a16:creationId xmlns:a16="http://schemas.microsoft.com/office/drawing/2014/main" id="{00000000-0008-0000-1400-000001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7620</xdr:colOff>
          <xdr:row>56</xdr:row>
          <xdr:rowOff>0</xdr:rowOff>
        </xdr:to>
        <xdr:sp macro="" textlink="">
          <xdr:nvSpPr>
            <xdr:cNvPr id="75010" name="Check Box 258" hidden="1">
              <a:extLst>
                <a:ext uri="{63B3BB69-23CF-44E3-9099-C40C66FF867C}">
                  <a14:compatExt spid="_x0000_s75010"/>
                </a:ext>
                <a:ext uri="{FF2B5EF4-FFF2-40B4-BE49-F238E27FC236}">
                  <a16:creationId xmlns:a16="http://schemas.microsoft.com/office/drawing/2014/main" id="{00000000-0008-0000-1400-000002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7620</xdr:colOff>
          <xdr:row>57</xdr:row>
          <xdr:rowOff>0</xdr:rowOff>
        </xdr:to>
        <xdr:sp macro="" textlink="">
          <xdr:nvSpPr>
            <xdr:cNvPr id="75011" name="Check Box 259" hidden="1">
              <a:extLst>
                <a:ext uri="{63B3BB69-23CF-44E3-9099-C40C66FF867C}">
                  <a14:compatExt spid="_x0000_s75011"/>
                </a:ext>
                <a:ext uri="{FF2B5EF4-FFF2-40B4-BE49-F238E27FC236}">
                  <a16:creationId xmlns:a16="http://schemas.microsoft.com/office/drawing/2014/main" id="{00000000-0008-0000-1400-000003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56</xdr:row>
          <xdr:rowOff>0</xdr:rowOff>
        </xdr:from>
        <xdr:to>
          <xdr:col>173</xdr:col>
          <xdr:colOff>7620</xdr:colOff>
          <xdr:row>57</xdr:row>
          <xdr:rowOff>0</xdr:rowOff>
        </xdr:to>
        <xdr:sp macro="" textlink="">
          <xdr:nvSpPr>
            <xdr:cNvPr id="75012" name="Check Box 260" hidden="1">
              <a:extLst>
                <a:ext uri="{63B3BB69-23CF-44E3-9099-C40C66FF867C}">
                  <a14:compatExt spid="_x0000_s75012"/>
                </a:ext>
                <a:ext uri="{FF2B5EF4-FFF2-40B4-BE49-F238E27FC236}">
                  <a16:creationId xmlns:a16="http://schemas.microsoft.com/office/drawing/2014/main" id="{00000000-0008-0000-1400-000004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7620</xdr:colOff>
          <xdr:row>57</xdr:row>
          <xdr:rowOff>0</xdr:rowOff>
        </xdr:to>
        <xdr:sp macro="" textlink="">
          <xdr:nvSpPr>
            <xdr:cNvPr id="75013" name="Check Box 261" hidden="1">
              <a:extLst>
                <a:ext uri="{63B3BB69-23CF-44E3-9099-C40C66FF867C}">
                  <a14:compatExt spid="_x0000_s75013"/>
                </a:ext>
                <a:ext uri="{FF2B5EF4-FFF2-40B4-BE49-F238E27FC236}">
                  <a16:creationId xmlns:a16="http://schemas.microsoft.com/office/drawing/2014/main" id="{00000000-0008-0000-1400-000005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7620</xdr:colOff>
          <xdr:row>58</xdr:row>
          <xdr:rowOff>0</xdr:rowOff>
        </xdr:to>
        <xdr:sp macro="" textlink="">
          <xdr:nvSpPr>
            <xdr:cNvPr id="75014" name="Check Box 262" hidden="1">
              <a:extLst>
                <a:ext uri="{63B3BB69-23CF-44E3-9099-C40C66FF867C}">
                  <a14:compatExt spid="_x0000_s75014"/>
                </a:ext>
                <a:ext uri="{FF2B5EF4-FFF2-40B4-BE49-F238E27FC236}">
                  <a16:creationId xmlns:a16="http://schemas.microsoft.com/office/drawing/2014/main" id="{00000000-0008-0000-1400-000006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7620</xdr:colOff>
          <xdr:row>58</xdr:row>
          <xdr:rowOff>0</xdr:rowOff>
        </xdr:to>
        <xdr:sp macro="" textlink="">
          <xdr:nvSpPr>
            <xdr:cNvPr id="75015" name="Check Box 263" hidden="1">
              <a:extLst>
                <a:ext uri="{63B3BB69-23CF-44E3-9099-C40C66FF867C}">
                  <a14:compatExt spid="_x0000_s75015"/>
                </a:ext>
                <a:ext uri="{FF2B5EF4-FFF2-40B4-BE49-F238E27FC236}">
                  <a16:creationId xmlns:a16="http://schemas.microsoft.com/office/drawing/2014/main" id="{00000000-0008-0000-1400-000007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7620</xdr:colOff>
          <xdr:row>58</xdr:row>
          <xdr:rowOff>0</xdr:rowOff>
        </xdr:to>
        <xdr:sp macro="" textlink="">
          <xdr:nvSpPr>
            <xdr:cNvPr id="75016" name="Check Box 264" hidden="1">
              <a:extLst>
                <a:ext uri="{63B3BB69-23CF-44E3-9099-C40C66FF867C}">
                  <a14:compatExt spid="_x0000_s75016"/>
                </a:ext>
                <a:ext uri="{FF2B5EF4-FFF2-40B4-BE49-F238E27FC236}">
                  <a16:creationId xmlns:a16="http://schemas.microsoft.com/office/drawing/2014/main" id="{00000000-0008-0000-1400-000008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7620</xdr:colOff>
          <xdr:row>59</xdr:row>
          <xdr:rowOff>0</xdr:rowOff>
        </xdr:to>
        <xdr:sp macro="" textlink="">
          <xdr:nvSpPr>
            <xdr:cNvPr id="75017" name="Check Box 265" hidden="1">
              <a:extLst>
                <a:ext uri="{63B3BB69-23CF-44E3-9099-C40C66FF867C}">
                  <a14:compatExt spid="_x0000_s75017"/>
                </a:ext>
                <a:ext uri="{FF2B5EF4-FFF2-40B4-BE49-F238E27FC236}">
                  <a16:creationId xmlns:a16="http://schemas.microsoft.com/office/drawing/2014/main" id="{00000000-0008-0000-1400-000009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58</xdr:row>
          <xdr:rowOff>0</xdr:rowOff>
        </xdr:from>
        <xdr:to>
          <xdr:col>173</xdr:col>
          <xdr:colOff>7620</xdr:colOff>
          <xdr:row>59</xdr:row>
          <xdr:rowOff>7620</xdr:rowOff>
        </xdr:to>
        <xdr:sp macro="" textlink="">
          <xdr:nvSpPr>
            <xdr:cNvPr id="75018" name="Check Box 266" hidden="1">
              <a:extLst>
                <a:ext uri="{63B3BB69-23CF-44E3-9099-C40C66FF867C}">
                  <a14:compatExt spid="_x0000_s75018"/>
                </a:ext>
                <a:ext uri="{FF2B5EF4-FFF2-40B4-BE49-F238E27FC236}">
                  <a16:creationId xmlns:a16="http://schemas.microsoft.com/office/drawing/2014/main" id="{00000000-0008-0000-1400-00000A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7620</xdr:colOff>
          <xdr:row>59</xdr:row>
          <xdr:rowOff>0</xdr:rowOff>
        </xdr:to>
        <xdr:sp macro="" textlink="">
          <xdr:nvSpPr>
            <xdr:cNvPr id="75019" name="Check Box 267" hidden="1">
              <a:extLst>
                <a:ext uri="{63B3BB69-23CF-44E3-9099-C40C66FF867C}">
                  <a14:compatExt spid="_x0000_s75019"/>
                </a:ext>
                <a:ext uri="{FF2B5EF4-FFF2-40B4-BE49-F238E27FC236}">
                  <a16:creationId xmlns:a16="http://schemas.microsoft.com/office/drawing/2014/main" id="{00000000-0008-0000-1400-00000B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7620</xdr:colOff>
          <xdr:row>60</xdr:row>
          <xdr:rowOff>0</xdr:rowOff>
        </xdr:to>
        <xdr:sp macro="" textlink="">
          <xdr:nvSpPr>
            <xdr:cNvPr id="75020" name="Check Box 268" hidden="1">
              <a:extLst>
                <a:ext uri="{63B3BB69-23CF-44E3-9099-C40C66FF867C}">
                  <a14:compatExt spid="_x0000_s75020"/>
                </a:ext>
                <a:ext uri="{FF2B5EF4-FFF2-40B4-BE49-F238E27FC236}">
                  <a16:creationId xmlns:a16="http://schemas.microsoft.com/office/drawing/2014/main" id="{00000000-0008-0000-1400-00000C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59</xdr:row>
          <xdr:rowOff>0</xdr:rowOff>
        </xdr:from>
        <xdr:to>
          <xdr:col>173</xdr:col>
          <xdr:colOff>7620</xdr:colOff>
          <xdr:row>60</xdr:row>
          <xdr:rowOff>0</xdr:rowOff>
        </xdr:to>
        <xdr:sp macro="" textlink="">
          <xdr:nvSpPr>
            <xdr:cNvPr id="75021" name="Check Box 269" hidden="1">
              <a:extLst>
                <a:ext uri="{63B3BB69-23CF-44E3-9099-C40C66FF867C}">
                  <a14:compatExt spid="_x0000_s75021"/>
                </a:ext>
                <a:ext uri="{FF2B5EF4-FFF2-40B4-BE49-F238E27FC236}">
                  <a16:creationId xmlns:a16="http://schemas.microsoft.com/office/drawing/2014/main" id="{00000000-0008-0000-1400-00000D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59</xdr:row>
          <xdr:rowOff>0</xdr:rowOff>
        </xdr:from>
        <xdr:to>
          <xdr:col>180</xdr:col>
          <xdr:colOff>7620</xdr:colOff>
          <xdr:row>60</xdr:row>
          <xdr:rowOff>0</xdr:rowOff>
        </xdr:to>
        <xdr:sp macro="" textlink="">
          <xdr:nvSpPr>
            <xdr:cNvPr id="75022" name="Check Box 270" hidden="1">
              <a:extLst>
                <a:ext uri="{63B3BB69-23CF-44E3-9099-C40C66FF867C}">
                  <a14:compatExt spid="_x0000_s75022"/>
                </a:ext>
                <a:ext uri="{FF2B5EF4-FFF2-40B4-BE49-F238E27FC236}">
                  <a16:creationId xmlns:a16="http://schemas.microsoft.com/office/drawing/2014/main" id="{00000000-0008-0000-1400-00000E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59</xdr:row>
          <xdr:rowOff>0</xdr:rowOff>
        </xdr:from>
        <xdr:to>
          <xdr:col>187</xdr:col>
          <xdr:colOff>7620</xdr:colOff>
          <xdr:row>60</xdr:row>
          <xdr:rowOff>0</xdr:rowOff>
        </xdr:to>
        <xdr:sp macro="" textlink="">
          <xdr:nvSpPr>
            <xdr:cNvPr id="75023" name="Check Box 271" hidden="1">
              <a:extLst>
                <a:ext uri="{63B3BB69-23CF-44E3-9099-C40C66FF867C}">
                  <a14:compatExt spid="_x0000_s75023"/>
                </a:ext>
                <a:ext uri="{FF2B5EF4-FFF2-40B4-BE49-F238E27FC236}">
                  <a16:creationId xmlns:a16="http://schemas.microsoft.com/office/drawing/2014/main" id="{00000000-0008-0000-1400-00000F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7620</xdr:colOff>
          <xdr:row>67</xdr:row>
          <xdr:rowOff>0</xdr:rowOff>
        </xdr:to>
        <xdr:sp macro="" textlink="">
          <xdr:nvSpPr>
            <xdr:cNvPr id="75024" name="Check Box 272" hidden="1">
              <a:extLst>
                <a:ext uri="{63B3BB69-23CF-44E3-9099-C40C66FF867C}">
                  <a14:compatExt spid="_x0000_s75024"/>
                </a:ext>
                <a:ext uri="{FF2B5EF4-FFF2-40B4-BE49-F238E27FC236}">
                  <a16:creationId xmlns:a16="http://schemas.microsoft.com/office/drawing/2014/main" id="{00000000-0008-0000-1400-000010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66</xdr:row>
          <xdr:rowOff>0</xdr:rowOff>
        </xdr:from>
        <xdr:to>
          <xdr:col>174</xdr:col>
          <xdr:colOff>7620</xdr:colOff>
          <xdr:row>67</xdr:row>
          <xdr:rowOff>0</xdr:rowOff>
        </xdr:to>
        <xdr:sp macro="" textlink="">
          <xdr:nvSpPr>
            <xdr:cNvPr id="75025" name="Check Box 273" hidden="1">
              <a:extLst>
                <a:ext uri="{63B3BB69-23CF-44E3-9099-C40C66FF867C}">
                  <a14:compatExt spid="_x0000_s75025"/>
                </a:ext>
                <a:ext uri="{FF2B5EF4-FFF2-40B4-BE49-F238E27FC236}">
                  <a16:creationId xmlns:a16="http://schemas.microsoft.com/office/drawing/2014/main" id="{00000000-0008-0000-1400-000011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7620</xdr:colOff>
          <xdr:row>67</xdr:row>
          <xdr:rowOff>0</xdr:rowOff>
        </xdr:to>
        <xdr:sp macro="" textlink="">
          <xdr:nvSpPr>
            <xdr:cNvPr id="75026" name="Check Box 274" hidden="1">
              <a:extLst>
                <a:ext uri="{63B3BB69-23CF-44E3-9099-C40C66FF867C}">
                  <a14:compatExt spid="_x0000_s75026"/>
                </a:ext>
                <a:ext uri="{FF2B5EF4-FFF2-40B4-BE49-F238E27FC236}">
                  <a16:creationId xmlns:a16="http://schemas.microsoft.com/office/drawing/2014/main" id="{00000000-0008-0000-1400-000012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7620</xdr:colOff>
          <xdr:row>68</xdr:row>
          <xdr:rowOff>0</xdr:rowOff>
        </xdr:to>
        <xdr:sp macro="" textlink="">
          <xdr:nvSpPr>
            <xdr:cNvPr id="75027" name="Check Box 275" hidden="1">
              <a:extLst>
                <a:ext uri="{63B3BB69-23CF-44E3-9099-C40C66FF867C}">
                  <a14:compatExt spid="_x0000_s75027"/>
                </a:ext>
                <a:ext uri="{FF2B5EF4-FFF2-40B4-BE49-F238E27FC236}">
                  <a16:creationId xmlns:a16="http://schemas.microsoft.com/office/drawing/2014/main" id="{00000000-0008-0000-1400-000013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7620</xdr:colOff>
          <xdr:row>68</xdr:row>
          <xdr:rowOff>0</xdr:rowOff>
        </xdr:to>
        <xdr:sp macro="" textlink="">
          <xdr:nvSpPr>
            <xdr:cNvPr id="75028" name="Check Box 276" hidden="1">
              <a:extLst>
                <a:ext uri="{63B3BB69-23CF-44E3-9099-C40C66FF867C}">
                  <a14:compatExt spid="_x0000_s75028"/>
                </a:ext>
                <a:ext uri="{FF2B5EF4-FFF2-40B4-BE49-F238E27FC236}">
                  <a16:creationId xmlns:a16="http://schemas.microsoft.com/office/drawing/2014/main" id="{00000000-0008-0000-1400-000014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7620</xdr:colOff>
          <xdr:row>69</xdr:row>
          <xdr:rowOff>0</xdr:rowOff>
        </xdr:to>
        <xdr:sp macro="" textlink="">
          <xdr:nvSpPr>
            <xdr:cNvPr id="75029" name="Check Box 277" hidden="1">
              <a:extLst>
                <a:ext uri="{63B3BB69-23CF-44E3-9099-C40C66FF867C}">
                  <a14:compatExt spid="_x0000_s75029"/>
                </a:ext>
                <a:ext uri="{FF2B5EF4-FFF2-40B4-BE49-F238E27FC236}">
                  <a16:creationId xmlns:a16="http://schemas.microsoft.com/office/drawing/2014/main" id="{00000000-0008-0000-1400-000015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68</xdr:row>
          <xdr:rowOff>0</xdr:rowOff>
        </xdr:from>
        <xdr:to>
          <xdr:col>173</xdr:col>
          <xdr:colOff>7620</xdr:colOff>
          <xdr:row>69</xdr:row>
          <xdr:rowOff>0</xdr:rowOff>
        </xdr:to>
        <xdr:sp macro="" textlink="">
          <xdr:nvSpPr>
            <xdr:cNvPr id="75030" name="Check Box 278" hidden="1">
              <a:extLst>
                <a:ext uri="{63B3BB69-23CF-44E3-9099-C40C66FF867C}">
                  <a14:compatExt spid="_x0000_s75030"/>
                </a:ext>
                <a:ext uri="{FF2B5EF4-FFF2-40B4-BE49-F238E27FC236}">
                  <a16:creationId xmlns:a16="http://schemas.microsoft.com/office/drawing/2014/main" id="{00000000-0008-0000-1400-000016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7620</xdr:colOff>
          <xdr:row>69</xdr:row>
          <xdr:rowOff>0</xdr:rowOff>
        </xdr:to>
        <xdr:sp macro="" textlink="">
          <xdr:nvSpPr>
            <xdr:cNvPr id="75031" name="Check Box 279" hidden="1">
              <a:extLst>
                <a:ext uri="{63B3BB69-23CF-44E3-9099-C40C66FF867C}">
                  <a14:compatExt spid="_x0000_s75031"/>
                </a:ext>
                <a:ext uri="{FF2B5EF4-FFF2-40B4-BE49-F238E27FC236}">
                  <a16:creationId xmlns:a16="http://schemas.microsoft.com/office/drawing/2014/main" id="{00000000-0008-0000-1400-000017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7620</xdr:colOff>
          <xdr:row>70</xdr:row>
          <xdr:rowOff>0</xdr:rowOff>
        </xdr:to>
        <xdr:sp macro="" textlink="">
          <xdr:nvSpPr>
            <xdr:cNvPr id="75032" name="Check Box 280" hidden="1">
              <a:extLst>
                <a:ext uri="{63B3BB69-23CF-44E3-9099-C40C66FF867C}">
                  <a14:compatExt spid="_x0000_s75032"/>
                </a:ext>
                <a:ext uri="{FF2B5EF4-FFF2-40B4-BE49-F238E27FC236}">
                  <a16:creationId xmlns:a16="http://schemas.microsoft.com/office/drawing/2014/main" id="{00000000-0008-0000-1400-000018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69</xdr:row>
          <xdr:rowOff>0</xdr:rowOff>
        </xdr:from>
        <xdr:to>
          <xdr:col>173</xdr:col>
          <xdr:colOff>7620</xdr:colOff>
          <xdr:row>70</xdr:row>
          <xdr:rowOff>0</xdr:rowOff>
        </xdr:to>
        <xdr:sp macro="" textlink="">
          <xdr:nvSpPr>
            <xdr:cNvPr id="75033" name="Check Box 281" hidden="1">
              <a:extLst>
                <a:ext uri="{63B3BB69-23CF-44E3-9099-C40C66FF867C}">
                  <a14:compatExt spid="_x0000_s75033"/>
                </a:ext>
                <a:ext uri="{FF2B5EF4-FFF2-40B4-BE49-F238E27FC236}">
                  <a16:creationId xmlns:a16="http://schemas.microsoft.com/office/drawing/2014/main" id="{00000000-0008-0000-1400-000019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7620</xdr:colOff>
          <xdr:row>70</xdr:row>
          <xdr:rowOff>0</xdr:rowOff>
        </xdr:to>
        <xdr:sp macro="" textlink="">
          <xdr:nvSpPr>
            <xdr:cNvPr id="75034" name="Check Box 282" hidden="1">
              <a:extLst>
                <a:ext uri="{63B3BB69-23CF-44E3-9099-C40C66FF867C}">
                  <a14:compatExt spid="_x0000_s75034"/>
                </a:ext>
                <a:ext uri="{FF2B5EF4-FFF2-40B4-BE49-F238E27FC236}">
                  <a16:creationId xmlns:a16="http://schemas.microsoft.com/office/drawing/2014/main" id="{00000000-0008-0000-1400-00001A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7620</xdr:colOff>
          <xdr:row>71</xdr:row>
          <xdr:rowOff>0</xdr:rowOff>
        </xdr:to>
        <xdr:sp macro="" textlink="">
          <xdr:nvSpPr>
            <xdr:cNvPr id="75035" name="Check Box 283" hidden="1">
              <a:extLst>
                <a:ext uri="{63B3BB69-23CF-44E3-9099-C40C66FF867C}">
                  <a14:compatExt spid="_x0000_s75035"/>
                </a:ext>
                <a:ext uri="{FF2B5EF4-FFF2-40B4-BE49-F238E27FC236}">
                  <a16:creationId xmlns:a16="http://schemas.microsoft.com/office/drawing/2014/main" id="{00000000-0008-0000-1400-00001B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70</xdr:row>
          <xdr:rowOff>0</xdr:rowOff>
        </xdr:from>
        <xdr:to>
          <xdr:col>173</xdr:col>
          <xdr:colOff>7620</xdr:colOff>
          <xdr:row>71</xdr:row>
          <xdr:rowOff>0</xdr:rowOff>
        </xdr:to>
        <xdr:sp macro="" textlink="">
          <xdr:nvSpPr>
            <xdr:cNvPr id="75036" name="Check Box 284" hidden="1">
              <a:extLst>
                <a:ext uri="{63B3BB69-23CF-44E3-9099-C40C66FF867C}">
                  <a14:compatExt spid="_x0000_s75036"/>
                </a:ext>
                <a:ext uri="{FF2B5EF4-FFF2-40B4-BE49-F238E27FC236}">
                  <a16:creationId xmlns:a16="http://schemas.microsoft.com/office/drawing/2014/main" id="{00000000-0008-0000-1400-00001C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7620</xdr:colOff>
          <xdr:row>71</xdr:row>
          <xdr:rowOff>0</xdr:rowOff>
        </xdr:to>
        <xdr:sp macro="" textlink="">
          <xdr:nvSpPr>
            <xdr:cNvPr id="75037" name="Check Box 285" hidden="1">
              <a:extLst>
                <a:ext uri="{63B3BB69-23CF-44E3-9099-C40C66FF867C}">
                  <a14:compatExt spid="_x0000_s75037"/>
                </a:ext>
                <a:ext uri="{FF2B5EF4-FFF2-40B4-BE49-F238E27FC236}">
                  <a16:creationId xmlns:a16="http://schemas.microsoft.com/office/drawing/2014/main" id="{00000000-0008-0000-1400-00001D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7620</xdr:colOff>
          <xdr:row>72</xdr:row>
          <xdr:rowOff>0</xdr:rowOff>
        </xdr:to>
        <xdr:sp macro="" textlink="">
          <xdr:nvSpPr>
            <xdr:cNvPr id="75038" name="Check Box 286" hidden="1">
              <a:extLst>
                <a:ext uri="{63B3BB69-23CF-44E3-9099-C40C66FF867C}">
                  <a14:compatExt spid="_x0000_s75038"/>
                </a:ext>
                <a:ext uri="{FF2B5EF4-FFF2-40B4-BE49-F238E27FC236}">
                  <a16:creationId xmlns:a16="http://schemas.microsoft.com/office/drawing/2014/main" id="{00000000-0008-0000-1400-00001E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71</xdr:row>
          <xdr:rowOff>0</xdr:rowOff>
        </xdr:from>
        <xdr:to>
          <xdr:col>173</xdr:col>
          <xdr:colOff>7620</xdr:colOff>
          <xdr:row>72</xdr:row>
          <xdr:rowOff>0</xdr:rowOff>
        </xdr:to>
        <xdr:sp macro="" textlink="">
          <xdr:nvSpPr>
            <xdr:cNvPr id="75039" name="Check Box 287" hidden="1">
              <a:extLst>
                <a:ext uri="{63B3BB69-23CF-44E3-9099-C40C66FF867C}">
                  <a14:compatExt spid="_x0000_s75039"/>
                </a:ext>
                <a:ext uri="{FF2B5EF4-FFF2-40B4-BE49-F238E27FC236}">
                  <a16:creationId xmlns:a16="http://schemas.microsoft.com/office/drawing/2014/main" id="{00000000-0008-0000-1400-00001F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71</xdr:row>
          <xdr:rowOff>0</xdr:rowOff>
        </xdr:from>
        <xdr:to>
          <xdr:col>180</xdr:col>
          <xdr:colOff>7620</xdr:colOff>
          <xdr:row>72</xdr:row>
          <xdr:rowOff>0</xdr:rowOff>
        </xdr:to>
        <xdr:sp macro="" textlink="">
          <xdr:nvSpPr>
            <xdr:cNvPr id="75040" name="Check Box 288" hidden="1">
              <a:extLst>
                <a:ext uri="{63B3BB69-23CF-44E3-9099-C40C66FF867C}">
                  <a14:compatExt spid="_x0000_s75040"/>
                </a:ext>
                <a:ext uri="{FF2B5EF4-FFF2-40B4-BE49-F238E27FC236}">
                  <a16:creationId xmlns:a16="http://schemas.microsoft.com/office/drawing/2014/main" id="{00000000-0008-0000-1400-000020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71</xdr:row>
          <xdr:rowOff>0</xdr:rowOff>
        </xdr:from>
        <xdr:to>
          <xdr:col>187</xdr:col>
          <xdr:colOff>7620</xdr:colOff>
          <xdr:row>72</xdr:row>
          <xdr:rowOff>0</xdr:rowOff>
        </xdr:to>
        <xdr:sp macro="" textlink="">
          <xdr:nvSpPr>
            <xdr:cNvPr id="75041" name="Check Box 289" hidden="1">
              <a:extLst>
                <a:ext uri="{63B3BB69-23CF-44E3-9099-C40C66FF867C}">
                  <a14:compatExt spid="_x0000_s75041"/>
                </a:ext>
                <a:ext uri="{FF2B5EF4-FFF2-40B4-BE49-F238E27FC236}">
                  <a16:creationId xmlns:a16="http://schemas.microsoft.com/office/drawing/2014/main" id="{00000000-0008-0000-1400-000021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7620</xdr:colOff>
          <xdr:row>42</xdr:row>
          <xdr:rowOff>0</xdr:rowOff>
        </xdr:to>
        <xdr:sp macro="" textlink="">
          <xdr:nvSpPr>
            <xdr:cNvPr id="75042" name="Check Box 290" hidden="1">
              <a:extLst>
                <a:ext uri="{63B3BB69-23CF-44E3-9099-C40C66FF867C}">
                  <a14:compatExt spid="_x0000_s75042"/>
                </a:ext>
                <a:ext uri="{FF2B5EF4-FFF2-40B4-BE49-F238E27FC236}">
                  <a16:creationId xmlns:a16="http://schemas.microsoft.com/office/drawing/2014/main" id="{00000000-0008-0000-1400-000022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40</xdr:row>
          <xdr:rowOff>228600</xdr:rowOff>
        </xdr:from>
        <xdr:to>
          <xdr:col>172</xdr:col>
          <xdr:colOff>7620</xdr:colOff>
          <xdr:row>42</xdr:row>
          <xdr:rowOff>0</xdr:rowOff>
        </xdr:to>
        <xdr:sp macro="" textlink="">
          <xdr:nvSpPr>
            <xdr:cNvPr id="75043" name="Check Box 291" hidden="1">
              <a:extLst>
                <a:ext uri="{63B3BB69-23CF-44E3-9099-C40C66FF867C}">
                  <a14:compatExt spid="_x0000_s75043"/>
                </a:ext>
                <a:ext uri="{FF2B5EF4-FFF2-40B4-BE49-F238E27FC236}">
                  <a16:creationId xmlns:a16="http://schemas.microsoft.com/office/drawing/2014/main" id="{00000000-0008-0000-1400-000023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7620</xdr:colOff>
          <xdr:row>54</xdr:row>
          <xdr:rowOff>0</xdr:rowOff>
        </xdr:to>
        <xdr:sp macro="" textlink="">
          <xdr:nvSpPr>
            <xdr:cNvPr id="75044" name="Check Box 292" hidden="1">
              <a:extLst>
                <a:ext uri="{63B3BB69-23CF-44E3-9099-C40C66FF867C}">
                  <a14:compatExt spid="_x0000_s75044"/>
                </a:ext>
                <a:ext uri="{FF2B5EF4-FFF2-40B4-BE49-F238E27FC236}">
                  <a16:creationId xmlns:a16="http://schemas.microsoft.com/office/drawing/2014/main" id="{00000000-0008-0000-1400-000024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52</xdr:row>
          <xdr:rowOff>228600</xdr:rowOff>
        </xdr:from>
        <xdr:to>
          <xdr:col>172</xdr:col>
          <xdr:colOff>7620</xdr:colOff>
          <xdr:row>54</xdr:row>
          <xdr:rowOff>0</xdr:rowOff>
        </xdr:to>
        <xdr:sp macro="" textlink="">
          <xdr:nvSpPr>
            <xdr:cNvPr id="75045" name="Check Box 293" hidden="1">
              <a:extLst>
                <a:ext uri="{63B3BB69-23CF-44E3-9099-C40C66FF867C}">
                  <a14:compatExt spid="_x0000_s75045"/>
                </a:ext>
                <a:ext uri="{FF2B5EF4-FFF2-40B4-BE49-F238E27FC236}">
                  <a16:creationId xmlns:a16="http://schemas.microsoft.com/office/drawing/2014/main" id="{00000000-0008-0000-1400-000025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7620</xdr:colOff>
          <xdr:row>66</xdr:row>
          <xdr:rowOff>0</xdr:rowOff>
        </xdr:to>
        <xdr:sp macro="" textlink="">
          <xdr:nvSpPr>
            <xdr:cNvPr id="75046" name="Check Box 294" hidden="1">
              <a:extLst>
                <a:ext uri="{63B3BB69-23CF-44E3-9099-C40C66FF867C}">
                  <a14:compatExt spid="_x0000_s75046"/>
                </a:ext>
                <a:ext uri="{FF2B5EF4-FFF2-40B4-BE49-F238E27FC236}">
                  <a16:creationId xmlns:a16="http://schemas.microsoft.com/office/drawing/2014/main" id="{00000000-0008-0000-1400-000026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64</xdr:row>
          <xdr:rowOff>228600</xdr:rowOff>
        </xdr:from>
        <xdr:to>
          <xdr:col>172</xdr:col>
          <xdr:colOff>7620</xdr:colOff>
          <xdr:row>66</xdr:row>
          <xdr:rowOff>0</xdr:rowOff>
        </xdr:to>
        <xdr:sp macro="" textlink="">
          <xdr:nvSpPr>
            <xdr:cNvPr id="75047" name="Check Box 295" hidden="1">
              <a:extLst>
                <a:ext uri="{63B3BB69-23CF-44E3-9099-C40C66FF867C}">
                  <a14:compatExt spid="_x0000_s75047"/>
                </a:ext>
                <a:ext uri="{FF2B5EF4-FFF2-40B4-BE49-F238E27FC236}">
                  <a16:creationId xmlns:a16="http://schemas.microsoft.com/office/drawing/2014/main" id="{00000000-0008-0000-1400-000027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75048" name="Check Box 296" hidden="1">
              <a:extLst>
                <a:ext uri="{63B3BB69-23CF-44E3-9099-C40C66FF867C}">
                  <a14:compatExt spid="_x0000_s75048"/>
                </a:ext>
                <a:ext uri="{FF2B5EF4-FFF2-40B4-BE49-F238E27FC236}">
                  <a16:creationId xmlns:a16="http://schemas.microsoft.com/office/drawing/2014/main" id="{00000000-0008-0000-1400-000028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18</xdr:col>
      <xdr:colOff>20241</xdr:colOff>
      <xdr:row>29</xdr:row>
      <xdr:rowOff>78135</xdr:rowOff>
    </xdr:from>
    <xdr:ext cx="1219200" cy="476250"/>
    <xdr:sp macro="" textlink="">
      <xdr:nvSpPr>
        <xdr:cNvPr id="2" name="Text Box 18" hidden="1">
          <a:extLst>
            <a:ext uri="{FF2B5EF4-FFF2-40B4-BE49-F238E27FC236}">
              <a16:creationId xmlns:a16="http://schemas.microsoft.com/office/drawing/2014/main" id="{00000000-0008-0000-2700-000002000000}"/>
            </a:ext>
          </a:extLst>
        </xdr:cNvPr>
        <xdr:cNvSpPr txBox="1"/>
      </xdr:nvSpPr>
      <xdr:spPr>
        <a:xfrm>
          <a:off x="2247900" y="5638800"/>
          <a:ext cx="1219200" cy="476250"/>
        </a:xfrm>
        <a:prstGeom prst="rect">
          <a:avLst/>
        </a:prstGeom>
        <a:solidFill>
          <a:srgbClr val="FFFFE1"/>
        </a:solidFill>
        <a:ln w="9525">
          <a:solidFill>
            <a:srgbClr val="000000"/>
          </a:solidFill>
        </a:ln>
      </xdr:spPr>
      <xdr:txBody>
        <a:bodyPr vertOverflow="clip" wrap="square" lIns="18288" tIns="0" rIns="0" bIns="0" anchor="ctr" upright="1"/>
        <a:lstStyle/>
        <a:p>
          <a:endParaRPr/>
        </a:p>
      </xdr:txBody>
    </xdr:sp>
    <xdr:clientData/>
  </xdr:oneCellAnchor>
  <xdr:oneCellAnchor>
    <xdr:from>
      <xdr:col>41</xdr:col>
      <xdr:colOff>-476762</xdr:colOff>
      <xdr:row>30</xdr:row>
      <xdr:rowOff>161479</xdr:rowOff>
    </xdr:from>
    <xdr:ext cx="1219200" cy="523875"/>
    <xdr:sp macro="" textlink="">
      <xdr:nvSpPr>
        <xdr:cNvPr id="3" name="Text Box 19" hidden="1">
          <a:extLst>
            <a:ext uri="{FF2B5EF4-FFF2-40B4-BE49-F238E27FC236}">
              <a16:creationId xmlns:a16="http://schemas.microsoft.com/office/drawing/2014/main" id="{00000000-0008-0000-2700-000003000000}"/>
            </a:ext>
          </a:extLst>
        </xdr:cNvPr>
        <xdr:cNvSpPr txBox="1"/>
      </xdr:nvSpPr>
      <xdr:spPr>
        <a:xfrm>
          <a:off x="6619875" y="5753100"/>
          <a:ext cx="1219200" cy="523875"/>
        </a:xfrm>
        <a:prstGeom prst="rect">
          <a:avLst/>
        </a:prstGeom>
        <a:solidFill>
          <a:srgbClr val="FFFFE1"/>
        </a:solidFill>
        <a:ln w="9525">
          <a:solidFill>
            <a:srgbClr val="000000"/>
          </a:solidFill>
        </a:ln>
      </xdr:spPr>
      <xdr:txBody>
        <a:bodyPr vertOverflow="clip" wrap="square" lIns="18288" tIns="0" rIns="0" bIns="0" anchor="ctr" upright="1"/>
        <a:lstStyle/>
        <a:p>
          <a:endParaRPr/>
        </a:p>
      </xdr:txBody>
    </xdr:sp>
    <xdr:clientData/>
  </xdr:oneCellAnchor>
  <xdr:oneCellAnchor>
    <xdr:from>
      <xdr:col>14</xdr:col>
      <xdr:colOff>19450</xdr:colOff>
      <xdr:row>1</xdr:row>
      <xdr:rowOff>62508</xdr:rowOff>
    </xdr:from>
    <xdr:ext cx="923925" cy="257175"/>
    <xdr:sp macro="" textlink="">
      <xdr:nvSpPr>
        <xdr:cNvPr id="4" name="Text Box 33" hidden="1">
          <a:extLst>
            <a:ext uri="{FF2B5EF4-FFF2-40B4-BE49-F238E27FC236}">
              <a16:creationId xmlns:a16="http://schemas.microsoft.com/office/drawing/2014/main" id="{00000000-0008-0000-2700-000004000000}"/>
            </a:ext>
          </a:extLst>
        </xdr:cNvPr>
        <xdr:cNvSpPr txBox="1"/>
      </xdr:nvSpPr>
      <xdr:spPr>
        <a:xfrm>
          <a:off x="1762125" y="247650"/>
          <a:ext cx="923925" cy="257175"/>
        </a:xfrm>
        <a:prstGeom prst="rect">
          <a:avLst/>
        </a:prstGeom>
        <a:solidFill>
          <a:srgbClr val="FFFFE1"/>
        </a:solidFill>
        <a:ln w="9525">
          <a:solidFill>
            <a:srgbClr val="000000"/>
          </a:solidFill>
        </a:ln>
      </xdr:spPr>
      <xdr:txBody>
        <a:bodyPr vertOverflow="clip" horzOverflow="clip"/>
        <a:lstStyle/>
        <a:p>
          <a:endParaRPr/>
        </a:p>
      </xdr:txBody>
    </xdr:sp>
    <xdr:clientData/>
  </xdr:oneCellAnchor>
  <xdr:oneCellAnchor>
    <xdr:from>
      <xdr:col>14</xdr:col>
      <xdr:colOff>19450</xdr:colOff>
      <xdr:row>9</xdr:row>
      <xdr:rowOff>93762</xdr:rowOff>
    </xdr:from>
    <xdr:ext cx="923925" cy="238125"/>
    <xdr:sp macro="" textlink="">
      <xdr:nvSpPr>
        <xdr:cNvPr id="5" name="Text Box 34" hidden="1">
          <a:extLst>
            <a:ext uri="{FF2B5EF4-FFF2-40B4-BE49-F238E27FC236}">
              <a16:creationId xmlns:a16="http://schemas.microsoft.com/office/drawing/2014/main" id="{00000000-0008-0000-2700-000005000000}"/>
            </a:ext>
          </a:extLst>
        </xdr:cNvPr>
        <xdr:cNvSpPr txBox="1"/>
      </xdr:nvSpPr>
      <xdr:spPr>
        <a:xfrm>
          <a:off x="1762125" y="1790700"/>
          <a:ext cx="923925" cy="238125"/>
        </a:xfrm>
        <a:prstGeom prst="rect">
          <a:avLst/>
        </a:prstGeom>
        <a:solidFill>
          <a:srgbClr val="FFFFE1"/>
        </a:solidFill>
        <a:ln w="9525">
          <a:solidFill>
            <a:srgbClr val="000000"/>
          </a:solidFill>
        </a:ln>
      </xdr:spPr>
      <xdr:txBody>
        <a:bodyPr vertOverflow="clip" horzOverflow="clip"/>
        <a:lstStyle/>
        <a:p>
          <a:endParaRPr/>
        </a:p>
      </xdr:txBody>
    </xdr:sp>
    <xdr:clientData/>
  </xdr:oneCellAnchor>
  <xdr:oneCellAnchor>
    <xdr:from>
      <xdr:col>14</xdr:col>
      <xdr:colOff>19450</xdr:colOff>
      <xdr:row>25</xdr:row>
      <xdr:rowOff>134689</xdr:rowOff>
    </xdr:from>
    <xdr:ext cx="1219200" cy="628650"/>
    <xdr:sp macro="" textlink="">
      <xdr:nvSpPr>
        <xdr:cNvPr id="6" name="Text Box 42" hidden="1">
          <a:extLst>
            <a:ext uri="{FF2B5EF4-FFF2-40B4-BE49-F238E27FC236}">
              <a16:creationId xmlns:a16="http://schemas.microsoft.com/office/drawing/2014/main" id="{00000000-0008-0000-2700-000006000000}"/>
            </a:ext>
          </a:extLst>
        </xdr:cNvPr>
        <xdr:cNvSpPr txBox="1"/>
      </xdr:nvSpPr>
      <xdr:spPr>
        <a:xfrm>
          <a:off x="1762125" y="4819650"/>
          <a:ext cx="1219200" cy="628650"/>
        </a:xfrm>
        <a:prstGeom prst="rect">
          <a:avLst/>
        </a:prstGeom>
        <a:solidFill>
          <a:srgbClr val="FFFFE1"/>
        </a:solidFill>
        <a:ln w="9525">
          <a:solidFill>
            <a:srgbClr val="000000"/>
          </a:solidFill>
        </a:ln>
      </xdr:spPr>
      <xdr:txBody>
        <a:bodyPr vertOverflow="clip" wrap="square" lIns="18288" tIns="0" rIns="0" bIns="0" anchor="ctr" upright="1"/>
        <a:lstStyle/>
        <a:p>
          <a:endParaRPr/>
        </a:p>
      </xdr:txBody>
    </xdr:sp>
    <xdr:clientData/>
  </xdr:oneCellAnchor>
  <xdr:oneCellAnchor>
    <xdr:from>
      <xdr:col>14</xdr:col>
      <xdr:colOff>19450</xdr:colOff>
      <xdr:row>41</xdr:row>
      <xdr:rowOff>154781</xdr:rowOff>
    </xdr:from>
    <xdr:ext cx="1219200" cy="628650"/>
    <xdr:sp macro="" textlink="">
      <xdr:nvSpPr>
        <xdr:cNvPr id="7" name="Text Box 44" hidden="1">
          <a:extLst>
            <a:ext uri="{FF2B5EF4-FFF2-40B4-BE49-F238E27FC236}">
              <a16:creationId xmlns:a16="http://schemas.microsoft.com/office/drawing/2014/main" id="{00000000-0008-0000-2700-000007000000}"/>
            </a:ext>
          </a:extLst>
        </xdr:cNvPr>
        <xdr:cNvSpPr txBox="1"/>
      </xdr:nvSpPr>
      <xdr:spPr>
        <a:xfrm>
          <a:off x="1762125" y="7867650"/>
          <a:ext cx="1219200" cy="628650"/>
        </a:xfrm>
        <a:prstGeom prst="rect">
          <a:avLst/>
        </a:prstGeom>
        <a:solidFill>
          <a:srgbClr val="FFFFE1"/>
        </a:solidFill>
        <a:ln w="9525">
          <a:solidFill>
            <a:srgbClr val="000000"/>
          </a:solidFill>
        </a:ln>
      </xdr:spPr>
      <xdr:txBody>
        <a:bodyPr vertOverflow="clip" wrap="square" lIns="18288" tIns="0" rIns="0" bIns="0" anchor="ctr" upright="1"/>
        <a:lstStyle/>
        <a:p>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182880</xdr:colOff>
          <xdr:row>51</xdr:row>
          <xdr:rowOff>0</xdr:rowOff>
        </xdr:from>
        <xdr:to>
          <xdr:col>2</xdr:col>
          <xdr:colOff>22860</xdr:colOff>
          <xdr:row>52</xdr:row>
          <xdr:rowOff>60960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2B00-000001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95</xdr:row>
          <xdr:rowOff>0</xdr:rowOff>
        </xdr:from>
        <xdr:to>
          <xdr:col>2</xdr:col>
          <xdr:colOff>30480</xdr:colOff>
          <xdr:row>96</xdr:row>
          <xdr:rowOff>22860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2B00-000002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95</xdr:row>
          <xdr:rowOff>0</xdr:rowOff>
        </xdr:from>
        <xdr:to>
          <xdr:col>6</xdr:col>
          <xdr:colOff>30480</xdr:colOff>
          <xdr:row>96</xdr:row>
          <xdr:rowOff>22860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2B00-000003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95</xdr:row>
          <xdr:rowOff>182880</xdr:rowOff>
        </xdr:from>
        <xdr:to>
          <xdr:col>2</xdr:col>
          <xdr:colOff>30480</xdr:colOff>
          <xdr:row>97</xdr:row>
          <xdr:rowOff>7620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2B00-000004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76</xdr:row>
          <xdr:rowOff>30480</xdr:rowOff>
        </xdr:from>
        <xdr:to>
          <xdr:col>2</xdr:col>
          <xdr:colOff>22860</xdr:colOff>
          <xdr:row>77</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2B00-000005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76</xdr:row>
          <xdr:rowOff>30480</xdr:rowOff>
        </xdr:from>
        <xdr:to>
          <xdr:col>2</xdr:col>
          <xdr:colOff>0</xdr:colOff>
          <xdr:row>77</xdr:row>
          <xdr:rowOff>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2B00-000006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76</xdr:row>
          <xdr:rowOff>22860</xdr:rowOff>
        </xdr:from>
        <xdr:to>
          <xdr:col>4</xdr:col>
          <xdr:colOff>190500</xdr:colOff>
          <xdr:row>77</xdr:row>
          <xdr:rowOff>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2B00-000007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289560</xdr:colOff>
          <xdr:row>76</xdr:row>
          <xdr:rowOff>22860</xdr:rowOff>
        </xdr:from>
        <xdr:to>
          <xdr:col>10</xdr:col>
          <xdr:colOff>22860</xdr:colOff>
          <xdr:row>77</xdr:row>
          <xdr:rowOff>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2B00-000008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80</xdr:row>
          <xdr:rowOff>30480</xdr:rowOff>
        </xdr:from>
        <xdr:to>
          <xdr:col>2</xdr:col>
          <xdr:colOff>198120</xdr:colOff>
          <xdr:row>81</xdr:row>
          <xdr:rowOff>45720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2B00-000009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80</xdr:row>
          <xdr:rowOff>7620</xdr:rowOff>
        </xdr:from>
        <xdr:to>
          <xdr:col>2</xdr:col>
          <xdr:colOff>22860</xdr:colOff>
          <xdr:row>81</xdr:row>
          <xdr:rowOff>22860</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2B00-00000A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80</xdr:row>
          <xdr:rowOff>160020</xdr:rowOff>
        </xdr:from>
        <xdr:to>
          <xdr:col>2</xdr:col>
          <xdr:colOff>68580</xdr:colOff>
          <xdr:row>82</xdr:row>
          <xdr:rowOff>45720</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2B00-00000B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69</xdr:row>
          <xdr:rowOff>30480</xdr:rowOff>
        </xdr:from>
        <xdr:to>
          <xdr:col>1</xdr:col>
          <xdr:colOff>68580</xdr:colOff>
          <xdr:row>70</xdr:row>
          <xdr:rowOff>0</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2B00-00000C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632460</xdr:colOff>
          <xdr:row>69</xdr:row>
          <xdr:rowOff>22860</xdr:rowOff>
        </xdr:from>
        <xdr:to>
          <xdr:col>3</xdr:col>
          <xdr:colOff>251460</xdr:colOff>
          <xdr:row>69</xdr:row>
          <xdr:rowOff>289560</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2B00-00000D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69</xdr:row>
          <xdr:rowOff>22860</xdr:rowOff>
        </xdr:from>
        <xdr:to>
          <xdr:col>5</xdr:col>
          <xdr:colOff>160020</xdr:colOff>
          <xdr:row>69</xdr:row>
          <xdr:rowOff>304800</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2B00-00000E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85</xdr:row>
          <xdr:rowOff>7620</xdr:rowOff>
        </xdr:from>
        <xdr:to>
          <xdr:col>2</xdr:col>
          <xdr:colOff>22860</xdr:colOff>
          <xdr:row>86</xdr:row>
          <xdr:rowOff>22860</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2B00-00000F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845820</xdr:colOff>
          <xdr:row>85</xdr:row>
          <xdr:rowOff>0</xdr:rowOff>
        </xdr:from>
        <xdr:to>
          <xdr:col>4</xdr:col>
          <xdr:colOff>190500</xdr:colOff>
          <xdr:row>86</xdr:row>
          <xdr:rowOff>22860</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2B00-000010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746760</xdr:colOff>
          <xdr:row>47</xdr:row>
          <xdr:rowOff>266700</xdr:rowOff>
        </xdr:from>
        <xdr:to>
          <xdr:col>4</xdr:col>
          <xdr:colOff>45720</xdr:colOff>
          <xdr:row>48</xdr:row>
          <xdr:rowOff>266700</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2B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731520</xdr:colOff>
          <xdr:row>48</xdr:row>
          <xdr:rowOff>259080</xdr:rowOff>
        </xdr:from>
        <xdr:to>
          <xdr:col>4</xdr:col>
          <xdr:colOff>38100</xdr:colOff>
          <xdr:row>49</xdr:row>
          <xdr:rowOff>259080</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2B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8</xdr:row>
          <xdr:rowOff>22860</xdr:rowOff>
        </xdr:from>
        <xdr:to>
          <xdr:col>4</xdr:col>
          <xdr:colOff>190500</xdr:colOff>
          <xdr:row>8</xdr:row>
          <xdr:rowOff>236220</xdr:rowOff>
        </xdr:to>
        <xdr:sp macro="" textlink="">
          <xdr:nvSpPr>
            <xdr:cNvPr id="146457" name="Check Box 7" hidden="1">
              <a:extLst>
                <a:ext uri="{63B3BB69-23CF-44E3-9099-C40C66FF867C}">
                  <a14:compatExt spid="_x0000_s146457"/>
                </a:ext>
                <a:ext uri="{FF2B5EF4-FFF2-40B4-BE49-F238E27FC236}">
                  <a16:creationId xmlns:a16="http://schemas.microsoft.com/office/drawing/2014/main" id="{00000000-0008-0000-2B00-000019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8</xdr:row>
          <xdr:rowOff>0</xdr:rowOff>
        </xdr:from>
        <xdr:to>
          <xdr:col>14</xdr:col>
          <xdr:colOff>419100</xdr:colOff>
          <xdr:row>8</xdr:row>
          <xdr:rowOff>220980</xdr:rowOff>
        </xdr:to>
        <xdr:sp macro="" textlink="">
          <xdr:nvSpPr>
            <xdr:cNvPr id="146458" name="Check Box 3" hidden="1">
              <a:extLst>
                <a:ext uri="{63B3BB69-23CF-44E3-9099-C40C66FF867C}">
                  <a14:compatExt spid="_x0000_s146458"/>
                </a:ext>
                <a:ext uri="{FF2B5EF4-FFF2-40B4-BE49-F238E27FC236}">
                  <a16:creationId xmlns:a16="http://schemas.microsoft.com/office/drawing/2014/main" id="{00000000-0008-0000-2B00-00001A3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37</xdr:col>
      <xdr:colOff>19087</xdr:colOff>
      <xdr:row>10</xdr:row>
      <xdr:rowOff>66973</xdr:rowOff>
    </xdr:from>
    <xdr:to>
      <xdr:col>62</xdr:col>
      <xdr:colOff>68573</xdr:colOff>
      <xdr:row>13</xdr:row>
      <xdr:rowOff>61392</xdr:rowOff>
    </xdr:to>
    <xdr:sp macro="" textlink="">
      <xdr:nvSpPr>
        <xdr:cNvPr id="7" name="テキスト ボックス 1">
          <a:extLst>
            <a:ext uri="{FF2B5EF4-FFF2-40B4-BE49-F238E27FC236}">
              <a16:creationId xmlns:a16="http://schemas.microsoft.com/office/drawing/2014/main" id="{00000000-0008-0000-2C00-000007000000}"/>
            </a:ext>
          </a:extLst>
        </xdr:cNvPr>
        <xdr:cNvSpPr txBox="1"/>
      </xdr:nvSpPr>
      <xdr:spPr>
        <a:xfrm>
          <a:off x="6715125" y="1781175"/>
          <a:ext cx="4573905" cy="508636"/>
        </a:xfrm>
        <a:prstGeom prst="rect">
          <a:avLst/>
        </a:prstGeom>
        <a:solidFill>
          <a:srgbClr val="FFFFFF"/>
        </a:solidFill>
        <a:ln w="9525">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lstStyle/>
        <a:p>
          <a:r>
            <a:rPr lang="ja-JP" altLang="ja-JP" sz="1100" b="0" i="0">
              <a:solidFill>
                <a:srgbClr val="000000"/>
              </a:solidFill>
              <a:latin typeface="+mn-lt"/>
            </a:rPr>
            <a:t>建築主、設置者又は築造主（以下「建築主」という。）</a:t>
          </a:r>
          <a:r>
            <a:rPr lang="ja-JP" sz="1100" b="0" i="0">
              <a:solidFill>
                <a:srgbClr val="000000"/>
              </a:solidFill>
              <a:latin typeface="ＭＳ Ｐゴシック"/>
              <a:ea typeface="ＭＳ Ｐゴシック"/>
              <a:cs typeface="ＭＳ Ｐゴシック"/>
            </a:rPr>
            <a:t>と代理者で協議の上、建築主押印の要否を決定してください。</a:t>
          </a:r>
          <a:endParaRPr lang="en-US" altLang="ja-JP" sz="1100" b="0" i="0">
            <a:solidFill>
              <a:srgbClr val="000000"/>
            </a:solidFill>
            <a:latin typeface="ＭＳ Ｐゴシック"/>
            <a:ea typeface="ＭＳ Ｐゴシック"/>
            <a:cs typeface="ＭＳ Ｐゴシック"/>
          </a:endParaRPr>
        </a:p>
        <a:p>
          <a:r>
            <a:rPr lang="ja-JP" altLang="en-US" sz="1100" b="0" i="0">
              <a:solidFill>
                <a:srgbClr val="FF0000"/>
              </a:solidFill>
              <a:latin typeface="ＭＳ Ｐゴシック"/>
              <a:ea typeface="ＭＳ Ｐゴシック"/>
              <a:cs typeface="ＭＳ Ｐゴシック"/>
            </a:rPr>
            <a:t>建築主の押印をする場合はこちらのシートをご利用ください。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137145</xdr:colOff>
      <xdr:row>5</xdr:row>
      <xdr:rowOff>205569</xdr:rowOff>
    </xdr:from>
    <xdr:to>
      <xdr:col>54</xdr:col>
      <xdr:colOff>106747</xdr:colOff>
      <xdr:row>15</xdr:row>
      <xdr:rowOff>119993</xdr:rowOff>
    </xdr:to>
    <xdr:sp macro="" textlink="">
      <xdr:nvSpPr>
        <xdr:cNvPr id="8" name="テキスト ボックス 1">
          <a:hlinkClick xmlns:r="http://schemas.openxmlformats.org/officeDocument/2006/relationships" r:id="rId1"/>
          <a:extLst>
            <a:ext uri="{FF2B5EF4-FFF2-40B4-BE49-F238E27FC236}">
              <a16:creationId xmlns:a16="http://schemas.microsoft.com/office/drawing/2014/main" id="{00000000-0008-0000-2D00-000008000000}"/>
            </a:ext>
          </a:extLst>
        </xdr:cNvPr>
        <xdr:cNvSpPr txBox="1"/>
      </xdr:nvSpPr>
      <xdr:spPr>
        <a:xfrm>
          <a:off x="6652260" y="1024890"/>
          <a:ext cx="3227070" cy="1666876"/>
        </a:xfrm>
        <a:prstGeom prst="rect">
          <a:avLst/>
        </a:prstGeom>
        <a:solidFill>
          <a:srgbClr val="FFFFFF"/>
        </a:solidFill>
        <a:ln w="9525">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lstStyle/>
        <a:p>
          <a:r>
            <a:rPr lang="ja-JP" sz="1100" b="0" i="0">
              <a:solidFill>
                <a:srgbClr val="000000"/>
              </a:solidFill>
              <a:latin typeface="ＭＳ Ｐゴシック"/>
              <a:ea typeface="ＭＳ Ｐゴシック"/>
              <a:cs typeface="ＭＳ Ｐゴシック"/>
            </a:rPr>
            <a:t>建築主、設置者又は築造主（以下「建築主」という。）と代理者で協議の上、建築主押印の要否を決定してください。</a:t>
          </a:r>
          <a:endParaRPr lang="en-US" altLang="ja-JP" sz="1100" b="0" i="0">
            <a:solidFill>
              <a:srgbClr val="000000"/>
            </a:solidFill>
            <a:latin typeface="ＭＳ Ｐゴシック"/>
            <a:ea typeface="ＭＳ Ｐゴシック"/>
            <a:cs typeface="ＭＳ Ｐゴシック"/>
          </a:endParaRPr>
        </a:p>
        <a:p>
          <a:r>
            <a:rPr lang="ja-JP" altLang="en-US" sz="1100" b="0" i="0">
              <a:solidFill>
                <a:srgbClr val="FF0000"/>
              </a:solidFill>
              <a:latin typeface="ＭＳ Ｐゴシック"/>
              <a:ea typeface="ＭＳ Ｐゴシック"/>
              <a:cs typeface="ＭＳ Ｐゴシック"/>
            </a:rPr>
            <a:t>建築主の押印を省略する場合はこちらのシートをご利用ください。</a:t>
          </a:r>
        </a:p>
        <a:p>
          <a:endParaRPr lang="en-US" altLang="ja-JP" sz="1100" b="0" i="0">
            <a:solidFill>
              <a:srgbClr val="FF0000"/>
            </a:solidFill>
            <a:latin typeface="ＭＳ Ｐゴシック"/>
            <a:ea typeface="ＭＳ Ｐゴシック"/>
            <a:cs typeface="ＭＳ Ｐゴシック"/>
          </a:endParaRPr>
        </a:p>
        <a:p>
          <a:r>
            <a:rPr lang="ja-JP" altLang="en-US" sz="1100" b="0" i="0">
              <a:solidFill>
                <a:srgbClr val="FF0000"/>
              </a:solidFill>
              <a:latin typeface="ＭＳ Ｐゴシック"/>
              <a:ea typeface="ＭＳ Ｐゴシック"/>
              <a:cs typeface="ＭＳ Ｐゴシック"/>
            </a:rPr>
            <a:t>また、建築主押印を省略する場合は、「</a:t>
          </a:r>
          <a:r>
            <a:rPr lang="ja-JP" altLang="en-US" sz="1100" b="0" i="0" u="sng">
              <a:solidFill>
                <a:srgbClr val="FF0000"/>
              </a:solidFill>
              <a:latin typeface="ＭＳ Ｐゴシック"/>
              <a:ea typeface="ＭＳ Ｐゴシック"/>
              <a:cs typeface="ＭＳ Ｐゴシック"/>
            </a:rPr>
            <a:t>委任状の建築主押印の取扱いについて</a:t>
          </a:r>
          <a:r>
            <a:rPr lang="ja-JP" altLang="en-US" sz="1100" b="0" i="0">
              <a:solidFill>
                <a:srgbClr val="FF0000"/>
              </a:solidFill>
              <a:latin typeface="ＭＳ Ｐゴシック"/>
              <a:ea typeface="ＭＳ Ｐゴシック"/>
              <a:cs typeface="ＭＳ Ｐゴシック"/>
            </a:rPr>
            <a:t>」の内容を確認した旨、枠内に代理者の記名押印をしたものを「委任状」と併せて提出してください。（リンククリックで</a:t>
          </a:r>
          <a:r>
            <a:rPr lang="en-US" altLang="ja-JP" sz="1100" b="0" i="0">
              <a:solidFill>
                <a:srgbClr val="FF0000"/>
              </a:solidFill>
              <a:latin typeface="ＭＳ Ｐゴシック"/>
              <a:ea typeface="ＭＳ Ｐゴシック"/>
              <a:cs typeface="ＭＳ Ｐゴシック"/>
            </a:rPr>
            <a:t>Word</a:t>
          </a:r>
          <a:r>
            <a:rPr lang="ja-JP" altLang="en-US" sz="1100" b="0" i="0">
              <a:solidFill>
                <a:srgbClr val="FF0000"/>
              </a:solidFill>
              <a:latin typeface="ＭＳ Ｐゴシック"/>
              <a:ea typeface="ＭＳ Ｐゴシック"/>
              <a:cs typeface="ＭＳ Ｐゴシック"/>
            </a:rPr>
            <a:t>ファイルが開きます）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37</xdr:col>
      <xdr:colOff>106747</xdr:colOff>
      <xdr:row>1</xdr:row>
      <xdr:rowOff>7441</xdr:rowOff>
    </xdr:from>
    <xdr:to>
      <xdr:col>50</xdr:col>
      <xdr:colOff>91371</xdr:colOff>
      <xdr:row>1</xdr:row>
      <xdr:rowOff>213010</xdr:rowOff>
    </xdr:to>
    <xdr:sp macro="" textlink="">
      <xdr:nvSpPr>
        <xdr:cNvPr id="2" name="四角形: 角を丸くする 1">
          <a:extLst>
            <a:ext uri="{FF2B5EF4-FFF2-40B4-BE49-F238E27FC236}">
              <a16:creationId xmlns:a16="http://schemas.microsoft.com/office/drawing/2014/main" id="{00000000-0008-0000-2E00-000002000000}"/>
            </a:ext>
          </a:extLst>
        </xdr:cNvPr>
        <xdr:cNvSpPr/>
      </xdr:nvSpPr>
      <xdr:spPr>
        <a:xfrm>
          <a:off x="6802755" y="179070"/>
          <a:ext cx="2337435" cy="167640"/>
        </a:xfrm>
        <a:prstGeom prst="roundRect">
          <a:avLst/>
        </a:prstGeom>
        <a:solidFill>
          <a:srgbClr val="CCFFFF"/>
        </a:solidFill>
        <a:ln w="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900" b="0" i="0">
              <a:solidFill>
                <a:srgbClr val="000000"/>
              </a:solidFill>
              <a:latin typeface="メイリオ"/>
            </a:rPr>
            <a:t>白黒印刷に設定してあります</a:t>
          </a:r>
        </a:p>
      </xdr:txBody>
    </xdr:sp>
    <xdr:clientData/>
  </xdr:twoCellAnchor>
  <xdr:twoCellAnchor>
    <xdr:from>
      <xdr:col>37</xdr:col>
      <xdr:colOff>106747</xdr:colOff>
      <xdr:row>3</xdr:row>
      <xdr:rowOff>45579</xdr:rowOff>
    </xdr:from>
    <xdr:to>
      <xdr:col>73</xdr:col>
      <xdr:colOff>76172</xdr:colOff>
      <xdr:row>18</xdr:row>
      <xdr:rowOff>896987</xdr:rowOff>
    </xdr:to>
    <xdr:sp macro="" textlink="">
      <xdr:nvSpPr>
        <xdr:cNvPr id="3" name="四角形: 角を丸くする 2">
          <a:extLst>
            <a:ext uri="{FF2B5EF4-FFF2-40B4-BE49-F238E27FC236}">
              <a16:creationId xmlns:a16="http://schemas.microsoft.com/office/drawing/2014/main" id="{00000000-0008-0000-2E00-000003000000}"/>
            </a:ext>
          </a:extLst>
        </xdr:cNvPr>
        <xdr:cNvSpPr/>
      </xdr:nvSpPr>
      <xdr:spPr>
        <a:xfrm>
          <a:off x="6802755" y="560070"/>
          <a:ext cx="6484620" cy="2701290"/>
        </a:xfrm>
        <a:prstGeom prst="roundRect">
          <a:avLst>
            <a:gd name="adj" fmla="val 981"/>
          </a:avLst>
        </a:prstGeom>
        <a:solidFill>
          <a:srgbClr val="CCFFFF"/>
        </a:solidFill>
        <a:ln w="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lstStyle/>
        <a:p>
          <a:r>
            <a:rPr lang="en-US" altLang="ja-JP" sz="1000" b="0" i="0">
              <a:solidFill>
                <a:srgbClr val="000000"/>
              </a:solidFill>
              <a:latin typeface="メイリオ"/>
            </a:rPr>
            <a:t>【</a:t>
          </a:r>
          <a:r>
            <a:rPr lang="ja-JP" altLang="en-US" sz="1000" b="0" i="0">
              <a:solidFill>
                <a:srgbClr val="000000"/>
              </a:solidFill>
              <a:latin typeface="メイリオ"/>
            </a:rPr>
            <a:t>ご注意</a:t>
          </a:r>
          <a:r>
            <a:rPr lang="en-US" altLang="ja-JP" sz="1000" b="0" i="0">
              <a:solidFill>
                <a:srgbClr val="000000"/>
              </a:solidFill>
              <a:latin typeface="メイリオ"/>
            </a:rPr>
            <a:t>】</a:t>
          </a:r>
        </a:p>
        <a:p>
          <a:r>
            <a:rPr lang="ja-JP" altLang="en-US" sz="1000" b="0" i="0">
              <a:solidFill>
                <a:srgbClr val="000000"/>
              </a:solidFill>
              <a:latin typeface="メイリオ"/>
            </a:rPr>
            <a:t>　「押印を求める手続きの見直し等のための国土交通省令の一部を改正する省令」（令和</a:t>
          </a:r>
          <a:r>
            <a:rPr lang="en-US" altLang="ja-JP" sz="1000" b="0" i="0">
              <a:solidFill>
                <a:srgbClr val="000000"/>
              </a:solidFill>
              <a:latin typeface="メイリオ"/>
            </a:rPr>
            <a:t>3</a:t>
          </a:r>
          <a:r>
            <a:rPr lang="ja-JP" altLang="en-US" sz="1000" b="0" i="0">
              <a:solidFill>
                <a:srgbClr val="000000"/>
              </a:solidFill>
              <a:latin typeface="メイリオ"/>
            </a:rPr>
            <a:t>年</a:t>
          </a:r>
          <a:r>
            <a:rPr lang="en-US" altLang="ja-JP" sz="1000" b="0" i="0">
              <a:solidFill>
                <a:srgbClr val="000000"/>
              </a:solidFill>
              <a:latin typeface="メイリオ"/>
            </a:rPr>
            <a:t>1</a:t>
          </a:r>
          <a:r>
            <a:rPr lang="ja-JP" altLang="en-US" sz="1000" b="0" i="0">
              <a:solidFill>
                <a:srgbClr val="000000"/>
              </a:solidFill>
              <a:latin typeface="メイリオ"/>
            </a:rPr>
            <a:t>月</a:t>
          </a:r>
          <a:r>
            <a:rPr lang="en-US" altLang="ja-JP" sz="1000" b="0" i="0">
              <a:solidFill>
                <a:srgbClr val="000000"/>
              </a:solidFill>
              <a:latin typeface="メイリオ"/>
            </a:rPr>
            <a:t>1</a:t>
          </a:r>
          <a:r>
            <a:rPr lang="ja-JP" altLang="en-US" sz="1000" b="0" i="0">
              <a:solidFill>
                <a:srgbClr val="000000"/>
              </a:solidFill>
              <a:latin typeface="メイリオ"/>
            </a:rPr>
            <a:t>日施行）により建築物のエネルギー消費性能の向上に関する法律施行規則の申請書類については押印が不要となりましたが、法定様式ではない「委任状兼同意書」の建築主様の押印について、株式会社都市居住評価センター（以下「弊社」という。）の取扱いをお知らせいたします。</a:t>
          </a:r>
        </a:p>
        <a:p>
          <a:r>
            <a:rPr lang="ja-JP" altLang="en-US" sz="1000" b="0" i="0">
              <a:solidFill>
                <a:srgbClr val="000000"/>
              </a:solidFill>
              <a:latin typeface="メイリオ"/>
            </a:rPr>
            <a:t>「委任状及び同意書」は、代理者により省エネ判定等の手続きを行う場合に、建築主がこれらの手続きを当該代理者に委任することを証する書類として、併せて建築基準法に基づく確認検査を弊社（指定確認検査機関）へ申請する場合は、必要に応じて省エネ適合判定通知書の写し等を指定確認検査機関の業務において利用することについて、あらかじめ同意することを証する書類となります。</a:t>
          </a:r>
        </a:p>
        <a:p>
          <a:r>
            <a:rPr lang="ja-JP" altLang="en-US" sz="1000" b="0" i="0">
              <a:solidFill>
                <a:srgbClr val="000000"/>
              </a:solidFill>
              <a:latin typeface="メイリオ"/>
            </a:rPr>
            <a:t>委任は、委任者である建築主と受任者である代理者の合意により成立し、同意は建築主の意思によります。この「委任状兼同意書」に建築主の押印を必要とするかどうかの判断は、建築主と代理者で協議して決めていただければと存じます。</a:t>
          </a:r>
        </a:p>
        <a:p>
          <a:r>
            <a:rPr lang="ja-JP" altLang="en-US" sz="1000" b="0" i="0">
              <a:solidFill>
                <a:srgbClr val="000000"/>
              </a:solidFill>
              <a:latin typeface="メイリオ"/>
            </a:rPr>
            <a:t>弊社は、提出された「委任状兼同意書」の建築主押印の有無にかかわらず当該代理者に委任すること及び前記に同意することを証する書類として提出されたものとして取扱いし、これによって委任者（建築主）及び受任者（代理者）の間で生じたトラブル等について、弊社はその責任を負わないことをご了承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29</xdr:row>
          <xdr:rowOff>22860</xdr:rowOff>
        </xdr:from>
        <xdr:to>
          <xdr:col>3</xdr:col>
          <xdr:colOff>22860</xdr:colOff>
          <xdr:row>29</xdr:row>
          <xdr:rowOff>220980</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2E00-000005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22860</xdr:rowOff>
        </xdr:from>
        <xdr:to>
          <xdr:col>3</xdr:col>
          <xdr:colOff>22860</xdr:colOff>
          <xdr:row>30</xdr:row>
          <xdr:rowOff>220980</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2E00-000006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22860</xdr:rowOff>
        </xdr:from>
        <xdr:to>
          <xdr:col>3</xdr:col>
          <xdr:colOff>22860</xdr:colOff>
          <xdr:row>31</xdr:row>
          <xdr:rowOff>220980</xdr:rowOff>
        </xdr:to>
        <xdr:sp macro="" textlink="">
          <xdr:nvSpPr>
            <xdr:cNvPr id="93191" name="Check Box 7" hidden="1">
              <a:extLst>
                <a:ext uri="{63B3BB69-23CF-44E3-9099-C40C66FF867C}">
                  <a14:compatExt spid="_x0000_s93191"/>
                </a:ext>
                <a:ext uri="{FF2B5EF4-FFF2-40B4-BE49-F238E27FC236}">
                  <a16:creationId xmlns:a16="http://schemas.microsoft.com/office/drawing/2014/main" id="{00000000-0008-0000-2E00-000007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29</xdr:row>
          <xdr:rowOff>22860</xdr:rowOff>
        </xdr:from>
        <xdr:to>
          <xdr:col>17</xdr:col>
          <xdr:colOff>22860</xdr:colOff>
          <xdr:row>29</xdr:row>
          <xdr:rowOff>220980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2E00-000008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30</xdr:row>
          <xdr:rowOff>22860</xdr:rowOff>
        </xdr:from>
        <xdr:to>
          <xdr:col>17</xdr:col>
          <xdr:colOff>22860</xdr:colOff>
          <xdr:row>30</xdr:row>
          <xdr:rowOff>220980</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2E00-000009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31</xdr:row>
          <xdr:rowOff>22860</xdr:rowOff>
        </xdr:from>
        <xdr:to>
          <xdr:col>17</xdr:col>
          <xdr:colOff>22860</xdr:colOff>
          <xdr:row>31</xdr:row>
          <xdr:rowOff>220980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2E00-00000A6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38</xdr:col>
      <xdr:colOff>22799</xdr:colOff>
      <xdr:row>1</xdr:row>
      <xdr:rowOff>23254</xdr:rowOff>
    </xdr:from>
    <xdr:to>
      <xdr:col>51</xdr:col>
      <xdr:colOff>7600</xdr:colOff>
      <xdr:row>1</xdr:row>
      <xdr:rowOff>228823</xdr:rowOff>
    </xdr:to>
    <xdr:sp macro="" textlink="">
      <xdr:nvSpPr>
        <xdr:cNvPr id="2" name="四角形: 角を丸くする 1">
          <a:extLst>
            <a:ext uri="{FF2B5EF4-FFF2-40B4-BE49-F238E27FC236}">
              <a16:creationId xmlns:a16="http://schemas.microsoft.com/office/drawing/2014/main" id="{00000000-0008-0000-2F00-000002000000}"/>
            </a:ext>
          </a:extLst>
        </xdr:cNvPr>
        <xdr:cNvSpPr/>
      </xdr:nvSpPr>
      <xdr:spPr>
        <a:xfrm>
          <a:off x="6899910" y="194310"/>
          <a:ext cx="2337435" cy="148590"/>
        </a:xfrm>
        <a:prstGeom prst="roundRect">
          <a:avLst/>
        </a:prstGeom>
        <a:solidFill>
          <a:srgbClr val="CCFFFF"/>
        </a:solidFill>
        <a:ln w="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900" b="0" i="0">
              <a:solidFill>
                <a:srgbClr val="000000"/>
              </a:solidFill>
              <a:latin typeface="メイリオ"/>
            </a:rPr>
            <a:t>白黒印刷に設定してあります</a:t>
          </a:r>
        </a:p>
      </xdr:txBody>
    </xdr:sp>
    <xdr:clientData/>
  </xdr:twoCellAnchor>
  <xdr:twoCellAnchor>
    <xdr:from>
      <xdr:col>38</xdr:col>
      <xdr:colOff>7600</xdr:colOff>
      <xdr:row>2</xdr:row>
      <xdr:rowOff>205569</xdr:rowOff>
    </xdr:from>
    <xdr:to>
      <xdr:col>73</xdr:col>
      <xdr:colOff>137145</xdr:colOff>
      <xdr:row>18</xdr:row>
      <xdr:rowOff>823540</xdr:rowOff>
    </xdr:to>
    <xdr:sp macro="" textlink="">
      <xdr:nvSpPr>
        <xdr:cNvPr id="3" name="四角形: 角を丸くする 2">
          <a:extLst>
            <a:ext uri="{FF2B5EF4-FFF2-40B4-BE49-F238E27FC236}">
              <a16:creationId xmlns:a16="http://schemas.microsoft.com/office/drawing/2014/main" id="{00000000-0008-0000-2F00-000003000000}"/>
            </a:ext>
          </a:extLst>
        </xdr:cNvPr>
        <xdr:cNvSpPr/>
      </xdr:nvSpPr>
      <xdr:spPr>
        <a:xfrm>
          <a:off x="6884670" y="510540"/>
          <a:ext cx="6463665" cy="2750820"/>
        </a:xfrm>
        <a:prstGeom prst="roundRect">
          <a:avLst>
            <a:gd name="adj" fmla="val 981"/>
          </a:avLst>
        </a:prstGeom>
        <a:solidFill>
          <a:srgbClr val="CCFFFF"/>
        </a:solidFill>
        <a:ln w="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lstStyle/>
        <a:p>
          <a:r>
            <a:rPr lang="en-US" altLang="ja-JP" sz="1000" b="0" i="0">
              <a:solidFill>
                <a:srgbClr val="000000"/>
              </a:solidFill>
              <a:latin typeface="メイリオ"/>
            </a:rPr>
            <a:t>【</a:t>
          </a:r>
          <a:r>
            <a:rPr lang="ja-JP" altLang="en-US" sz="1000" b="0" i="0">
              <a:solidFill>
                <a:srgbClr val="000000"/>
              </a:solidFill>
              <a:latin typeface="メイリオ"/>
            </a:rPr>
            <a:t>ご注意</a:t>
          </a:r>
          <a:r>
            <a:rPr lang="en-US" altLang="ja-JP" sz="1000" b="0" i="0">
              <a:solidFill>
                <a:srgbClr val="000000"/>
              </a:solidFill>
              <a:latin typeface="メイリオ"/>
            </a:rPr>
            <a:t>】</a:t>
          </a:r>
        </a:p>
        <a:p>
          <a:r>
            <a:rPr lang="ja-JP" altLang="en-US" sz="1000" b="0" i="0">
              <a:solidFill>
                <a:srgbClr val="000000"/>
              </a:solidFill>
              <a:latin typeface="メイリオ"/>
            </a:rPr>
            <a:t>　「押印を求める手続きの見直し等のための国土交通省令の一部を改正する省令」（令和</a:t>
          </a:r>
          <a:r>
            <a:rPr lang="en-US" altLang="ja-JP" sz="1000" b="0" i="0">
              <a:solidFill>
                <a:srgbClr val="000000"/>
              </a:solidFill>
              <a:latin typeface="メイリオ"/>
            </a:rPr>
            <a:t>3</a:t>
          </a:r>
          <a:r>
            <a:rPr lang="ja-JP" altLang="en-US" sz="1000" b="0" i="0">
              <a:solidFill>
                <a:srgbClr val="000000"/>
              </a:solidFill>
              <a:latin typeface="メイリオ"/>
            </a:rPr>
            <a:t>年</a:t>
          </a:r>
          <a:r>
            <a:rPr lang="en-US" altLang="ja-JP" sz="1000" b="0" i="0">
              <a:solidFill>
                <a:srgbClr val="000000"/>
              </a:solidFill>
              <a:latin typeface="メイリオ"/>
            </a:rPr>
            <a:t>1</a:t>
          </a:r>
          <a:r>
            <a:rPr lang="ja-JP" altLang="en-US" sz="1000" b="0" i="0">
              <a:solidFill>
                <a:srgbClr val="000000"/>
              </a:solidFill>
              <a:latin typeface="メイリオ"/>
            </a:rPr>
            <a:t>月</a:t>
          </a:r>
          <a:r>
            <a:rPr lang="en-US" altLang="ja-JP" sz="1000" b="0" i="0">
              <a:solidFill>
                <a:srgbClr val="000000"/>
              </a:solidFill>
              <a:latin typeface="メイリオ"/>
            </a:rPr>
            <a:t>1</a:t>
          </a:r>
          <a:r>
            <a:rPr lang="ja-JP" altLang="en-US" sz="1000" b="0" i="0">
              <a:solidFill>
                <a:srgbClr val="000000"/>
              </a:solidFill>
              <a:latin typeface="メイリオ"/>
            </a:rPr>
            <a:t>日施行）により建築物のエネルギー消費性能の向上に関する法律施行規則の申請書類については押印が不要となりましたが、法定様式ではない「委任状兼同意書」の建築主様の押印について、株式会社都市居住評価センター（以下「弊社」という。）の取扱いをお知らせいたします。</a:t>
          </a:r>
        </a:p>
        <a:p>
          <a:r>
            <a:rPr lang="ja-JP" altLang="en-US" sz="1000" b="0" i="0">
              <a:solidFill>
                <a:srgbClr val="000000"/>
              </a:solidFill>
              <a:latin typeface="メイリオ"/>
            </a:rPr>
            <a:t>「委任状及び同意書」は、代理者により省エネ判定等の手続きを行う場合に、建築主がこれらの手続きを当該代理者に委任することを証する書類として、併せて建築基準法に基づく確認検査を弊社（指定確認検査機関）へ申請する場合は、必要に応じて省エネ適合判定通知書の写し等を指定確認検査機関の業務において利用することについて、あらかじめ同意することを証する書類となります。</a:t>
          </a:r>
        </a:p>
        <a:p>
          <a:r>
            <a:rPr lang="ja-JP" altLang="en-US" sz="1000" b="0" i="0">
              <a:solidFill>
                <a:srgbClr val="000000"/>
              </a:solidFill>
              <a:latin typeface="メイリオ"/>
            </a:rPr>
            <a:t>委任は、委任者である建築主と受任者である代理者の合意により成立し、同意は建築主の意思によります。この「委任状兼同意書」に建築主の押印を必要とするかどうかの判断は、建築主と代理者で協議して決めていただければと存じます。</a:t>
          </a:r>
        </a:p>
        <a:p>
          <a:r>
            <a:rPr lang="ja-JP" altLang="en-US" sz="1000" b="0" i="0">
              <a:solidFill>
                <a:srgbClr val="000000"/>
              </a:solidFill>
              <a:latin typeface="メイリオ"/>
            </a:rPr>
            <a:t>弊社は、提出された「委任状兼同意書」の建築主押印の有無にかかわらず当該代理者に委任すること及び前記に同意することを証する書類として提出されたものとして取扱いし、これによって委任者（建築主）及び受任者（代理者）の間で生じたトラブル等について、弊社はその責任を負わないことをご了承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29</xdr:row>
          <xdr:rowOff>22860</xdr:rowOff>
        </xdr:from>
        <xdr:to>
          <xdr:col>3</xdr:col>
          <xdr:colOff>22860</xdr:colOff>
          <xdr:row>29</xdr:row>
          <xdr:rowOff>220980</xdr:rowOff>
        </xdr:to>
        <xdr:sp macro="" textlink="">
          <xdr:nvSpPr>
            <xdr:cNvPr id="92165" name="Check Box 5" hidden="1">
              <a:extLst>
                <a:ext uri="{63B3BB69-23CF-44E3-9099-C40C66FF867C}">
                  <a14:compatExt spid="_x0000_s92165"/>
                </a:ext>
                <a:ext uri="{FF2B5EF4-FFF2-40B4-BE49-F238E27FC236}">
                  <a16:creationId xmlns:a16="http://schemas.microsoft.com/office/drawing/2014/main" id="{00000000-0008-0000-2F00-000005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22860</xdr:rowOff>
        </xdr:from>
        <xdr:to>
          <xdr:col>3</xdr:col>
          <xdr:colOff>22860</xdr:colOff>
          <xdr:row>30</xdr:row>
          <xdr:rowOff>220980</xdr:rowOff>
        </xdr:to>
        <xdr:sp macro="" textlink="">
          <xdr:nvSpPr>
            <xdr:cNvPr id="92166" name="Check Box 6" hidden="1">
              <a:extLst>
                <a:ext uri="{63B3BB69-23CF-44E3-9099-C40C66FF867C}">
                  <a14:compatExt spid="_x0000_s92166"/>
                </a:ext>
                <a:ext uri="{FF2B5EF4-FFF2-40B4-BE49-F238E27FC236}">
                  <a16:creationId xmlns:a16="http://schemas.microsoft.com/office/drawing/2014/main" id="{00000000-0008-0000-2F00-000006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22860</xdr:rowOff>
        </xdr:from>
        <xdr:to>
          <xdr:col>3</xdr:col>
          <xdr:colOff>22860</xdr:colOff>
          <xdr:row>31</xdr:row>
          <xdr:rowOff>220980</xdr:rowOff>
        </xdr:to>
        <xdr:sp macro="" textlink="">
          <xdr:nvSpPr>
            <xdr:cNvPr id="92167" name="Check Box 7" hidden="1">
              <a:extLst>
                <a:ext uri="{63B3BB69-23CF-44E3-9099-C40C66FF867C}">
                  <a14:compatExt spid="_x0000_s92167"/>
                </a:ext>
                <a:ext uri="{FF2B5EF4-FFF2-40B4-BE49-F238E27FC236}">
                  <a16:creationId xmlns:a16="http://schemas.microsoft.com/office/drawing/2014/main" id="{00000000-0008-0000-2F00-000007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29</xdr:row>
          <xdr:rowOff>22860</xdr:rowOff>
        </xdr:from>
        <xdr:to>
          <xdr:col>17</xdr:col>
          <xdr:colOff>22860</xdr:colOff>
          <xdr:row>29</xdr:row>
          <xdr:rowOff>220980</xdr:rowOff>
        </xdr:to>
        <xdr:sp macro="" textlink="">
          <xdr:nvSpPr>
            <xdr:cNvPr id="92168" name="Check Box 8" hidden="1">
              <a:extLst>
                <a:ext uri="{63B3BB69-23CF-44E3-9099-C40C66FF867C}">
                  <a14:compatExt spid="_x0000_s92168"/>
                </a:ext>
                <a:ext uri="{FF2B5EF4-FFF2-40B4-BE49-F238E27FC236}">
                  <a16:creationId xmlns:a16="http://schemas.microsoft.com/office/drawing/2014/main" id="{00000000-0008-0000-2F00-000008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30</xdr:row>
          <xdr:rowOff>22860</xdr:rowOff>
        </xdr:from>
        <xdr:to>
          <xdr:col>17</xdr:col>
          <xdr:colOff>22860</xdr:colOff>
          <xdr:row>30</xdr:row>
          <xdr:rowOff>220980</xdr:rowOff>
        </xdr:to>
        <xdr:sp macro="" textlink="">
          <xdr:nvSpPr>
            <xdr:cNvPr id="92169" name="Check Box 9" hidden="1">
              <a:extLst>
                <a:ext uri="{63B3BB69-23CF-44E3-9099-C40C66FF867C}">
                  <a14:compatExt spid="_x0000_s92169"/>
                </a:ext>
                <a:ext uri="{FF2B5EF4-FFF2-40B4-BE49-F238E27FC236}">
                  <a16:creationId xmlns:a16="http://schemas.microsoft.com/office/drawing/2014/main" id="{00000000-0008-0000-2F00-000009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31</xdr:row>
          <xdr:rowOff>22860</xdr:rowOff>
        </xdr:from>
        <xdr:to>
          <xdr:col>17</xdr:col>
          <xdr:colOff>22860</xdr:colOff>
          <xdr:row>31</xdr:row>
          <xdr:rowOff>220980</xdr:rowOff>
        </xdr:to>
        <xdr:sp macro="" textlink="">
          <xdr:nvSpPr>
            <xdr:cNvPr id="92170" name="Check Box 10" hidden="1">
              <a:extLst>
                <a:ext uri="{63B3BB69-23CF-44E3-9099-C40C66FF867C}">
                  <a14:compatExt spid="_x0000_s92170"/>
                </a:ext>
                <a:ext uri="{FF2B5EF4-FFF2-40B4-BE49-F238E27FC236}">
                  <a16:creationId xmlns:a16="http://schemas.microsoft.com/office/drawing/2014/main" id="{00000000-0008-0000-2F00-00000A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33</xdr:col>
      <xdr:colOff>137368</xdr:colOff>
      <xdr:row>5</xdr:row>
      <xdr:rowOff>30696</xdr:rowOff>
    </xdr:from>
    <xdr:to>
      <xdr:col>39</xdr:col>
      <xdr:colOff>276058</xdr:colOff>
      <xdr:row>8</xdr:row>
      <xdr:rowOff>217661</xdr:rowOff>
    </xdr:to>
    <xdr:sp macro="" textlink="">
      <xdr:nvSpPr>
        <xdr:cNvPr id="9" name="テキスト ボックス 1">
          <a:extLst>
            <a:ext uri="{FF2B5EF4-FFF2-40B4-BE49-F238E27FC236}">
              <a16:creationId xmlns:a16="http://schemas.microsoft.com/office/drawing/2014/main" id="{00000000-0008-0000-3100-000009000000}"/>
            </a:ext>
          </a:extLst>
        </xdr:cNvPr>
        <xdr:cNvSpPr txBox="1"/>
      </xdr:nvSpPr>
      <xdr:spPr>
        <a:xfrm>
          <a:off x="22454235" y="887730"/>
          <a:ext cx="4196568" cy="654294"/>
        </a:xfrm>
        <a:prstGeom prst="rect">
          <a:avLst/>
        </a:prstGeom>
        <a:solidFill>
          <a:srgbClr val="FFFFFF"/>
        </a:solidFill>
        <a:ln w="9525">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lstStyle/>
        <a:p>
          <a:r>
            <a:rPr lang="en-US" altLang="ja-JP" sz="1100" b="0" i="0">
              <a:solidFill>
                <a:srgbClr val="000000"/>
              </a:solidFill>
              <a:latin typeface="ＭＳ Ｐゴシック"/>
              <a:ea typeface="ＭＳ Ｐゴシック"/>
              <a:cs typeface="ＭＳ Ｐゴシック"/>
            </a:rPr>
            <a:t>EJ</a:t>
          </a:r>
          <a:r>
            <a:rPr lang="ja-JP" sz="1100" b="0" i="0">
              <a:solidFill>
                <a:srgbClr val="000000"/>
              </a:solidFill>
              <a:latin typeface="ＭＳ Ｐゴシック"/>
              <a:ea typeface="ＭＳ Ｐゴシック"/>
              <a:cs typeface="ＭＳ Ｐゴシック"/>
            </a:rPr>
            <a:t>社さま</a:t>
          </a:r>
          <a:endParaRPr lang="en-US" altLang="ja-JP" sz="1100" b="0" i="0">
            <a:solidFill>
              <a:srgbClr val="000000"/>
            </a:solidFill>
            <a:latin typeface="ＭＳ Ｐゴシック"/>
            <a:ea typeface="ＭＳ Ｐゴシック"/>
            <a:cs typeface="ＭＳ Ｐゴシック"/>
          </a:endParaRPr>
        </a:p>
        <a:p>
          <a:r>
            <a:rPr lang="ja-JP" sz="1100" b="0" i="0">
              <a:solidFill>
                <a:srgbClr val="000000"/>
              </a:solidFill>
              <a:latin typeface="ＭＳ Ｐゴシック"/>
              <a:ea typeface="ＭＳ Ｐゴシック"/>
              <a:cs typeface="ＭＳ Ｐゴシック"/>
            </a:rPr>
            <a:t>赤文字</a:t>
          </a:r>
          <a:r>
            <a:rPr lang="en-US" altLang="ja-JP" sz="1100" b="0" i="0">
              <a:solidFill>
                <a:srgbClr val="000000"/>
              </a:solidFill>
              <a:latin typeface="ＭＳ Ｐゴシック"/>
              <a:ea typeface="ＭＳ Ｐゴシック"/>
              <a:cs typeface="ＭＳ Ｐゴシック"/>
            </a:rPr>
            <a:t>※</a:t>
          </a:r>
          <a:r>
            <a:rPr lang="ja-JP" sz="1100" b="0" i="0">
              <a:solidFill>
                <a:srgbClr val="000000"/>
              </a:solidFill>
              <a:latin typeface="ＭＳ Ｐゴシック"/>
              <a:ea typeface="ＭＳ Ｐゴシック"/>
              <a:cs typeface="ＭＳ Ｐゴシック"/>
            </a:rPr>
            <a:t>は、リンクでわかりにくい箇所を記入しました。</a:t>
          </a:r>
          <a:endParaRPr lang="en-US" altLang="ja-JP" sz="1100" b="0" i="0">
            <a:solidFill>
              <a:srgbClr val="000000"/>
            </a:solidFill>
            <a:latin typeface="ＭＳ Ｐゴシック"/>
            <a:ea typeface="ＭＳ Ｐゴシック"/>
            <a:cs typeface="ＭＳ Ｐゴシック"/>
          </a:endParaRPr>
        </a:p>
        <a:p>
          <a:r>
            <a:rPr lang="ja-JP" sz="1100" b="0" i="0">
              <a:solidFill>
                <a:srgbClr val="000000"/>
              </a:solidFill>
              <a:latin typeface="ＭＳ Ｐゴシック"/>
              <a:ea typeface="ＭＳ Ｐゴシック"/>
              <a:cs typeface="ＭＳ Ｐゴシック"/>
            </a:rPr>
            <a:t>（申請者向けのコメントがすでに入力されているため）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omments" Target="../comments8.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8.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xml"/><Relationship Id="rId1" Type="http://schemas.openxmlformats.org/officeDocument/2006/relationships/printerSettings" Target="../printerSettings/printerSettings39.bin"/><Relationship Id="rId4" Type="http://schemas.openxmlformats.org/officeDocument/2006/relationships/comments" Target="../comments25.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8" Type="http://schemas.openxmlformats.org/officeDocument/2006/relationships/ctrlProp" Target="../ctrlProps/ctrlProp301.xml"/><Relationship Id="rId13" Type="http://schemas.openxmlformats.org/officeDocument/2006/relationships/ctrlProp" Target="../ctrlProps/ctrlProp306.xml"/><Relationship Id="rId18" Type="http://schemas.openxmlformats.org/officeDocument/2006/relationships/ctrlProp" Target="../ctrlProps/ctrlProp311.xml"/><Relationship Id="rId3" Type="http://schemas.openxmlformats.org/officeDocument/2006/relationships/vmlDrawing" Target="../drawings/vmlDrawing29.vml"/><Relationship Id="rId21" Type="http://schemas.openxmlformats.org/officeDocument/2006/relationships/ctrlProp" Target="../ctrlProps/ctrlProp314.xml"/><Relationship Id="rId7" Type="http://schemas.openxmlformats.org/officeDocument/2006/relationships/ctrlProp" Target="../ctrlProps/ctrlProp300.xml"/><Relationship Id="rId12" Type="http://schemas.openxmlformats.org/officeDocument/2006/relationships/ctrlProp" Target="../ctrlProps/ctrlProp305.xml"/><Relationship Id="rId17" Type="http://schemas.openxmlformats.org/officeDocument/2006/relationships/ctrlProp" Target="../ctrlProps/ctrlProp310.xml"/><Relationship Id="rId2" Type="http://schemas.openxmlformats.org/officeDocument/2006/relationships/drawing" Target="../drawings/drawing4.xml"/><Relationship Id="rId16" Type="http://schemas.openxmlformats.org/officeDocument/2006/relationships/ctrlProp" Target="../ctrlProps/ctrlProp309.xml"/><Relationship Id="rId20" Type="http://schemas.openxmlformats.org/officeDocument/2006/relationships/ctrlProp" Target="../ctrlProps/ctrlProp313.xml"/><Relationship Id="rId1" Type="http://schemas.openxmlformats.org/officeDocument/2006/relationships/printerSettings" Target="../printerSettings/printerSettings43.bin"/><Relationship Id="rId6" Type="http://schemas.openxmlformats.org/officeDocument/2006/relationships/ctrlProp" Target="../ctrlProps/ctrlProp299.xml"/><Relationship Id="rId11" Type="http://schemas.openxmlformats.org/officeDocument/2006/relationships/ctrlProp" Target="../ctrlProps/ctrlProp304.xml"/><Relationship Id="rId24" Type="http://schemas.openxmlformats.org/officeDocument/2006/relationships/comments" Target="../comments29.xml"/><Relationship Id="rId5" Type="http://schemas.openxmlformats.org/officeDocument/2006/relationships/ctrlProp" Target="../ctrlProps/ctrlProp298.xml"/><Relationship Id="rId15" Type="http://schemas.openxmlformats.org/officeDocument/2006/relationships/ctrlProp" Target="../ctrlProps/ctrlProp308.xml"/><Relationship Id="rId23" Type="http://schemas.openxmlformats.org/officeDocument/2006/relationships/ctrlProp" Target="../ctrlProps/ctrlProp316.xml"/><Relationship Id="rId10" Type="http://schemas.openxmlformats.org/officeDocument/2006/relationships/ctrlProp" Target="../ctrlProps/ctrlProp303.xml"/><Relationship Id="rId19" Type="http://schemas.openxmlformats.org/officeDocument/2006/relationships/ctrlProp" Target="../ctrlProps/ctrlProp312.xml"/><Relationship Id="rId4" Type="http://schemas.openxmlformats.org/officeDocument/2006/relationships/ctrlProp" Target="../ctrlProps/ctrlProp297.xml"/><Relationship Id="rId9" Type="http://schemas.openxmlformats.org/officeDocument/2006/relationships/ctrlProp" Target="../ctrlProps/ctrlProp302.xml"/><Relationship Id="rId14" Type="http://schemas.openxmlformats.org/officeDocument/2006/relationships/ctrlProp" Target="../ctrlProps/ctrlProp307.xml"/><Relationship Id="rId22" Type="http://schemas.openxmlformats.org/officeDocument/2006/relationships/ctrlProp" Target="../ctrlProps/ctrlProp315.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8" Type="http://schemas.openxmlformats.org/officeDocument/2006/relationships/ctrlProp" Target="../ctrlProps/ctrlProp321.xml"/><Relationship Id="rId3" Type="http://schemas.openxmlformats.org/officeDocument/2006/relationships/vmlDrawing" Target="../drawings/vmlDrawing30.vml"/><Relationship Id="rId7" Type="http://schemas.openxmlformats.org/officeDocument/2006/relationships/ctrlProp" Target="../ctrlProps/ctrlProp320.xml"/><Relationship Id="rId2" Type="http://schemas.openxmlformats.org/officeDocument/2006/relationships/drawing" Target="../drawings/drawing7.xml"/><Relationship Id="rId1" Type="http://schemas.openxmlformats.org/officeDocument/2006/relationships/printerSettings" Target="../printerSettings/printerSettings46.bin"/><Relationship Id="rId6" Type="http://schemas.openxmlformats.org/officeDocument/2006/relationships/ctrlProp" Target="../ctrlProps/ctrlProp319.xml"/><Relationship Id="rId5" Type="http://schemas.openxmlformats.org/officeDocument/2006/relationships/ctrlProp" Target="../ctrlProps/ctrlProp318.xml"/><Relationship Id="rId4" Type="http://schemas.openxmlformats.org/officeDocument/2006/relationships/ctrlProp" Target="../ctrlProps/ctrlProp317.xml"/><Relationship Id="rId9" Type="http://schemas.openxmlformats.org/officeDocument/2006/relationships/ctrlProp" Target="../ctrlProps/ctrlProp322.xml"/></Relationships>
</file>

<file path=xl/worksheets/_rels/sheet48.xml.rels><?xml version="1.0" encoding="UTF-8" standalone="yes"?>
<Relationships xmlns="http://schemas.openxmlformats.org/package/2006/relationships"><Relationship Id="rId8" Type="http://schemas.openxmlformats.org/officeDocument/2006/relationships/ctrlProp" Target="../ctrlProps/ctrlProp327.xml"/><Relationship Id="rId3" Type="http://schemas.openxmlformats.org/officeDocument/2006/relationships/vmlDrawing" Target="../drawings/vmlDrawing31.vml"/><Relationship Id="rId7" Type="http://schemas.openxmlformats.org/officeDocument/2006/relationships/ctrlProp" Target="../ctrlProps/ctrlProp326.xml"/><Relationship Id="rId2" Type="http://schemas.openxmlformats.org/officeDocument/2006/relationships/drawing" Target="../drawings/drawing8.xml"/><Relationship Id="rId1" Type="http://schemas.openxmlformats.org/officeDocument/2006/relationships/printerSettings" Target="../printerSettings/printerSettings47.bin"/><Relationship Id="rId6" Type="http://schemas.openxmlformats.org/officeDocument/2006/relationships/ctrlProp" Target="../ctrlProps/ctrlProp325.xml"/><Relationship Id="rId5" Type="http://schemas.openxmlformats.org/officeDocument/2006/relationships/ctrlProp" Target="../ctrlProps/ctrlProp324.xml"/><Relationship Id="rId4" Type="http://schemas.openxmlformats.org/officeDocument/2006/relationships/ctrlProp" Target="../ctrlProps/ctrlProp323.xml"/><Relationship Id="rId9" Type="http://schemas.openxmlformats.org/officeDocument/2006/relationships/ctrlProp" Target="../ctrlProps/ctrlProp328.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9.xml"/><Relationship Id="rId1" Type="http://schemas.openxmlformats.org/officeDocument/2006/relationships/printerSettings" Target="../printerSettings/printerSettings49.bin"/><Relationship Id="rId4" Type="http://schemas.openxmlformats.org/officeDocument/2006/relationships/comments" Target="../comments31.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4.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5.v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AU74"/>
  <sheetViews>
    <sheetView workbookViewId="0">
      <pane xSplit="6" ySplit="2" topLeftCell="S20" activePane="bottomRight" state="frozen"/>
      <selection pane="topRight"/>
      <selection pane="bottomLeft"/>
      <selection pane="bottomRight" activeCell="T32" sqref="T32"/>
    </sheetView>
  </sheetViews>
  <sheetFormatPr defaultColWidth="9" defaultRowHeight="14.25" customHeight="1"/>
  <cols>
    <col min="1" max="1" width="28.21875" style="12" customWidth="1"/>
    <col min="2" max="2" width="21.44140625" style="12" customWidth="1"/>
    <col min="3" max="3" width="16.77734375" style="12" customWidth="1"/>
    <col min="4" max="5" width="3.6640625" style="10" customWidth="1"/>
    <col min="6" max="39" width="10.6640625" style="10" customWidth="1"/>
    <col min="40" max="40" width="14.44140625" style="10" customWidth="1"/>
    <col min="41" max="41" width="14.88671875" style="10" customWidth="1"/>
    <col min="42" max="42" width="13.33203125" style="10" customWidth="1"/>
    <col min="43" max="46" width="10.6640625" style="10" customWidth="1"/>
    <col min="47" max="47" width="16.109375" style="10" bestFit="1" customWidth="1"/>
    <col min="48" max="48" width="9" style="10" customWidth="1"/>
    <col min="49" max="16384" width="9" style="10"/>
  </cols>
  <sheetData>
    <row r="1" spans="1:47" ht="63.75" customHeight="1">
      <c r="A1" s="11" t="s">
        <v>398</v>
      </c>
      <c r="B1" s="11" t="s">
        <v>2992</v>
      </c>
      <c r="C1" s="11" t="s">
        <v>400</v>
      </c>
      <c r="D1" s="1304" t="s">
        <v>2406</v>
      </c>
      <c r="E1" s="1304"/>
      <c r="F1" s="198" t="s">
        <v>2405</v>
      </c>
      <c r="G1" s="10" t="s">
        <v>3704</v>
      </c>
      <c r="H1" s="10" t="s">
        <v>2693</v>
      </c>
      <c r="I1" s="1020" t="s">
        <v>3667</v>
      </c>
      <c r="J1" s="1020" t="s">
        <v>3668</v>
      </c>
      <c r="K1" s="1020" t="s">
        <v>3463</v>
      </c>
      <c r="L1" s="1020" t="s">
        <v>3669</v>
      </c>
      <c r="M1" s="1020" t="s">
        <v>3317</v>
      </c>
      <c r="N1" s="10" t="s">
        <v>3670</v>
      </c>
      <c r="O1" s="1020" t="s">
        <v>3671</v>
      </c>
      <c r="P1" s="1020" t="s">
        <v>3672</v>
      </c>
      <c r="Q1" s="1020" t="s">
        <v>3662</v>
      </c>
      <c r="R1" s="10" t="s">
        <v>3629</v>
      </c>
      <c r="S1" s="10" t="s">
        <v>3673</v>
      </c>
      <c r="T1" s="10" t="s">
        <v>3705</v>
      </c>
      <c r="U1" s="10" t="s">
        <v>3706</v>
      </c>
      <c r="V1" s="1020" t="s">
        <v>3674</v>
      </c>
      <c r="W1" s="1020" t="s">
        <v>3675</v>
      </c>
      <c r="X1" s="1020" t="s">
        <v>3676</v>
      </c>
      <c r="Y1" s="1020" t="s">
        <v>3677</v>
      </c>
      <c r="Z1" s="10" t="s">
        <v>3697</v>
      </c>
    </row>
    <row r="2" spans="1:47" ht="14.25" customHeight="1">
      <c r="G2" s="198">
        <f t="shared" ref="G2:AU2" si="0">IF(cst__output_sheetname=G1, 1, 0)</f>
        <v>1</v>
      </c>
      <c r="H2" s="198">
        <f t="shared" si="0"/>
        <v>0</v>
      </c>
      <c r="I2" s="198">
        <f>IF(cst__output_sheetname=I1, 1, 0)</f>
        <v>0</v>
      </c>
      <c r="J2" s="198">
        <f>IF(cst__output_sheetname=J1, 1, 0)</f>
        <v>0</v>
      </c>
      <c r="K2" s="198">
        <f>IF(cst__output_sheetname=K1, 1, 0)</f>
        <v>0</v>
      </c>
      <c r="L2" s="198">
        <f>IF(cst__output_sheetname=L1, 1, 0)</f>
        <v>0</v>
      </c>
      <c r="M2" s="198">
        <f>IF(cst__output_sheetname=M1, 1, 0)</f>
        <v>0</v>
      </c>
      <c r="N2" s="198">
        <f t="shared" si="0"/>
        <v>0</v>
      </c>
      <c r="O2" s="198">
        <f t="shared" si="0"/>
        <v>0</v>
      </c>
      <c r="P2" s="198">
        <f t="shared" si="0"/>
        <v>0</v>
      </c>
      <c r="Q2" s="198">
        <f t="shared" si="0"/>
        <v>0</v>
      </c>
      <c r="R2" s="198">
        <f t="shared" si="0"/>
        <v>0</v>
      </c>
      <c r="S2" s="198">
        <f t="shared" si="0"/>
        <v>0</v>
      </c>
      <c r="T2" s="198">
        <f t="shared" si="0"/>
        <v>0</v>
      </c>
      <c r="U2" s="198">
        <f t="shared" si="0"/>
        <v>0</v>
      </c>
      <c r="V2" s="198">
        <f t="shared" si="0"/>
        <v>0</v>
      </c>
      <c r="W2" s="198">
        <f t="shared" si="0"/>
        <v>0</v>
      </c>
      <c r="X2" s="198">
        <f t="shared" si="0"/>
        <v>0</v>
      </c>
      <c r="Y2" s="198">
        <f t="shared" si="0"/>
        <v>0</v>
      </c>
      <c r="Z2" s="198">
        <f t="shared" si="0"/>
        <v>0</v>
      </c>
      <c r="AA2" s="198">
        <f t="shared" si="0"/>
        <v>0</v>
      </c>
      <c r="AB2" s="198">
        <f>IF(cst__output_sheetname=AB1, 1, 0)</f>
        <v>0</v>
      </c>
      <c r="AC2" s="198">
        <f t="shared" ref="AC2" si="1">IF(cst__output_sheetname=AC1, 1, 0)</f>
        <v>0</v>
      </c>
      <c r="AD2" s="198">
        <f>IF(cst__output_sheetname=AD1, 1, 0)</f>
        <v>0</v>
      </c>
      <c r="AE2" s="198">
        <f>IF(cst__output_sheetname=AE1, 1, 0)</f>
        <v>0</v>
      </c>
      <c r="AF2" s="198">
        <f t="shared" si="0"/>
        <v>0</v>
      </c>
      <c r="AG2" s="198">
        <f t="shared" si="0"/>
        <v>0</v>
      </c>
      <c r="AH2" s="198">
        <f t="shared" si="0"/>
        <v>0</v>
      </c>
      <c r="AI2" s="198">
        <f>IF(cst__output_sheetname=AI1, 1, 0)</f>
        <v>0</v>
      </c>
      <c r="AJ2" s="10">
        <f>IF(cst__output_sheetname=AJ1, 1, 0)</f>
        <v>0</v>
      </c>
      <c r="AK2" s="10">
        <f>IF(cst__output_sheetname=AK1, 1, 0)</f>
        <v>0</v>
      </c>
      <c r="AL2" s="10">
        <f t="shared" si="0"/>
        <v>0</v>
      </c>
      <c r="AM2" s="10">
        <f t="shared" si="0"/>
        <v>0</v>
      </c>
      <c r="AN2" s="10">
        <f t="shared" ref="AN2:AQ2" si="2">IF(cst__output_sheetname=AN1, 1, 0)</f>
        <v>0</v>
      </c>
      <c r="AO2" s="10">
        <f t="shared" si="2"/>
        <v>0</v>
      </c>
      <c r="AP2" s="10">
        <f t="shared" si="2"/>
        <v>0</v>
      </c>
      <c r="AQ2" s="198">
        <f t="shared" si="2"/>
        <v>0</v>
      </c>
      <c r="AR2" s="198">
        <f t="shared" si="0"/>
        <v>0</v>
      </c>
      <c r="AS2" s="198">
        <f t="shared" si="0"/>
        <v>0</v>
      </c>
      <c r="AT2" s="198">
        <f t="shared" si="0"/>
        <v>0</v>
      </c>
      <c r="AU2" s="198">
        <f t="shared" si="0"/>
        <v>0</v>
      </c>
    </row>
    <row r="4" spans="1:47" ht="14.25" customHeight="1">
      <c r="A4" s="12" t="s">
        <v>2422</v>
      </c>
      <c r="B4" s="12">
        <v>-2</v>
      </c>
      <c r="C4" s="12">
        <v>-2</v>
      </c>
    </row>
    <row r="5" spans="1:47" ht="14.25" customHeight="1">
      <c r="A5" s="12" t="s">
        <v>401</v>
      </c>
      <c r="B5" s="12">
        <v>-2</v>
      </c>
      <c r="C5" s="12">
        <v>-2</v>
      </c>
    </row>
    <row r="6" spans="1:47" ht="14.25" customHeight="1">
      <c r="A6" s="12" t="s">
        <v>402</v>
      </c>
      <c r="B6" s="12">
        <v>-2</v>
      </c>
      <c r="C6" s="12">
        <v>-2</v>
      </c>
    </row>
    <row r="7" spans="1:47" ht="14.25" customHeight="1">
      <c r="A7" s="12" t="s">
        <v>1222</v>
      </c>
      <c r="B7" s="12">
        <v>-2</v>
      </c>
      <c r="C7" s="12">
        <v>-2</v>
      </c>
    </row>
    <row r="8" spans="1:47" ht="14.25" customHeight="1">
      <c r="A8" s="12" t="s">
        <v>403</v>
      </c>
      <c r="B8" s="12">
        <v>-2</v>
      </c>
      <c r="C8" s="12">
        <v>-2</v>
      </c>
    </row>
    <row r="9" spans="1:47" ht="14.25" customHeight="1">
      <c r="A9" s="12" t="s">
        <v>2816</v>
      </c>
      <c r="B9" s="12">
        <v>-2</v>
      </c>
      <c r="C9" s="12">
        <v>-2</v>
      </c>
    </row>
    <row r="10" spans="1:47" ht="14.25" customHeight="1">
      <c r="A10" s="12" t="s">
        <v>3053</v>
      </c>
      <c r="B10" s="12">
        <v>1</v>
      </c>
    </row>
    <row r="11" spans="1:47" ht="14.25" customHeight="1">
      <c r="B11" s="12">
        <f t="shared" ref="B11" si="3">D11</f>
        <v>-2</v>
      </c>
      <c r="D11" s="10">
        <f>IF(F11&lt;&gt;"",IF(F11=1,IF(F11+E11=2,1,-2),F11),IF(E11=0,-2,E11))</f>
        <v>-2</v>
      </c>
      <c r="E11" s="10">
        <f t="shared" ref="E11:E53" si="4">IF(cst__output_sheetname="", 1, 0)+IF(AND(G11=1,G$2=1), 1, 0)+IF(AND(H11=1,H$2=1), 1, 0)+IF(AND(I11=1,I$2=1), 1, 0)+IF(AND(J11=1,J$2=1), 1, 0)+IF(AND(K11=1,K$2=1), 1, 0)+IF(AND(L11=1,L$2=1), 1, 0)+IF(AND(M11=1,M$2=1), 1, 0)+IF(AND(N11=1,N$2=1), 1, 0)+IF(AND(O11=1,O$2=1), 1, 0)+IF(AND(P11=1,P$2=1), 1, 0)+IF(AND(Q11=1,Q$2=1), 1, 0)+IF(AND(R11=1,R$2=1), 1, 0)+IF(AND(S11=1,S$2=1), 1, 0)+IF(AND(V11=1,V$2=1), 1, 0)+IF(AND(W11=1,W$2=1), 1, 0)+IF(AND(X11=1,X$2=1), 1, 0)+IF(AND(Y11=1,Y$2=1), 1, 0)+IF(AND(Z11=1,Z$2=1), 1, 0)+IF(AND(AA11=1,AA$2=1), 1, 0)+IF(AND(AB11=1,AB$2=1), 1, 0)+IF(AND(AC11=1,AC$2=1), 1, 0)+IF(AND(AD11=1,AD$2=1), 1, 0)+IF(AND(AE11=1,AE$2=1), 1, 0)+IF(AND(AF11=1,AF$2=1), 1, 0)+IF(AND(AG11=1,AG$2=1), 1, 0)+IF(AND(AH11=1,AH$2=1), 1, 0)+IF(AND(AI11=1,AI$2=1), 1, 0)+IF(AND(AJ11=1,AJ$2=1), 1, 0)+IF(AND(AK11=1,AK$2=1), 1, 0)+IF(AND(AL11=1,AL$2=1), 1, 0)+IF(AND(AM11=1,AM$2=1), 1, 0)+IF(AND(AN11=1,AN$2=1), 1, 0)+IF(AND(AO11=1,AO$2=1), 1, 0)+IF(AND(AP11=1,AP$2=1), 1, 0)+IF(AND(AQ11=1,AQ$2=1), 1, 0)+IF(AND(AR11=1,AR$2=1), 1, 0)+IF(AND(AS11=1,AS$2=1), 1, 0)+IF(AND(AT11=1,AT$2=1), 1, 0)+IF(AND(AU11=1,AU$2=1), 1, 0)+IF(AND(T11=1,T$2=1), 1, 0)+IF(AND(U11=1,U$2=1), 1, 0)</f>
        <v>0</v>
      </c>
    </row>
    <row r="12" spans="1:47" ht="14.25" customHeight="1">
      <c r="A12" s="12" t="s">
        <v>506</v>
      </c>
      <c r="B12" s="12">
        <f t="shared" ref="B12:B13" si="5">D12</f>
        <v>-2</v>
      </c>
      <c r="D12" s="10">
        <f t="shared" ref="D12:D13" si="6">IF(F12&lt;&gt;"",IF(F12=1,IF(F12+E12=2,1,-2),F12),IF(E12=0,-2,E12))</f>
        <v>-2</v>
      </c>
      <c r="E12" s="10">
        <f t="shared" si="4"/>
        <v>0</v>
      </c>
      <c r="F12" s="199">
        <v>-2</v>
      </c>
    </row>
    <row r="13" spans="1:47" ht="14.25" customHeight="1">
      <c r="A13" s="12" t="s">
        <v>507</v>
      </c>
      <c r="B13" s="12">
        <f t="shared" si="5"/>
        <v>-2</v>
      </c>
      <c r="D13" s="10">
        <f t="shared" si="6"/>
        <v>-2</v>
      </c>
      <c r="E13" s="10">
        <f t="shared" si="4"/>
        <v>0</v>
      </c>
      <c r="F13" s="199">
        <v>-2</v>
      </c>
    </row>
    <row r="14" spans="1:47" ht="14.25" customHeight="1">
      <c r="B14" s="12">
        <f>D14</f>
        <v>-2</v>
      </c>
      <c r="D14" s="10">
        <f>IF(F14&lt;&gt;"",IF(F14=1,IF(F14+E14=2,1,-2),F14),IF(E14=0,-2,E14))</f>
        <v>-2</v>
      </c>
      <c r="E14" s="10">
        <f t="shared" si="4"/>
        <v>0</v>
      </c>
    </row>
    <row r="15" spans="1:47" ht="14.25" customHeight="1">
      <c r="A15" s="12" t="s">
        <v>3198</v>
      </c>
      <c r="B15" s="12">
        <f t="shared" ref="B15:B70" si="7">D15</f>
        <v>-2</v>
      </c>
      <c r="D15" s="10">
        <f t="shared" ref="D15:D70" si="8">IF(F15&lt;&gt;"",IF(F15=1,IF(F15+E15=2,1,-2),F15),IF(E15=0,-2,E15))</f>
        <v>-2</v>
      </c>
      <c r="E15" s="10">
        <f t="shared" si="4"/>
        <v>0</v>
      </c>
      <c r="H15" s="10">
        <v>1</v>
      </c>
    </row>
    <row r="16" spans="1:47" ht="14.25" customHeight="1">
      <c r="A16" s="12" t="s">
        <v>3242</v>
      </c>
      <c r="B16" s="12">
        <f t="shared" ref="B16:B17" si="9">D16</f>
        <v>-2</v>
      </c>
      <c r="D16" s="10">
        <f t="shared" ref="D16:D17" si="10">IF(F16&lt;&gt;"",IF(F16=1,IF(F16+E16=2,1,-2),F16),IF(E16=0,-2,E16))</f>
        <v>-2</v>
      </c>
      <c r="E16" s="10">
        <f t="shared" si="4"/>
        <v>0</v>
      </c>
      <c r="H16" s="10">
        <v>1</v>
      </c>
    </row>
    <row r="17" spans="1:20" ht="14.25" customHeight="1">
      <c r="A17" s="12" t="s">
        <v>3241</v>
      </c>
      <c r="B17" s="12">
        <f t="shared" si="9"/>
        <v>-2</v>
      </c>
      <c r="D17" s="10">
        <f t="shared" si="10"/>
        <v>-2</v>
      </c>
      <c r="E17" s="10">
        <f t="shared" si="4"/>
        <v>0</v>
      </c>
      <c r="H17" s="10">
        <v>1</v>
      </c>
    </row>
    <row r="18" spans="1:20" ht="14.25" customHeight="1">
      <c r="A18" s="12" t="s">
        <v>3247</v>
      </c>
      <c r="B18" s="12">
        <f>D18</f>
        <v>-2</v>
      </c>
      <c r="D18" s="10">
        <f>IF(F18&lt;&gt;"",IF(F18=1,IF(F18+E18=2,1,-2),F18),IF(E18=0,-2,E18))</f>
        <v>-2</v>
      </c>
      <c r="E18" s="10">
        <f t="shared" si="4"/>
        <v>0</v>
      </c>
      <c r="H18" s="10">
        <v>1</v>
      </c>
    </row>
    <row r="19" spans="1:20" ht="14.25" customHeight="1">
      <c r="B19" s="12">
        <f t="shared" ref="B19:B67" si="11">D19</f>
        <v>-2</v>
      </c>
      <c r="D19" s="10">
        <f t="shared" ref="D19:D67" si="12">IF(F19&lt;&gt;"",IF(F19=1,IF(F19+E19=2,1,-2),F19),IF(E19=0,-2,E19))</f>
        <v>-2</v>
      </c>
      <c r="E19" s="10">
        <f t="shared" si="4"/>
        <v>0</v>
      </c>
    </row>
    <row r="20" spans="1:20" ht="14.25" customHeight="1">
      <c r="A20" s="12" t="s">
        <v>3667</v>
      </c>
      <c r="B20" s="12">
        <f t="shared" ref="B20:B64" si="13">D20</f>
        <v>-2</v>
      </c>
      <c r="D20" s="10">
        <f t="shared" si="12"/>
        <v>-2</v>
      </c>
      <c r="E20" s="10">
        <f t="shared" si="4"/>
        <v>0</v>
      </c>
      <c r="I20" s="10">
        <v>1</v>
      </c>
    </row>
    <row r="21" spans="1:20" ht="14.25" customHeight="1">
      <c r="A21" s="12" t="s">
        <v>3668</v>
      </c>
      <c r="B21" s="12">
        <f t="shared" si="13"/>
        <v>-2</v>
      </c>
      <c r="D21" s="10">
        <f t="shared" si="12"/>
        <v>-2</v>
      </c>
      <c r="E21" s="10">
        <f t="shared" si="4"/>
        <v>0</v>
      </c>
      <c r="J21" s="10">
        <v>1</v>
      </c>
    </row>
    <row r="22" spans="1:20" ht="14.25" customHeight="1">
      <c r="B22" s="12">
        <f t="shared" si="13"/>
        <v>-2</v>
      </c>
      <c r="D22" s="10">
        <f t="shared" si="12"/>
        <v>-2</v>
      </c>
      <c r="E22" s="10">
        <f t="shared" si="4"/>
        <v>0</v>
      </c>
    </row>
    <row r="23" spans="1:20" ht="14.25" customHeight="1">
      <c r="A23" s="12" t="s">
        <v>3678</v>
      </c>
      <c r="B23" s="12">
        <f t="shared" si="13"/>
        <v>-2</v>
      </c>
      <c r="D23" s="10">
        <f t="shared" ref="D23:D45" si="14">IF(F23&lt;&gt;"",IF(F23=1,IF(F23+E23=2,1,-2),F23),IF(E23=0,-2,E23))</f>
        <v>-2</v>
      </c>
      <c r="E23" s="10">
        <f t="shared" si="4"/>
        <v>0</v>
      </c>
      <c r="K23" s="10">
        <v>1</v>
      </c>
    </row>
    <row r="24" spans="1:20" ht="14.25" customHeight="1">
      <c r="A24" s="12" t="s">
        <v>3679</v>
      </c>
      <c r="B24" s="12">
        <f t="shared" si="13"/>
        <v>-2</v>
      </c>
      <c r="D24" s="10">
        <f t="shared" si="14"/>
        <v>-2</v>
      </c>
      <c r="E24" s="10">
        <f t="shared" si="4"/>
        <v>0</v>
      </c>
      <c r="L24" s="10">
        <v>1</v>
      </c>
    </row>
    <row r="25" spans="1:20" ht="14.25" customHeight="1">
      <c r="A25" s="12" t="s">
        <v>3682</v>
      </c>
      <c r="B25" s="12">
        <f t="shared" si="13"/>
        <v>-2</v>
      </c>
      <c r="D25" s="10">
        <f>IF(F25&lt;&gt;"",IF(F25=1,IF(F25+E25=2,1,-2),F25),IF(E25=0,-2,E25))</f>
        <v>-2</v>
      </c>
      <c r="E25" s="10">
        <f t="shared" si="4"/>
        <v>0</v>
      </c>
      <c r="K25" s="10">
        <v>1</v>
      </c>
      <c r="L25" s="10">
        <v>1</v>
      </c>
    </row>
    <row r="26" spans="1:20" ht="14.25" customHeight="1">
      <c r="A26" s="12" t="s">
        <v>3683</v>
      </c>
      <c r="B26" s="12">
        <f t="shared" si="13"/>
        <v>-2</v>
      </c>
      <c r="D26" s="10">
        <f>IF(F26&lt;&gt;"",IF(F26=1,IF(F26+E26=2,1,-2),F26),IF(E26=0,-2,E26))</f>
        <v>-2</v>
      </c>
      <c r="E26" s="10">
        <f t="shared" si="4"/>
        <v>0</v>
      </c>
      <c r="K26" s="10">
        <v>1</v>
      </c>
      <c r="L26" s="10">
        <v>1</v>
      </c>
    </row>
    <row r="27" spans="1:20" ht="14.25" customHeight="1">
      <c r="A27" s="12" t="s">
        <v>3680</v>
      </c>
      <c r="B27" s="12">
        <f t="shared" si="13"/>
        <v>-2</v>
      </c>
      <c r="D27" s="10">
        <f t="shared" si="14"/>
        <v>-2</v>
      </c>
      <c r="E27" s="10">
        <f t="shared" si="4"/>
        <v>0</v>
      </c>
      <c r="K27" s="10">
        <v>1</v>
      </c>
      <c r="L27" s="10">
        <v>1</v>
      </c>
    </row>
    <row r="28" spans="1:20" ht="14.25" customHeight="1">
      <c r="A28" s="12" t="s">
        <v>3684</v>
      </c>
      <c r="B28" s="12">
        <f t="shared" si="13"/>
        <v>-2</v>
      </c>
      <c r="D28" s="10">
        <f>IF(F28&lt;&gt;"",IF(F28=1,IF(F28+E28=2,1,-2),F28),IF(E28=0,-2,E28))</f>
        <v>-2</v>
      </c>
      <c r="E28" s="10">
        <f t="shared" si="4"/>
        <v>0</v>
      </c>
      <c r="K28" s="10">
        <v>1</v>
      </c>
      <c r="L28" s="10">
        <v>1</v>
      </c>
    </row>
    <row r="29" spans="1:20" ht="14.25" customHeight="1">
      <c r="A29" s="12" t="s">
        <v>3681</v>
      </c>
      <c r="B29" s="12">
        <f t="shared" si="13"/>
        <v>-2</v>
      </c>
      <c r="D29" s="10">
        <f t="shared" si="14"/>
        <v>-2</v>
      </c>
      <c r="E29" s="10">
        <f t="shared" si="4"/>
        <v>0</v>
      </c>
      <c r="K29" s="10">
        <v>1</v>
      </c>
      <c r="L29" s="10">
        <v>1</v>
      </c>
    </row>
    <row r="30" spans="1:20" ht="14.25" customHeight="1">
      <c r="B30" s="12">
        <f t="shared" si="13"/>
        <v>-2</v>
      </c>
      <c r="D30" s="10">
        <f t="shared" ref="D30:D31" si="15">IF(F30&lt;&gt;"",IF(F30=1,IF(F30+E30=2,1,-2),F30),IF(E30=0,-2,E30))</f>
        <v>-2</v>
      </c>
      <c r="E30" s="10">
        <f t="shared" ref="E30:E31" si="16">IF(cst__output_sheetname="", 1, 0)+IF(AND(G30=1,G$2=1), 1, 0)+IF(AND(H30=1,H$2=1), 1, 0)+IF(AND(I30=1,I$2=1), 1, 0)+IF(AND(J30=1,J$2=1), 1, 0)+IF(AND(K30=1,K$2=1), 1, 0)+IF(AND(L30=1,L$2=1), 1, 0)+IF(AND(M30=1,M$2=1), 1, 0)+IF(AND(N30=1,N$2=1), 1, 0)+IF(AND(O30=1,O$2=1), 1, 0)+IF(AND(P30=1,P$2=1), 1, 0)+IF(AND(Q30=1,Q$2=1), 1, 0)+IF(AND(R30=1,R$2=1), 1, 0)+IF(AND(S30=1,S$2=1), 1, 0)+IF(AND(V30=1,V$2=1), 1, 0)+IF(AND(W30=1,W$2=1), 1, 0)+IF(AND(X30=1,X$2=1), 1, 0)+IF(AND(Y30=1,Y$2=1), 1, 0)+IF(AND(Z30=1,Z$2=1), 1, 0)+IF(AND(AA30=1,AA$2=1), 1, 0)+IF(AND(AB30=1,AB$2=1), 1, 0)+IF(AND(AC30=1,AC$2=1), 1, 0)+IF(AND(AD30=1,AD$2=1), 1, 0)+IF(AND(AE30=1,AE$2=1), 1, 0)+IF(AND(AF30=1,AF$2=1), 1, 0)+IF(AND(AG30=1,AG$2=1), 1, 0)+IF(AND(AH30=1,AH$2=1), 1, 0)+IF(AND(AI30=1,AI$2=1), 1, 0)+IF(AND(AJ30=1,AJ$2=1), 1, 0)+IF(AND(AK30=1,AK$2=1), 1, 0)+IF(AND(AL30=1,AL$2=1), 1, 0)+IF(AND(AM30=1,AM$2=1), 1, 0)+IF(AND(AN30=1,AN$2=1), 1, 0)+IF(AND(AO30=1,AO$2=1), 1, 0)+IF(AND(AP30=1,AP$2=1), 1, 0)+IF(AND(AQ30=1,AQ$2=1), 1, 0)+IF(AND(AR30=1,AR$2=1), 1, 0)+IF(AND(AS30=1,AS$2=1), 1, 0)+IF(AND(AT30=1,AT$2=1), 1, 0)+IF(AND(AU30=1,AU$2=1), 1, 0)+IF(AND(T30=1,T$2=1), 1, 0)+IF(AND(U30=1,U$2=1), 1, 0)</f>
        <v>0</v>
      </c>
    </row>
    <row r="31" spans="1:20" ht="14.25" customHeight="1">
      <c r="A31" s="12" t="s">
        <v>4118</v>
      </c>
      <c r="B31" s="12">
        <f t="shared" si="13"/>
        <v>-2</v>
      </c>
      <c r="D31" s="10">
        <f t="shared" si="15"/>
        <v>-2</v>
      </c>
      <c r="E31" s="10">
        <f t="shared" si="16"/>
        <v>0</v>
      </c>
      <c r="T31" s="10">
        <v>1</v>
      </c>
    </row>
    <row r="32" spans="1:20" ht="14.25" customHeight="1">
      <c r="A32" s="12" t="s">
        <v>4119</v>
      </c>
      <c r="B32" s="12">
        <f t="shared" si="13"/>
        <v>-2</v>
      </c>
      <c r="D32" s="10">
        <f t="shared" ref="D32:D36" si="17">IF(F32&lt;&gt;"",IF(F32=1,IF(F32+E32=2,1,-2),F32),IF(E32=0,-2,E32))</f>
        <v>-2</v>
      </c>
      <c r="E32" s="10">
        <f t="shared" ref="E32:E36" si="18">IF(cst__output_sheetname="", 1, 0)+IF(AND(G32=1,G$2=1), 1, 0)+IF(AND(H32=1,H$2=1), 1, 0)+IF(AND(I32=1,I$2=1), 1, 0)+IF(AND(J32=1,J$2=1), 1, 0)+IF(AND(K32=1,K$2=1), 1, 0)+IF(AND(L32=1,L$2=1), 1, 0)+IF(AND(M32=1,M$2=1), 1, 0)+IF(AND(N32=1,N$2=1), 1, 0)+IF(AND(O32=1,O$2=1), 1, 0)+IF(AND(P32=1,P$2=1), 1, 0)+IF(AND(Q32=1,Q$2=1), 1, 0)+IF(AND(R32=1,R$2=1), 1, 0)+IF(AND(S32=1,S$2=1), 1, 0)+IF(AND(V32=1,V$2=1), 1, 0)+IF(AND(W32=1,W$2=1), 1, 0)+IF(AND(X32=1,X$2=1), 1, 0)+IF(AND(Y32=1,Y$2=1), 1, 0)+IF(AND(Z32=1,Z$2=1), 1, 0)+IF(AND(AA32=1,AA$2=1), 1, 0)+IF(AND(AB32=1,AB$2=1), 1, 0)+IF(AND(AC32=1,AC$2=1), 1, 0)+IF(AND(AD32=1,AD$2=1), 1, 0)+IF(AND(AE32=1,AE$2=1), 1, 0)+IF(AND(AF32=1,AF$2=1), 1, 0)+IF(AND(AG32=1,AG$2=1), 1, 0)+IF(AND(AH32=1,AH$2=1), 1, 0)+IF(AND(AI32=1,AI$2=1), 1, 0)+IF(AND(AJ32=1,AJ$2=1), 1, 0)+IF(AND(AK32=1,AK$2=1), 1, 0)+IF(AND(AL32=1,AL$2=1), 1, 0)+IF(AND(AM32=1,AM$2=1), 1, 0)+IF(AND(AN32=1,AN$2=1), 1, 0)+IF(AND(AO32=1,AO$2=1), 1, 0)+IF(AND(AP32=1,AP$2=1), 1, 0)+IF(AND(AQ32=1,AQ$2=1), 1, 0)+IF(AND(AR32=1,AR$2=1), 1, 0)+IF(AND(AS32=1,AS$2=1), 1, 0)+IF(AND(AT32=1,AT$2=1), 1, 0)+IF(AND(AU32=1,AU$2=1), 1, 0)+IF(AND(T32=1,T$2=1), 1, 0)+IF(AND(U32=1,U$2=1), 1, 0)</f>
        <v>0</v>
      </c>
      <c r="T32" s="10">
        <v>1</v>
      </c>
    </row>
    <row r="33" spans="1:21" ht="14.25" customHeight="1">
      <c r="A33" s="12" t="s">
        <v>4120</v>
      </c>
      <c r="B33" s="12">
        <f t="shared" si="13"/>
        <v>-2</v>
      </c>
      <c r="D33" s="10">
        <f t="shared" si="17"/>
        <v>-2</v>
      </c>
      <c r="E33" s="10">
        <f t="shared" si="18"/>
        <v>0</v>
      </c>
      <c r="T33" s="10">
        <v>1</v>
      </c>
    </row>
    <row r="34" spans="1:21" ht="14.25" customHeight="1">
      <c r="A34" s="12" t="s">
        <v>4121</v>
      </c>
      <c r="B34" s="12">
        <f t="shared" ref="B34:B36" si="19">D34</f>
        <v>-2</v>
      </c>
      <c r="D34" s="10">
        <f t="shared" si="17"/>
        <v>-2</v>
      </c>
      <c r="E34" s="10">
        <f t="shared" si="18"/>
        <v>0</v>
      </c>
      <c r="T34" s="10">
        <v>1</v>
      </c>
    </row>
    <row r="35" spans="1:21" ht="14.25" customHeight="1">
      <c r="A35" s="12" t="s">
        <v>4122</v>
      </c>
      <c r="B35" s="12">
        <f t="shared" si="19"/>
        <v>-2</v>
      </c>
      <c r="D35" s="10">
        <f t="shared" si="17"/>
        <v>-2</v>
      </c>
      <c r="E35" s="10">
        <f t="shared" si="18"/>
        <v>0</v>
      </c>
      <c r="T35" s="10">
        <v>1</v>
      </c>
    </row>
    <row r="36" spans="1:21" ht="14.25" customHeight="1">
      <c r="A36" s="12" t="s">
        <v>4123</v>
      </c>
      <c r="B36" s="12">
        <f t="shared" si="19"/>
        <v>-2</v>
      </c>
      <c r="D36" s="10">
        <f t="shared" si="17"/>
        <v>-2</v>
      </c>
      <c r="E36" s="10">
        <f t="shared" si="18"/>
        <v>0</v>
      </c>
      <c r="T36" s="10">
        <v>1</v>
      </c>
    </row>
    <row r="37" spans="1:21" ht="14.25" customHeight="1">
      <c r="A37" s="12" t="s">
        <v>4124</v>
      </c>
      <c r="B37" s="12">
        <f t="shared" ref="B37:B41" si="20">D37</f>
        <v>-2</v>
      </c>
      <c r="D37" s="10">
        <f t="shared" ref="D37:D41" si="21">IF(F37&lt;&gt;"",IF(F37=1,IF(F37+E37=2,1,-2),F37),IF(E37=0,-2,E37))</f>
        <v>-2</v>
      </c>
      <c r="E37" s="10">
        <f t="shared" ref="E37:E41" si="22">IF(cst__output_sheetname="", 1, 0)+IF(AND(G37=1,G$2=1), 1, 0)+IF(AND(H37=1,H$2=1), 1, 0)+IF(AND(I37=1,I$2=1), 1, 0)+IF(AND(J37=1,J$2=1), 1, 0)+IF(AND(K37=1,K$2=1), 1, 0)+IF(AND(L37=1,L$2=1), 1, 0)+IF(AND(M37=1,M$2=1), 1, 0)+IF(AND(N37=1,N$2=1), 1, 0)+IF(AND(O37=1,O$2=1), 1, 0)+IF(AND(P37=1,P$2=1), 1, 0)+IF(AND(Q37=1,Q$2=1), 1, 0)+IF(AND(R37=1,R$2=1), 1, 0)+IF(AND(S37=1,S$2=1), 1, 0)+IF(AND(V37=1,V$2=1), 1, 0)+IF(AND(W37=1,W$2=1), 1, 0)+IF(AND(X37=1,X$2=1), 1, 0)+IF(AND(Y37=1,Y$2=1), 1, 0)+IF(AND(Z37=1,Z$2=1), 1, 0)+IF(AND(AA37=1,AA$2=1), 1, 0)+IF(AND(AB37=1,AB$2=1), 1, 0)+IF(AND(AC37=1,AC$2=1), 1, 0)+IF(AND(AD37=1,AD$2=1), 1, 0)+IF(AND(AE37=1,AE$2=1), 1, 0)+IF(AND(AF37=1,AF$2=1), 1, 0)+IF(AND(AG37=1,AG$2=1), 1, 0)+IF(AND(AH37=1,AH$2=1), 1, 0)+IF(AND(AI37=1,AI$2=1), 1, 0)+IF(AND(AJ37=1,AJ$2=1), 1, 0)+IF(AND(AK37=1,AK$2=1), 1, 0)+IF(AND(AL37=1,AL$2=1), 1, 0)+IF(AND(AM37=1,AM$2=1), 1, 0)+IF(AND(AN37=1,AN$2=1), 1, 0)+IF(AND(AO37=1,AO$2=1), 1, 0)+IF(AND(AP37=1,AP$2=1), 1, 0)+IF(AND(AQ37=1,AQ$2=1), 1, 0)+IF(AND(AR37=1,AR$2=1), 1, 0)+IF(AND(AS37=1,AS$2=1), 1, 0)+IF(AND(AT37=1,AT$2=1), 1, 0)+IF(AND(AU37=1,AU$2=1), 1, 0)+IF(AND(T37=1,T$2=1), 1, 0)+IF(AND(U37=1,U$2=1), 1, 0)</f>
        <v>0</v>
      </c>
      <c r="T37" s="10">
        <v>1</v>
      </c>
    </row>
    <row r="38" spans="1:21" ht="14.25" customHeight="1">
      <c r="A38" s="12" t="s">
        <v>4125</v>
      </c>
      <c r="B38" s="12">
        <f t="shared" si="20"/>
        <v>-2</v>
      </c>
      <c r="D38" s="10">
        <f t="shared" si="21"/>
        <v>-2</v>
      </c>
      <c r="E38" s="10">
        <f t="shared" si="22"/>
        <v>0</v>
      </c>
      <c r="U38" s="10">
        <v>1</v>
      </c>
    </row>
    <row r="39" spans="1:21" ht="14.25" customHeight="1">
      <c r="A39" s="12" t="s">
        <v>4126</v>
      </c>
      <c r="B39" s="12">
        <f t="shared" si="20"/>
        <v>-2</v>
      </c>
      <c r="D39" s="10">
        <f t="shared" si="21"/>
        <v>-2</v>
      </c>
      <c r="E39" s="10">
        <f t="shared" si="22"/>
        <v>0</v>
      </c>
      <c r="U39" s="10">
        <v>1</v>
      </c>
    </row>
    <row r="40" spans="1:21" ht="14.25" customHeight="1">
      <c r="A40" s="12" t="s">
        <v>4127</v>
      </c>
      <c r="B40" s="12">
        <f t="shared" si="20"/>
        <v>-2</v>
      </c>
      <c r="D40" s="10">
        <f t="shared" si="21"/>
        <v>-2</v>
      </c>
      <c r="E40" s="10">
        <f t="shared" si="22"/>
        <v>0</v>
      </c>
      <c r="U40" s="10">
        <v>1</v>
      </c>
    </row>
    <row r="41" spans="1:21" ht="14.25" customHeight="1">
      <c r="B41" s="12">
        <f t="shared" si="20"/>
        <v>-2</v>
      </c>
      <c r="D41" s="10">
        <f t="shared" si="21"/>
        <v>-2</v>
      </c>
      <c r="E41" s="10">
        <f t="shared" si="22"/>
        <v>0</v>
      </c>
    </row>
    <row r="42" spans="1:21" ht="14.25" customHeight="1">
      <c r="A42" s="12" t="s">
        <v>3572</v>
      </c>
      <c r="B42" s="12">
        <f t="shared" si="13"/>
        <v>-2</v>
      </c>
      <c r="D42" s="10">
        <f t="shared" si="14"/>
        <v>-2</v>
      </c>
      <c r="E42" s="10">
        <f t="shared" si="4"/>
        <v>0</v>
      </c>
      <c r="N42" s="10">
        <v>1</v>
      </c>
    </row>
    <row r="43" spans="1:21" ht="14.25" customHeight="1">
      <c r="A43" s="12" t="s">
        <v>3671</v>
      </c>
      <c r="B43" s="12">
        <f t="shared" si="13"/>
        <v>-2</v>
      </c>
      <c r="D43" s="10">
        <f t="shared" si="14"/>
        <v>-2</v>
      </c>
      <c r="E43" s="10">
        <f t="shared" si="4"/>
        <v>0</v>
      </c>
      <c r="O43" s="10">
        <v>1</v>
      </c>
    </row>
    <row r="44" spans="1:21" ht="14.25" customHeight="1">
      <c r="A44" s="12" t="s">
        <v>3672</v>
      </c>
      <c r="B44" s="12">
        <f t="shared" si="13"/>
        <v>-2</v>
      </c>
      <c r="D44" s="10">
        <f t="shared" si="14"/>
        <v>-2</v>
      </c>
      <c r="E44" s="10">
        <f t="shared" si="4"/>
        <v>0</v>
      </c>
      <c r="P44" s="10">
        <v>1</v>
      </c>
    </row>
    <row r="45" spans="1:21" ht="14.25" customHeight="1">
      <c r="A45" s="12" t="s">
        <v>3685</v>
      </c>
      <c r="B45" s="12">
        <f t="shared" si="13"/>
        <v>-2</v>
      </c>
      <c r="D45" s="10">
        <f t="shared" si="14"/>
        <v>-2</v>
      </c>
      <c r="E45" s="10">
        <f t="shared" si="4"/>
        <v>0</v>
      </c>
      <c r="R45" s="10">
        <v>1</v>
      </c>
    </row>
    <row r="46" spans="1:21" ht="14.25" customHeight="1">
      <c r="A46" s="12" t="s">
        <v>3317</v>
      </c>
      <c r="B46" s="12">
        <f t="shared" si="13"/>
        <v>-2</v>
      </c>
      <c r="D46" s="10">
        <f>IF(F46&lt;&gt;"",IF(F46=1,IF(F46+E46=2,1,-2),F46),IF(E46=0,-2,E46))</f>
        <v>-2</v>
      </c>
      <c r="E46" s="10">
        <f t="shared" si="4"/>
        <v>0</v>
      </c>
      <c r="M46" s="10">
        <v>1</v>
      </c>
    </row>
    <row r="47" spans="1:21" ht="14.25" customHeight="1">
      <c r="A47" s="12" t="s">
        <v>3686</v>
      </c>
      <c r="B47" s="12">
        <f t="shared" si="13"/>
        <v>-2</v>
      </c>
      <c r="D47" s="10">
        <f t="shared" si="12"/>
        <v>-2</v>
      </c>
      <c r="E47" s="10">
        <f t="shared" si="4"/>
        <v>0</v>
      </c>
      <c r="M47" s="10">
        <v>1</v>
      </c>
      <c r="N47" s="10">
        <v>1</v>
      </c>
      <c r="O47" s="10">
        <v>1</v>
      </c>
      <c r="P47" s="10">
        <v>1</v>
      </c>
      <c r="R47" s="10">
        <v>1</v>
      </c>
    </row>
    <row r="48" spans="1:21" ht="14.25" customHeight="1">
      <c r="A48" s="12" t="s">
        <v>3687</v>
      </c>
      <c r="B48" s="12">
        <f t="shared" si="13"/>
        <v>-2</v>
      </c>
      <c r="D48" s="10">
        <f t="shared" si="12"/>
        <v>-2</v>
      </c>
      <c r="E48" s="10">
        <f t="shared" si="4"/>
        <v>0</v>
      </c>
      <c r="N48" s="10">
        <v>1</v>
      </c>
    </row>
    <row r="49" spans="1:26" ht="14.25" customHeight="1">
      <c r="A49" s="12" t="s">
        <v>3688</v>
      </c>
      <c r="B49" s="12">
        <f t="shared" si="13"/>
        <v>-2</v>
      </c>
      <c r="D49" s="10">
        <f t="shared" si="12"/>
        <v>-2</v>
      </c>
      <c r="E49" s="10">
        <f t="shared" si="4"/>
        <v>0</v>
      </c>
      <c r="N49" s="10">
        <v>1</v>
      </c>
    </row>
    <row r="50" spans="1:26" ht="14.25" customHeight="1">
      <c r="A50" s="12" t="s">
        <v>3689</v>
      </c>
      <c r="B50" s="12">
        <f t="shared" si="13"/>
        <v>-2</v>
      </c>
      <c r="D50" s="10">
        <f t="shared" si="12"/>
        <v>-2</v>
      </c>
      <c r="E50" s="10">
        <f t="shared" si="4"/>
        <v>0</v>
      </c>
      <c r="O50" s="10">
        <v>1</v>
      </c>
    </row>
    <row r="51" spans="1:26" ht="14.25" customHeight="1">
      <c r="A51" s="12" t="s">
        <v>3690</v>
      </c>
      <c r="B51" s="12">
        <f t="shared" si="13"/>
        <v>-2</v>
      </c>
      <c r="D51" s="10">
        <f t="shared" ref="D51:D58" si="23">IF(F51&lt;&gt;"",IF(F51=1,IF(F51+E51=2,1,-2),F51),IF(E51=0,-2,E51))</f>
        <v>-2</v>
      </c>
      <c r="E51" s="10">
        <f t="shared" si="4"/>
        <v>0</v>
      </c>
      <c r="M51" s="10">
        <v>1</v>
      </c>
    </row>
    <row r="52" spans="1:26" ht="14.25" customHeight="1">
      <c r="A52" s="12" t="s">
        <v>3662</v>
      </c>
      <c r="B52" s="12">
        <f t="shared" si="13"/>
        <v>-2</v>
      </c>
      <c r="D52" s="10">
        <f t="shared" si="23"/>
        <v>-2</v>
      </c>
      <c r="E52" s="10">
        <f t="shared" si="4"/>
        <v>0</v>
      </c>
      <c r="Q52" s="10">
        <v>1</v>
      </c>
    </row>
    <row r="53" spans="1:26" ht="14.25" customHeight="1">
      <c r="A53" s="12" t="s">
        <v>3691</v>
      </c>
      <c r="B53" s="12">
        <f t="shared" si="13"/>
        <v>-2</v>
      </c>
      <c r="D53" s="10">
        <f t="shared" ref="D53:D55" si="24">IF(F53&lt;&gt;"",IF(F53=1,IF(F53+E53=2,1,-2),F53),IF(E53=0,-2,E53))</f>
        <v>-2</v>
      </c>
      <c r="E53" s="10">
        <f t="shared" si="4"/>
        <v>0</v>
      </c>
      <c r="Q53" s="10">
        <v>1</v>
      </c>
    </row>
    <row r="54" spans="1:26" ht="14.25" customHeight="1">
      <c r="A54" s="12" t="s">
        <v>3704</v>
      </c>
      <c r="B54" s="12">
        <f t="shared" si="13"/>
        <v>1</v>
      </c>
      <c r="D54" s="10">
        <f t="shared" si="24"/>
        <v>1</v>
      </c>
      <c r="E54" s="10">
        <f t="shared" ref="E54:E70" si="25">IF(cst__output_sheetname="", 1, 0)+IF(AND(G54=1,G$2=1), 1, 0)+IF(AND(H54=1,H$2=1), 1, 0)+IF(AND(I54=1,I$2=1), 1, 0)+IF(AND(J54=1,J$2=1), 1, 0)+IF(AND(K54=1,K$2=1), 1, 0)+IF(AND(L54=1,L$2=1), 1, 0)+IF(AND(M54=1,M$2=1), 1, 0)+IF(AND(N54=1,N$2=1), 1, 0)+IF(AND(O54=1,O$2=1), 1, 0)+IF(AND(P54=1,P$2=1), 1, 0)+IF(AND(Q54=1,Q$2=1), 1, 0)+IF(AND(R54=1,R$2=1), 1, 0)+IF(AND(S54=1,S$2=1), 1, 0)+IF(AND(V54=1,V$2=1), 1, 0)+IF(AND(W54=1,W$2=1), 1, 0)+IF(AND(X54=1,X$2=1), 1, 0)+IF(AND(Y54=1,Y$2=1), 1, 0)+IF(AND(Z54=1,Z$2=1), 1, 0)+IF(AND(AA54=1,AA$2=1), 1, 0)+IF(AND(AB54=1,AB$2=1), 1, 0)+IF(AND(AC54=1,AC$2=1), 1, 0)+IF(AND(AD54=1,AD$2=1), 1, 0)+IF(AND(AE54=1,AE$2=1), 1, 0)+IF(AND(AF54=1,AF$2=1), 1, 0)+IF(AND(AG54=1,AG$2=1), 1, 0)+IF(AND(AH54=1,AH$2=1), 1, 0)+IF(AND(AI54=1,AI$2=1), 1, 0)+IF(AND(AJ54=1,AJ$2=1), 1, 0)+IF(AND(AK54=1,AK$2=1), 1, 0)+IF(AND(AL54=1,AL$2=1), 1, 0)+IF(AND(AM54=1,AM$2=1), 1, 0)+IF(AND(AN54=1,AN$2=1), 1, 0)+IF(AND(AO54=1,AO$2=1), 1, 0)+IF(AND(AP54=1,AP$2=1), 1, 0)+IF(AND(AQ54=1,AQ$2=1), 1, 0)+IF(AND(AR54=1,AR$2=1), 1, 0)+IF(AND(AS54=1,AS$2=1), 1, 0)+IF(AND(AT54=1,AT$2=1), 1, 0)+IF(AND(AU54=1,AU$2=1), 1, 0)+IF(AND(T54=1,T$2=1), 1, 0)+IF(AND(U54=1,U$2=1), 1, 0)</f>
        <v>1</v>
      </c>
      <c r="G54" s="10">
        <v>1</v>
      </c>
    </row>
    <row r="55" spans="1:26" ht="14.25" customHeight="1">
      <c r="A55" s="12" t="s">
        <v>3698</v>
      </c>
      <c r="B55" s="12">
        <f t="shared" si="13"/>
        <v>-2</v>
      </c>
      <c r="D55" s="10">
        <f t="shared" si="24"/>
        <v>-2</v>
      </c>
      <c r="E55" s="10">
        <f t="shared" si="25"/>
        <v>0</v>
      </c>
      <c r="R55" s="10">
        <v>1</v>
      </c>
      <c r="S55" s="10">
        <v>1</v>
      </c>
    </row>
    <row r="56" spans="1:26" ht="14.25" customHeight="1">
      <c r="A56" s="12" t="s">
        <v>3699</v>
      </c>
      <c r="B56" s="12">
        <f t="shared" si="13"/>
        <v>-2</v>
      </c>
      <c r="D56" s="10">
        <f t="shared" si="23"/>
        <v>-2</v>
      </c>
      <c r="E56" s="10">
        <f t="shared" si="25"/>
        <v>0</v>
      </c>
      <c r="R56" s="10">
        <v>1</v>
      </c>
      <c r="S56" s="10">
        <v>1</v>
      </c>
    </row>
    <row r="57" spans="1:26" ht="14.25" customHeight="1">
      <c r="B57" s="12">
        <f t="shared" si="13"/>
        <v>-2</v>
      </c>
      <c r="D57" s="10">
        <f t="shared" si="23"/>
        <v>-2</v>
      </c>
      <c r="E57" s="10">
        <f t="shared" si="25"/>
        <v>0</v>
      </c>
    </row>
    <row r="58" spans="1:26" ht="14.25" customHeight="1">
      <c r="A58" s="12" t="s">
        <v>3692</v>
      </c>
      <c r="B58" s="12">
        <f t="shared" si="13"/>
        <v>-2</v>
      </c>
      <c r="D58" s="10">
        <f t="shared" si="23"/>
        <v>-2</v>
      </c>
      <c r="E58" s="10">
        <f t="shared" si="25"/>
        <v>0</v>
      </c>
      <c r="V58" s="10">
        <v>1</v>
      </c>
    </row>
    <row r="59" spans="1:26" ht="14.25" customHeight="1">
      <c r="A59" s="12" t="s">
        <v>3693</v>
      </c>
      <c r="B59" s="12">
        <f t="shared" si="13"/>
        <v>-2</v>
      </c>
      <c r="D59" s="10">
        <f t="shared" ref="D59:D64" si="26">IF(F59&lt;&gt;"",IF(F59=1,IF(F59+E59=2,1,-2),F59),IF(E59=0,-2,E59))</f>
        <v>-2</v>
      </c>
      <c r="E59" s="10">
        <f t="shared" si="25"/>
        <v>0</v>
      </c>
      <c r="V59" s="10">
        <v>1</v>
      </c>
    </row>
    <row r="60" spans="1:26" ht="14.25" customHeight="1">
      <c r="A60" s="12" t="s">
        <v>3694</v>
      </c>
      <c r="B60" s="12">
        <f t="shared" si="13"/>
        <v>-2</v>
      </c>
      <c r="D60" s="10">
        <f t="shared" si="26"/>
        <v>-2</v>
      </c>
      <c r="E60" s="10">
        <f t="shared" si="25"/>
        <v>0</v>
      </c>
      <c r="W60" s="10">
        <v>1</v>
      </c>
    </row>
    <row r="61" spans="1:26" ht="14.25" customHeight="1">
      <c r="A61" s="12" t="s">
        <v>3695</v>
      </c>
      <c r="B61" s="12">
        <f t="shared" si="13"/>
        <v>-2</v>
      </c>
      <c r="D61" s="10">
        <f t="shared" si="26"/>
        <v>-2</v>
      </c>
      <c r="E61" s="10">
        <f t="shared" si="25"/>
        <v>0</v>
      </c>
      <c r="X61" s="10">
        <v>1</v>
      </c>
    </row>
    <row r="62" spans="1:26" ht="14.25" customHeight="1">
      <c r="A62" s="12" t="s">
        <v>3696</v>
      </c>
      <c r="B62" s="12">
        <f t="shared" si="13"/>
        <v>-2</v>
      </c>
      <c r="D62" s="10">
        <f t="shared" si="26"/>
        <v>-2</v>
      </c>
      <c r="E62" s="10">
        <f t="shared" si="25"/>
        <v>0</v>
      </c>
      <c r="Y62" s="10">
        <v>1</v>
      </c>
    </row>
    <row r="63" spans="1:26" ht="14.25" customHeight="1">
      <c r="A63" s="12" t="s">
        <v>3697</v>
      </c>
      <c r="B63" s="12">
        <f t="shared" si="13"/>
        <v>-2</v>
      </c>
      <c r="D63" s="10">
        <f t="shared" si="26"/>
        <v>-2</v>
      </c>
      <c r="E63" s="10">
        <f t="shared" si="25"/>
        <v>0</v>
      </c>
      <c r="Z63" s="10">
        <v>1</v>
      </c>
    </row>
    <row r="64" spans="1:26" ht="14.25" customHeight="1">
      <c r="B64" s="12">
        <f t="shared" si="13"/>
        <v>-2</v>
      </c>
      <c r="D64" s="10">
        <f t="shared" si="26"/>
        <v>-2</v>
      </c>
      <c r="E64" s="10">
        <f t="shared" si="25"/>
        <v>0</v>
      </c>
    </row>
    <row r="65" spans="1:5" ht="14.25" customHeight="1">
      <c r="B65" s="12">
        <f t="shared" si="11"/>
        <v>-2</v>
      </c>
      <c r="D65" s="10">
        <f t="shared" si="12"/>
        <v>-2</v>
      </c>
      <c r="E65" s="10">
        <f t="shared" si="25"/>
        <v>0</v>
      </c>
    </row>
    <row r="66" spans="1:5" ht="14.25" customHeight="1">
      <c r="B66" s="12">
        <f t="shared" si="11"/>
        <v>-2</v>
      </c>
      <c r="D66" s="10">
        <f t="shared" si="12"/>
        <v>-2</v>
      </c>
      <c r="E66" s="10">
        <f t="shared" si="25"/>
        <v>0</v>
      </c>
    </row>
    <row r="67" spans="1:5" ht="14.25" customHeight="1">
      <c r="B67" s="12">
        <f t="shared" si="11"/>
        <v>-2</v>
      </c>
      <c r="D67" s="10">
        <f t="shared" si="12"/>
        <v>-2</v>
      </c>
      <c r="E67" s="10">
        <f t="shared" si="25"/>
        <v>0</v>
      </c>
    </row>
    <row r="68" spans="1:5" ht="14.25" customHeight="1">
      <c r="B68" s="12">
        <f t="shared" si="7"/>
        <v>-2</v>
      </c>
      <c r="D68" s="10">
        <f t="shared" si="8"/>
        <v>-2</v>
      </c>
      <c r="E68" s="10">
        <f t="shared" si="25"/>
        <v>0</v>
      </c>
    </row>
    <row r="69" spans="1:5" ht="14.25" customHeight="1">
      <c r="B69" s="12">
        <f t="shared" si="7"/>
        <v>-2</v>
      </c>
      <c r="D69" s="10">
        <f t="shared" si="8"/>
        <v>-2</v>
      </c>
      <c r="E69" s="10">
        <f t="shared" si="25"/>
        <v>0</v>
      </c>
    </row>
    <row r="70" spans="1:5" ht="14.25" customHeight="1">
      <c r="B70" s="12">
        <f t="shared" si="7"/>
        <v>-2</v>
      </c>
      <c r="D70" s="10">
        <f t="shared" si="8"/>
        <v>-2</v>
      </c>
      <c r="E70" s="10">
        <f t="shared" si="25"/>
        <v>0</v>
      </c>
    </row>
    <row r="71" spans="1:5" ht="14.25" customHeight="1">
      <c r="A71" s="63" t="s">
        <v>404</v>
      </c>
      <c r="B71" s="12">
        <v>0</v>
      </c>
    </row>
    <row r="73" spans="1:5" ht="14.25" customHeight="1">
      <c r="A73" s="13" t="s">
        <v>399</v>
      </c>
    </row>
    <row r="74" spans="1:5" ht="14.25" customHeight="1">
      <c r="A74" s="13" t="s">
        <v>405</v>
      </c>
    </row>
  </sheetData>
  <mergeCells count="1">
    <mergeCell ref="D1:E1"/>
  </mergeCells>
  <phoneticPr fontId="122"/>
  <pageMargins left="0.78700000000000003" right="0.78700000000000003" top="0.98399999999999999" bottom="0.98399999999999999" header="0.51200000000000001" footer="0.51200000000000001"/>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6"/>
  <sheetViews>
    <sheetView workbookViewId="0"/>
  </sheetViews>
  <sheetFormatPr defaultColWidth="2.33203125" defaultRowHeight="15" customHeight="1"/>
  <cols>
    <col min="1" max="26" width="3.6640625" style="1084" customWidth="1"/>
    <col min="27" max="27" width="2.6640625" style="1084" customWidth="1"/>
    <col min="28" max="256" width="2.33203125" style="1084" customWidth="1"/>
    <col min="257" max="282" width="3.6640625" style="1084" customWidth="1"/>
    <col min="283" max="283" width="2.6640625" style="1084" customWidth="1"/>
    <col min="284" max="512" width="2.33203125" style="1084" customWidth="1"/>
    <col min="513" max="538" width="3.6640625" style="1084" customWidth="1"/>
    <col min="539" max="539" width="2.6640625" style="1084" customWidth="1"/>
    <col min="540" max="768" width="2.33203125" style="1084" customWidth="1"/>
    <col min="769" max="794" width="3.6640625" style="1084" customWidth="1"/>
    <col min="795" max="795" width="2.6640625" style="1084" customWidth="1"/>
    <col min="796" max="1024" width="2.33203125" style="1084" customWidth="1"/>
    <col min="1025" max="1050" width="3.6640625" style="1084" customWidth="1"/>
    <col min="1051" max="1051" width="2.6640625" style="1084" customWidth="1"/>
    <col min="1052" max="1280" width="2.33203125" style="1084" customWidth="1"/>
    <col min="1281" max="1306" width="3.6640625" style="1084" customWidth="1"/>
    <col min="1307" max="1307" width="2.6640625" style="1084" customWidth="1"/>
    <col min="1308" max="1536" width="2.33203125" style="1084" customWidth="1"/>
    <col min="1537" max="1562" width="3.6640625" style="1084" customWidth="1"/>
    <col min="1563" max="1563" width="2.6640625" style="1084" customWidth="1"/>
    <col min="1564" max="1792" width="2.33203125" style="1084" customWidth="1"/>
    <col min="1793" max="1818" width="3.6640625" style="1084" customWidth="1"/>
    <col min="1819" max="1819" width="2.6640625" style="1084" customWidth="1"/>
    <col min="1820" max="2048" width="2.33203125" style="1084" customWidth="1"/>
    <col min="2049" max="2074" width="3.6640625" style="1084" customWidth="1"/>
    <col min="2075" max="2075" width="2.6640625" style="1084" customWidth="1"/>
    <col min="2076" max="2304" width="2.33203125" style="1084" customWidth="1"/>
    <col min="2305" max="2330" width="3.6640625" style="1084" customWidth="1"/>
    <col min="2331" max="2331" width="2.6640625" style="1084" customWidth="1"/>
    <col min="2332" max="2560" width="2.33203125" style="1084" customWidth="1"/>
    <col min="2561" max="2586" width="3.6640625" style="1084" customWidth="1"/>
    <col min="2587" max="2587" width="2.6640625" style="1084" customWidth="1"/>
    <col min="2588" max="2816" width="2.33203125" style="1084" customWidth="1"/>
    <col min="2817" max="2842" width="3.6640625" style="1084" customWidth="1"/>
    <col min="2843" max="2843" width="2.6640625" style="1084" customWidth="1"/>
    <col min="2844" max="3072" width="2.33203125" style="1084" customWidth="1"/>
    <col min="3073" max="3098" width="3.6640625" style="1084" customWidth="1"/>
    <col min="3099" max="3099" width="2.6640625" style="1084" customWidth="1"/>
    <col min="3100" max="3328" width="2.33203125" style="1084" customWidth="1"/>
    <col min="3329" max="3354" width="3.6640625" style="1084" customWidth="1"/>
    <col min="3355" max="3355" width="2.6640625" style="1084" customWidth="1"/>
    <col min="3356" max="3584" width="2.33203125" style="1084" customWidth="1"/>
    <col min="3585" max="3610" width="3.6640625" style="1084" customWidth="1"/>
    <col min="3611" max="3611" width="2.6640625" style="1084" customWidth="1"/>
    <col min="3612" max="3840" width="2.33203125" style="1084" customWidth="1"/>
    <col min="3841" max="3866" width="3.6640625" style="1084" customWidth="1"/>
    <col min="3867" max="3867" width="2.6640625" style="1084" customWidth="1"/>
    <col min="3868" max="4096" width="2.33203125" style="1084" customWidth="1"/>
    <col min="4097" max="4122" width="3.6640625" style="1084" customWidth="1"/>
    <col min="4123" max="4123" width="2.6640625" style="1084" customWidth="1"/>
    <col min="4124" max="4352" width="2.33203125" style="1084" customWidth="1"/>
    <col min="4353" max="4378" width="3.6640625" style="1084" customWidth="1"/>
    <col min="4379" max="4379" width="2.6640625" style="1084" customWidth="1"/>
    <col min="4380" max="4608" width="2.33203125" style="1084" customWidth="1"/>
    <col min="4609" max="4634" width="3.6640625" style="1084" customWidth="1"/>
    <col min="4635" max="4635" width="2.6640625" style="1084" customWidth="1"/>
    <col min="4636" max="4864" width="2.33203125" style="1084" customWidth="1"/>
    <col min="4865" max="4890" width="3.6640625" style="1084" customWidth="1"/>
    <col min="4891" max="4891" width="2.6640625" style="1084" customWidth="1"/>
    <col min="4892" max="5120" width="2.33203125" style="1084" customWidth="1"/>
    <col min="5121" max="5146" width="3.6640625" style="1084" customWidth="1"/>
    <col min="5147" max="5147" width="2.6640625" style="1084" customWidth="1"/>
    <col min="5148" max="5376" width="2.33203125" style="1084" customWidth="1"/>
    <col min="5377" max="5402" width="3.6640625" style="1084" customWidth="1"/>
    <col min="5403" max="5403" width="2.6640625" style="1084" customWidth="1"/>
    <col min="5404" max="5632" width="2.33203125" style="1084" customWidth="1"/>
    <col min="5633" max="5658" width="3.6640625" style="1084" customWidth="1"/>
    <col min="5659" max="5659" width="2.6640625" style="1084" customWidth="1"/>
    <col min="5660" max="5888" width="2.33203125" style="1084" customWidth="1"/>
    <col min="5889" max="5914" width="3.6640625" style="1084" customWidth="1"/>
    <col min="5915" max="5915" width="2.6640625" style="1084" customWidth="1"/>
    <col min="5916" max="6144" width="2.33203125" style="1084" customWidth="1"/>
    <col min="6145" max="6170" width="3.6640625" style="1084" customWidth="1"/>
    <col min="6171" max="6171" width="2.6640625" style="1084" customWidth="1"/>
    <col min="6172" max="6400" width="2.33203125" style="1084" customWidth="1"/>
    <col min="6401" max="6426" width="3.6640625" style="1084" customWidth="1"/>
    <col min="6427" max="6427" width="2.6640625" style="1084" customWidth="1"/>
    <col min="6428" max="6656" width="2.33203125" style="1084" customWidth="1"/>
    <col min="6657" max="6682" width="3.6640625" style="1084" customWidth="1"/>
    <col min="6683" max="6683" width="2.6640625" style="1084" customWidth="1"/>
    <col min="6684" max="6912" width="2.33203125" style="1084" customWidth="1"/>
    <col min="6913" max="6938" width="3.6640625" style="1084" customWidth="1"/>
    <col min="6939" max="6939" width="2.6640625" style="1084" customWidth="1"/>
    <col min="6940" max="7168" width="2.33203125" style="1084" customWidth="1"/>
    <col min="7169" max="7194" width="3.6640625" style="1084" customWidth="1"/>
    <col min="7195" max="7195" width="2.6640625" style="1084" customWidth="1"/>
    <col min="7196" max="7424" width="2.33203125" style="1084" customWidth="1"/>
    <col min="7425" max="7450" width="3.6640625" style="1084" customWidth="1"/>
    <col min="7451" max="7451" width="2.6640625" style="1084" customWidth="1"/>
    <col min="7452" max="7680" width="2.33203125" style="1084" customWidth="1"/>
    <col min="7681" max="7706" width="3.6640625" style="1084" customWidth="1"/>
    <col min="7707" max="7707" width="2.6640625" style="1084" customWidth="1"/>
    <col min="7708" max="7936" width="2.33203125" style="1084" customWidth="1"/>
    <col min="7937" max="7962" width="3.6640625" style="1084" customWidth="1"/>
    <col min="7963" max="7963" width="2.6640625" style="1084" customWidth="1"/>
    <col min="7964" max="8192" width="2.33203125" style="1084" customWidth="1"/>
    <col min="8193" max="8218" width="3.6640625" style="1084" customWidth="1"/>
    <col min="8219" max="8219" width="2.6640625" style="1084" customWidth="1"/>
    <col min="8220" max="8448" width="2.33203125" style="1084" customWidth="1"/>
    <col min="8449" max="8474" width="3.6640625" style="1084" customWidth="1"/>
    <col min="8475" max="8475" width="2.6640625" style="1084" customWidth="1"/>
    <col min="8476" max="8704" width="2.33203125" style="1084" customWidth="1"/>
    <col min="8705" max="8730" width="3.6640625" style="1084" customWidth="1"/>
    <col min="8731" max="8731" width="2.6640625" style="1084" customWidth="1"/>
    <col min="8732" max="8960" width="2.33203125" style="1084" customWidth="1"/>
    <col min="8961" max="8986" width="3.6640625" style="1084" customWidth="1"/>
    <col min="8987" max="8987" width="2.6640625" style="1084" customWidth="1"/>
    <col min="8988" max="9216" width="2.33203125" style="1084" customWidth="1"/>
    <col min="9217" max="9242" width="3.6640625" style="1084" customWidth="1"/>
    <col min="9243" max="9243" width="2.6640625" style="1084" customWidth="1"/>
    <col min="9244" max="9472" width="2.33203125" style="1084" customWidth="1"/>
    <col min="9473" max="9498" width="3.6640625" style="1084" customWidth="1"/>
    <col min="9499" max="9499" width="2.6640625" style="1084" customWidth="1"/>
    <col min="9500" max="9728" width="2.33203125" style="1084" customWidth="1"/>
    <col min="9729" max="9754" width="3.6640625" style="1084" customWidth="1"/>
    <col min="9755" max="9755" width="2.6640625" style="1084" customWidth="1"/>
    <col min="9756" max="9984" width="2.33203125" style="1084" customWidth="1"/>
    <col min="9985" max="10010" width="3.6640625" style="1084" customWidth="1"/>
    <col min="10011" max="10011" width="2.6640625" style="1084" customWidth="1"/>
    <col min="10012" max="10240" width="2.33203125" style="1084" customWidth="1"/>
    <col min="10241" max="10266" width="3.6640625" style="1084" customWidth="1"/>
    <col min="10267" max="10267" width="2.6640625" style="1084" customWidth="1"/>
    <col min="10268" max="10496" width="2.33203125" style="1084" customWidth="1"/>
    <col min="10497" max="10522" width="3.6640625" style="1084" customWidth="1"/>
    <col min="10523" max="10523" width="2.6640625" style="1084" customWidth="1"/>
    <col min="10524" max="10752" width="2.33203125" style="1084" customWidth="1"/>
    <col min="10753" max="10778" width="3.6640625" style="1084" customWidth="1"/>
    <col min="10779" max="10779" width="2.6640625" style="1084" customWidth="1"/>
    <col min="10780" max="11008" width="2.33203125" style="1084" customWidth="1"/>
    <col min="11009" max="11034" width="3.6640625" style="1084" customWidth="1"/>
    <col min="11035" max="11035" width="2.6640625" style="1084" customWidth="1"/>
    <col min="11036" max="11264" width="2.33203125" style="1084" customWidth="1"/>
    <col min="11265" max="11290" width="3.6640625" style="1084" customWidth="1"/>
    <col min="11291" max="11291" width="2.6640625" style="1084" customWidth="1"/>
    <col min="11292" max="11520" width="2.33203125" style="1084" customWidth="1"/>
    <col min="11521" max="11546" width="3.6640625" style="1084" customWidth="1"/>
    <col min="11547" max="11547" width="2.6640625" style="1084" customWidth="1"/>
    <col min="11548" max="11776" width="2.33203125" style="1084" customWidth="1"/>
    <col min="11777" max="11802" width="3.6640625" style="1084" customWidth="1"/>
    <col min="11803" max="11803" width="2.6640625" style="1084" customWidth="1"/>
    <col min="11804" max="12032" width="2.33203125" style="1084" customWidth="1"/>
    <col min="12033" max="12058" width="3.6640625" style="1084" customWidth="1"/>
    <col min="12059" max="12059" width="2.6640625" style="1084" customWidth="1"/>
    <col min="12060" max="12288" width="2.33203125" style="1084" customWidth="1"/>
    <col min="12289" max="12314" width="3.6640625" style="1084" customWidth="1"/>
    <col min="12315" max="12315" width="2.6640625" style="1084" customWidth="1"/>
    <col min="12316" max="12544" width="2.33203125" style="1084" customWidth="1"/>
    <col min="12545" max="12570" width="3.6640625" style="1084" customWidth="1"/>
    <col min="12571" max="12571" width="2.6640625" style="1084" customWidth="1"/>
    <col min="12572" max="12800" width="2.33203125" style="1084" customWidth="1"/>
    <col min="12801" max="12826" width="3.6640625" style="1084" customWidth="1"/>
    <col min="12827" max="12827" width="2.6640625" style="1084" customWidth="1"/>
    <col min="12828" max="13056" width="2.33203125" style="1084" customWidth="1"/>
    <col min="13057" max="13082" width="3.6640625" style="1084" customWidth="1"/>
    <col min="13083" max="13083" width="2.6640625" style="1084" customWidth="1"/>
    <col min="13084" max="13312" width="2.33203125" style="1084" customWidth="1"/>
    <col min="13313" max="13338" width="3.6640625" style="1084" customWidth="1"/>
    <col min="13339" max="13339" width="2.6640625" style="1084" customWidth="1"/>
    <col min="13340" max="13568" width="2.33203125" style="1084" customWidth="1"/>
    <col min="13569" max="13594" width="3.6640625" style="1084" customWidth="1"/>
    <col min="13595" max="13595" width="2.6640625" style="1084" customWidth="1"/>
    <col min="13596" max="13824" width="2.33203125" style="1084" customWidth="1"/>
    <col min="13825" max="13850" width="3.6640625" style="1084" customWidth="1"/>
    <col min="13851" max="13851" width="2.6640625" style="1084" customWidth="1"/>
    <col min="13852" max="14080" width="2.33203125" style="1084" customWidth="1"/>
    <col min="14081" max="14106" width="3.6640625" style="1084" customWidth="1"/>
    <col min="14107" max="14107" width="2.6640625" style="1084" customWidth="1"/>
    <col min="14108" max="14336" width="2.33203125" style="1084" customWidth="1"/>
    <col min="14337" max="14362" width="3.6640625" style="1084" customWidth="1"/>
    <col min="14363" max="14363" width="2.6640625" style="1084" customWidth="1"/>
    <col min="14364" max="14592" width="2.33203125" style="1084" customWidth="1"/>
    <col min="14593" max="14618" width="3.6640625" style="1084" customWidth="1"/>
    <col min="14619" max="14619" width="2.6640625" style="1084" customWidth="1"/>
    <col min="14620" max="14848" width="2.33203125" style="1084" customWidth="1"/>
    <col min="14849" max="14874" width="3.6640625" style="1084" customWidth="1"/>
    <col min="14875" max="14875" width="2.6640625" style="1084" customWidth="1"/>
    <col min="14876" max="15104" width="2.33203125" style="1084" customWidth="1"/>
    <col min="15105" max="15130" width="3.6640625" style="1084" customWidth="1"/>
    <col min="15131" max="15131" width="2.6640625" style="1084" customWidth="1"/>
    <col min="15132" max="15360" width="2.33203125" style="1084" customWidth="1"/>
    <col min="15361" max="15386" width="3.6640625" style="1084" customWidth="1"/>
    <col min="15387" max="15387" width="2.6640625" style="1084" customWidth="1"/>
    <col min="15388" max="15616" width="2.33203125" style="1084" customWidth="1"/>
    <col min="15617" max="15642" width="3.6640625" style="1084" customWidth="1"/>
    <col min="15643" max="15643" width="2.6640625" style="1084" customWidth="1"/>
    <col min="15644" max="15872" width="2.33203125" style="1084" customWidth="1"/>
    <col min="15873" max="15898" width="3.6640625" style="1084" customWidth="1"/>
    <col min="15899" max="15899" width="2.6640625" style="1084" customWidth="1"/>
    <col min="15900" max="16128" width="2.33203125" style="1084" customWidth="1"/>
    <col min="16129" max="16154" width="3.6640625" style="1084" customWidth="1"/>
    <col min="16155" max="16155" width="2.6640625" style="1084" customWidth="1"/>
    <col min="16156" max="16384" width="2.33203125" style="1084" customWidth="1"/>
  </cols>
  <sheetData>
    <row r="1" spans="1:26" ht="15" customHeight="1">
      <c r="A1" s="1084" t="s">
        <v>3771</v>
      </c>
    </row>
    <row r="2" spans="1:26" ht="12.75" customHeight="1"/>
    <row r="3" spans="1:26" ht="12.75" customHeight="1"/>
    <row r="4" spans="1:26" ht="20.100000000000001" customHeight="1">
      <c r="A4" s="1326" t="s">
        <v>3772</v>
      </c>
      <c r="B4" s="1326"/>
      <c r="C4" s="1326"/>
      <c r="D4" s="1326"/>
      <c r="E4" s="1326"/>
      <c r="F4" s="1326"/>
      <c r="G4" s="1326"/>
      <c r="H4" s="1326"/>
      <c r="I4" s="1326"/>
      <c r="J4" s="1326"/>
      <c r="K4" s="1326"/>
      <c r="L4" s="1326"/>
      <c r="M4" s="1326"/>
      <c r="N4" s="1326"/>
      <c r="O4" s="1326"/>
      <c r="P4" s="1326"/>
      <c r="Q4" s="1326"/>
      <c r="R4" s="1326"/>
      <c r="S4" s="1326"/>
      <c r="T4" s="1326"/>
      <c r="U4" s="1326"/>
      <c r="V4" s="1326"/>
      <c r="W4" s="1326"/>
      <c r="X4" s="1326"/>
      <c r="Y4" s="1326"/>
      <c r="Z4" s="1326"/>
    </row>
    <row r="5" spans="1:26" ht="13.5" customHeight="1">
      <c r="A5" s="1109"/>
      <c r="B5" s="1109"/>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row>
    <row r="6" spans="1:26" ht="15" customHeight="1">
      <c r="A6" s="1334" t="s">
        <v>5</v>
      </c>
      <c r="B6" s="1334"/>
      <c r="C6" s="1334"/>
      <c r="D6" s="1334"/>
      <c r="E6" s="1334"/>
      <c r="F6" s="1334"/>
      <c r="G6" s="1334"/>
      <c r="H6" s="1334"/>
      <c r="I6" s="1334"/>
      <c r="J6" s="1334"/>
      <c r="K6" s="1334"/>
      <c r="L6" s="1334"/>
      <c r="M6" s="1334"/>
      <c r="N6" s="1334"/>
      <c r="O6" s="1334"/>
      <c r="P6" s="1334"/>
      <c r="Q6" s="1334"/>
      <c r="R6" s="1334"/>
      <c r="S6" s="1334"/>
      <c r="T6" s="1334"/>
      <c r="U6" s="1334"/>
      <c r="V6" s="1334"/>
      <c r="W6" s="1334"/>
      <c r="X6" s="1334"/>
      <c r="Y6" s="1334"/>
      <c r="Z6" s="1334"/>
    </row>
    <row r="7" spans="1:26" ht="12.75" customHeight="1">
      <c r="A7" s="1097"/>
      <c r="B7" s="1097"/>
      <c r="C7" s="1097"/>
      <c r="D7" s="1097"/>
      <c r="E7" s="1097"/>
      <c r="F7" s="1097"/>
      <c r="G7" s="1097"/>
      <c r="H7" s="1097"/>
      <c r="I7" s="1097"/>
      <c r="J7" s="1097"/>
      <c r="K7" s="1097"/>
      <c r="L7" s="1097"/>
      <c r="M7" s="1097"/>
      <c r="N7" s="1097"/>
      <c r="O7" s="1097"/>
      <c r="P7" s="1097"/>
      <c r="Q7" s="1097"/>
      <c r="R7" s="1097"/>
      <c r="S7" s="1097"/>
      <c r="T7" s="1097"/>
      <c r="U7" s="1097"/>
      <c r="V7" s="1097"/>
      <c r="W7" s="1097"/>
      <c r="X7" s="1097"/>
      <c r="Y7" s="1097"/>
      <c r="Z7" s="1097"/>
    </row>
    <row r="8" spans="1:26" ht="12.75" customHeight="1">
      <c r="A8" s="1097"/>
      <c r="B8" s="1097"/>
      <c r="C8" s="1097"/>
      <c r="D8" s="1097"/>
      <c r="E8" s="1097"/>
      <c r="F8" s="1097"/>
      <c r="G8" s="1097"/>
      <c r="H8" s="1097"/>
      <c r="I8" s="1097"/>
      <c r="J8" s="1097"/>
      <c r="K8" s="1097"/>
      <c r="L8" s="1097"/>
      <c r="M8" s="1097"/>
      <c r="N8" s="1097"/>
      <c r="O8" s="1097"/>
      <c r="P8" s="1097"/>
      <c r="Q8" s="1097"/>
      <c r="R8" s="1097"/>
      <c r="S8" s="1097"/>
      <c r="T8" s="1097"/>
      <c r="U8" s="1097"/>
      <c r="V8" s="1097"/>
      <c r="W8" s="1097"/>
      <c r="X8" s="1097"/>
      <c r="Y8" s="1097"/>
      <c r="Z8" s="1097"/>
    </row>
    <row r="9" spans="1:26" ht="36" customHeight="1">
      <c r="A9" s="1327" t="s">
        <v>3773</v>
      </c>
      <c r="B9" s="1327"/>
      <c r="C9" s="1327"/>
      <c r="D9" s="1327"/>
      <c r="E9" s="1327"/>
      <c r="F9" s="1327"/>
      <c r="G9" s="1327"/>
      <c r="H9" s="1327"/>
      <c r="I9" s="1327"/>
      <c r="J9" s="1327"/>
      <c r="K9" s="1327"/>
      <c r="L9" s="1327"/>
      <c r="M9" s="1327"/>
      <c r="N9" s="1327"/>
      <c r="O9" s="1327"/>
      <c r="P9" s="1327"/>
      <c r="Q9" s="1327"/>
      <c r="R9" s="1327"/>
      <c r="S9" s="1327"/>
      <c r="T9" s="1327"/>
      <c r="U9" s="1327"/>
      <c r="V9" s="1327"/>
      <c r="W9" s="1327"/>
      <c r="X9" s="1327"/>
      <c r="Y9" s="1327"/>
      <c r="Z9" s="1327"/>
    </row>
    <row r="10" spans="1:26" ht="13.5" customHeight="1"/>
    <row r="11" spans="1:26" ht="13.5" customHeight="1"/>
    <row r="12" spans="1:26" ht="15" customHeight="1">
      <c r="B12" s="1084" t="str">
        <f ca="1">cst_Pre_Corp__SHINSEI&amp;"　御中"</f>
        <v>株式会社　都市居住評価センター　御中</v>
      </c>
    </row>
    <row r="13" spans="1:26" ht="15" customHeight="1">
      <c r="B13" s="1089"/>
    </row>
    <row r="14" spans="1:26" ht="15" customHeight="1">
      <c r="Z14" s="1088"/>
    </row>
    <row r="15" spans="1:26" ht="12" customHeight="1">
      <c r="Z15" s="1088"/>
    </row>
    <row r="16" spans="1:26" ht="12" customHeight="1">
      <c r="Z16" s="1088"/>
    </row>
    <row r="17" spans="1:26" ht="15" customHeight="1">
      <c r="Q17" s="1328" t="str">
        <f>cst_wskakunin_SHINSEI_DATE</f>
        <v/>
      </c>
      <c r="R17" s="1328"/>
      <c r="S17" s="1328"/>
      <c r="T17" s="1328"/>
      <c r="U17" s="1090" t="str">
        <f>cst_wskakunin_SHINSEI_DATE</f>
        <v/>
      </c>
      <c r="V17" s="1091" t="s">
        <v>380</v>
      </c>
      <c r="W17" s="1092" t="str">
        <f>cst_wskakunin_SHINSEI_DATE</f>
        <v/>
      </c>
      <c r="X17" s="1091" t="s">
        <v>0</v>
      </c>
      <c r="Y17" s="1093" t="str">
        <f>cst_wskakunin_SHINSEI_DATE</f>
        <v/>
      </c>
      <c r="Z17" s="1091" t="s">
        <v>3057</v>
      </c>
    </row>
    <row r="19" spans="1:26" ht="15" customHeight="1">
      <c r="K19" s="1334" t="s">
        <v>3459</v>
      </c>
      <c r="L19" s="1334"/>
      <c r="M19" s="1334"/>
      <c r="O19" s="1329" t="str">
        <f>cst_wskakunin_APPLICANT_NAME</f>
        <v>株式会社ユーイック不動産 代表取締役社長 野崎　豊</v>
      </c>
      <c r="P19" s="1329"/>
      <c r="Q19" s="1329"/>
      <c r="R19" s="1329"/>
      <c r="S19" s="1329"/>
      <c r="T19" s="1329"/>
      <c r="U19" s="1329"/>
      <c r="V19" s="1329"/>
      <c r="W19" s="1329"/>
      <c r="X19" s="1329"/>
      <c r="Y19" s="1329"/>
      <c r="Z19" s="1334"/>
    </row>
    <row r="20" spans="1:26" ht="15" customHeight="1">
      <c r="K20" s="1334"/>
      <c r="L20" s="1334"/>
      <c r="M20" s="1334"/>
      <c r="O20" s="1329"/>
      <c r="P20" s="1329"/>
      <c r="Q20" s="1329"/>
      <c r="R20" s="1329"/>
      <c r="S20" s="1329"/>
      <c r="T20" s="1329"/>
      <c r="U20" s="1329"/>
      <c r="V20" s="1329"/>
      <c r="W20" s="1329"/>
      <c r="X20" s="1329"/>
      <c r="Y20" s="1329"/>
      <c r="Z20" s="1334"/>
    </row>
    <row r="21" spans="1:26" ht="15" customHeight="1">
      <c r="K21" s="1334"/>
      <c r="L21" s="1334"/>
      <c r="M21" s="1334"/>
      <c r="O21" s="1329"/>
      <c r="P21" s="1329"/>
      <c r="Q21" s="1329"/>
      <c r="R21" s="1329"/>
      <c r="S21" s="1329"/>
      <c r="T21" s="1329"/>
      <c r="U21" s="1329"/>
      <c r="V21" s="1329"/>
      <c r="W21" s="1329"/>
      <c r="X21" s="1329"/>
      <c r="Y21" s="1329"/>
      <c r="Z21" s="1334"/>
    </row>
    <row r="22" spans="1:26" ht="15" customHeight="1">
      <c r="A22" s="1098"/>
      <c r="B22" s="1098"/>
      <c r="C22" s="1110"/>
      <c r="D22" s="1110"/>
      <c r="E22" s="1110"/>
      <c r="F22" s="1110"/>
      <c r="G22" s="1110"/>
      <c r="H22" s="1110"/>
      <c r="I22" s="1110"/>
      <c r="J22" s="1110"/>
      <c r="K22" s="1098"/>
      <c r="L22" s="1098"/>
      <c r="M22" s="1098"/>
      <c r="N22" s="1098"/>
      <c r="O22" s="1098"/>
      <c r="P22" s="1098"/>
      <c r="Q22" s="1098"/>
      <c r="R22" s="1098"/>
      <c r="S22" s="1098"/>
      <c r="T22" s="1098"/>
      <c r="U22" s="1098"/>
      <c r="V22" s="1098"/>
      <c r="W22" s="1098"/>
      <c r="X22" s="1098"/>
      <c r="Y22" s="1098"/>
      <c r="Z22" s="1098"/>
    </row>
    <row r="23" spans="1:26" ht="15" customHeight="1">
      <c r="C23" s="1094"/>
      <c r="D23" s="1094"/>
      <c r="E23" s="1094"/>
      <c r="F23" s="1094"/>
      <c r="G23" s="1094"/>
      <c r="H23" s="1094"/>
      <c r="I23" s="1094"/>
      <c r="J23" s="1094"/>
    </row>
    <row r="24" spans="1:26" ht="15" customHeight="1">
      <c r="K24" s="1334" t="s">
        <v>3768</v>
      </c>
      <c r="L24" s="1334"/>
      <c r="M24" s="1334"/>
      <c r="N24" s="1111"/>
      <c r="O24" s="1323" t="str">
        <f>cst_wskakunin_sekkei1_JIMU_NAME</f>
        <v>一級建築士事務所　UHEC</v>
      </c>
      <c r="P24" s="1323"/>
      <c r="Q24" s="1323"/>
      <c r="R24" s="1323"/>
      <c r="S24" s="1323"/>
      <c r="T24" s="1323"/>
      <c r="U24" s="1323"/>
      <c r="V24" s="1323"/>
      <c r="W24" s="1323"/>
      <c r="X24" s="1323"/>
      <c r="Y24" s="1323"/>
      <c r="Z24" s="1334"/>
    </row>
    <row r="25" spans="1:26" ht="15" customHeight="1">
      <c r="K25" s="1334"/>
      <c r="L25" s="1334"/>
      <c r="M25" s="1334"/>
      <c r="O25" s="1323" t="str">
        <f>cst_wskakunin_sekkei1_NAME</f>
        <v>髙橋　一郎</v>
      </c>
      <c r="P25" s="1323"/>
      <c r="Q25" s="1323"/>
      <c r="R25" s="1323"/>
      <c r="S25" s="1323"/>
      <c r="T25" s="1323"/>
      <c r="U25" s="1323"/>
      <c r="V25" s="1323"/>
      <c r="W25" s="1323"/>
      <c r="X25" s="1323"/>
      <c r="Y25" s="1323"/>
      <c r="Z25" s="1334"/>
    </row>
    <row r="26" spans="1:26" ht="15" customHeight="1">
      <c r="A26" s="1098"/>
      <c r="B26" s="1098"/>
      <c r="C26" s="1098"/>
      <c r="D26" s="1098"/>
      <c r="E26" s="1098"/>
      <c r="F26" s="1098"/>
      <c r="G26" s="1098"/>
      <c r="H26" s="1098"/>
      <c r="I26" s="1098"/>
      <c r="J26" s="1098"/>
      <c r="K26" s="1098"/>
      <c r="L26" s="1099"/>
      <c r="M26" s="1099"/>
      <c r="N26" s="1099"/>
      <c r="O26" s="1099"/>
      <c r="P26" s="1099"/>
      <c r="Q26" s="1099"/>
      <c r="R26" s="1099"/>
      <c r="S26" s="1099"/>
      <c r="T26" s="1099"/>
      <c r="U26" s="1099"/>
      <c r="V26" s="1099"/>
      <c r="W26" s="1099"/>
      <c r="X26" s="1099"/>
      <c r="Y26" s="1099"/>
      <c r="Z26" s="1099"/>
    </row>
    <row r="27" spans="1:26" ht="15" customHeight="1">
      <c r="L27" s="1100"/>
      <c r="M27" s="1100"/>
      <c r="N27" s="1100"/>
      <c r="O27" s="1100"/>
      <c r="P27" s="1100"/>
      <c r="Q27" s="1100"/>
      <c r="R27" s="1100"/>
      <c r="S27" s="1100"/>
      <c r="T27" s="1100"/>
      <c r="U27" s="1100"/>
      <c r="V27" s="1100"/>
      <c r="W27" s="1100"/>
      <c r="X27" s="1100"/>
      <c r="Y27" s="1100"/>
      <c r="Z27" s="1100"/>
    </row>
    <row r="28" spans="1:26" ht="15" customHeight="1">
      <c r="A28" s="1100" t="s">
        <v>3774</v>
      </c>
      <c r="B28" s="1100"/>
      <c r="C28" s="1100"/>
      <c r="D28" s="1100"/>
      <c r="E28" s="1100"/>
      <c r="F28" s="1100"/>
      <c r="G28" s="1100"/>
      <c r="H28" s="1100"/>
      <c r="I28" s="1100"/>
      <c r="J28" s="1100"/>
      <c r="K28" s="1100"/>
      <c r="L28" s="1100"/>
      <c r="M28" s="1100"/>
      <c r="N28" s="1100"/>
      <c r="O28" s="1100"/>
      <c r="P28" s="1100"/>
      <c r="Q28" s="1100"/>
      <c r="R28" s="1100"/>
      <c r="S28" s="1100"/>
      <c r="T28" s="1100"/>
      <c r="U28" s="1100"/>
      <c r="V28" s="1100"/>
      <c r="W28" s="1100"/>
      <c r="X28" s="1100"/>
      <c r="Y28" s="1100"/>
      <c r="Z28" s="1100"/>
    </row>
    <row r="29" spans="1:26" ht="15" customHeight="1">
      <c r="A29" s="1100"/>
      <c r="B29" s="1100" t="s">
        <v>3775</v>
      </c>
      <c r="C29" s="1100"/>
      <c r="D29" s="1100"/>
      <c r="E29" s="1100"/>
      <c r="F29" s="1100"/>
      <c r="G29" s="1100"/>
      <c r="H29" s="1100"/>
      <c r="I29" s="1100"/>
      <c r="J29" s="1100" t="s">
        <v>3065</v>
      </c>
      <c r="K29" s="1335" t="str">
        <f>cst_wskakunin_LAST_ISSUE_NO</f>
        <v>第UHEC建確R070030号</v>
      </c>
      <c r="L29" s="1335"/>
      <c r="M29" s="1335"/>
      <c r="N29" s="1335"/>
      <c r="O29" s="1335"/>
      <c r="P29" s="1100" t="s">
        <v>381</v>
      </c>
      <c r="Q29" s="1100"/>
      <c r="R29" s="1100"/>
      <c r="S29" s="1100"/>
      <c r="T29" s="1100"/>
      <c r="U29" s="1100"/>
      <c r="V29" s="1100"/>
      <c r="W29" s="1100"/>
      <c r="X29" s="1100"/>
      <c r="Y29" s="1100"/>
      <c r="Z29" s="1100"/>
    </row>
    <row r="30" spans="1:26" ht="15" customHeight="1">
      <c r="A30" s="1100"/>
      <c r="B30" s="1100" t="s">
        <v>3776</v>
      </c>
      <c r="C30" s="1100"/>
      <c r="D30" s="1100"/>
      <c r="E30" s="1100"/>
      <c r="F30" s="1100"/>
      <c r="G30" s="1100"/>
      <c r="H30" s="1100"/>
      <c r="I30" s="1100"/>
      <c r="J30" s="1333">
        <f>cst_wskakunin_LAST_ISSUE_DATE</f>
        <v>45922</v>
      </c>
      <c r="K30" s="1333"/>
      <c r="L30" s="1333"/>
      <c r="M30" s="1333"/>
      <c r="N30" s="1333"/>
      <c r="O30" s="1333"/>
      <c r="P30" s="1333"/>
      <c r="Q30" s="1333"/>
      <c r="R30" s="1333"/>
      <c r="S30" s="1333"/>
      <c r="T30" s="1333"/>
      <c r="U30" s="1333"/>
      <c r="V30" s="1333"/>
      <c r="W30" s="1333"/>
      <c r="X30" s="1333"/>
      <c r="Y30" s="1333"/>
      <c r="Z30" s="1333"/>
    </row>
    <row r="31" spans="1:26" ht="15" customHeight="1">
      <c r="A31" s="1100"/>
      <c r="B31" s="1100" t="s">
        <v>3565</v>
      </c>
      <c r="C31" s="1100"/>
      <c r="D31" s="1100"/>
      <c r="E31" s="1100"/>
      <c r="F31" s="1100"/>
      <c r="G31" s="1100"/>
      <c r="H31" s="1100"/>
      <c r="I31" s="1100"/>
      <c r="J31" s="1331" t="str">
        <f>cst_wskakunin_LAST_ISSUE_NAME</f>
        <v>株式会社　都市居住評価センター 代表取締役社長　野崎　豊</v>
      </c>
      <c r="K31" s="1331"/>
      <c r="L31" s="1331"/>
      <c r="M31" s="1331"/>
      <c r="N31" s="1331"/>
      <c r="O31" s="1331"/>
      <c r="P31" s="1331"/>
      <c r="Q31" s="1331"/>
      <c r="R31" s="1331"/>
      <c r="S31" s="1331"/>
      <c r="T31" s="1331"/>
      <c r="U31" s="1331"/>
      <c r="V31" s="1331"/>
      <c r="W31" s="1331"/>
      <c r="X31" s="1331"/>
      <c r="Y31" s="1331"/>
      <c r="Z31" s="1331"/>
    </row>
    <row r="32" spans="1:26" ht="15" customHeight="1">
      <c r="A32" s="1100"/>
      <c r="B32" s="1100" t="s">
        <v>3777</v>
      </c>
      <c r="C32" s="1100"/>
      <c r="D32" s="1100"/>
      <c r="E32" s="1100"/>
      <c r="F32" s="1100"/>
      <c r="G32" s="1100"/>
      <c r="H32" s="1100"/>
      <c r="I32" s="1100"/>
      <c r="J32" s="1332" t="str">
        <f>cst_wskakunin_P1_HENKOU_GAIYOU</f>
        <v/>
      </c>
      <c r="K32" s="1332"/>
      <c r="L32" s="1332"/>
      <c r="M32" s="1332"/>
      <c r="N32" s="1332"/>
      <c r="O32" s="1332"/>
      <c r="P32" s="1332"/>
      <c r="Q32" s="1332"/>
      <c r="R32" s="1332"/>
      <c r="S32" s="1332"/>
      <c r="T32" s="1332"/>
      <c r="U32" s="1332"/>
      <c r="V32" s="1332"/>
      <c r="W32" s="1332"/>
      <c r="X32" s="1332"/>
      <c r="Y32" s="1332"/>
      <c r="Z32" s="1332"/>
    </row>
    <row r="33" spans="1:26" ht="15" customHeight="1">
      <c r="A33" s="1100"/>
      <c r="B33" s="1100"/>
      <c r="C33" s="1100"/>
      <c r="D33" s="1100"/>
      <c r="E33" s="1100"/>
      <c r="F33" s="1100"/>
      <c r="G33" s="1100"/>
      <c r="H33" s="1100"/>
      <c r="I33" s="1100"/>
      <c r="J33" s="1332" t="str">
        <f>cst_wskakunin_P2_HENKOU_GAIYOU</f>
        <v/>
      </c>
      <c r="K33" s="1332"/>
      <c r="L33" s="1332"/>
      <c r="M33" s="1332"/>
      <c r="N33" s="1332"/>
      <c r="O33" s="1332"/>
      <c r="P33" s="1332"/>
      <c r="Q33" s="1332"/>
      <c r="R33" s="1332"/>
      <c r="S33" s="1332"/>
      <c r="T33" s="1332"/>
      <c r="U33" s="1332"/>
      <c r="V33" s="1332"/>
      <c r="W33" s="1332"/>
      <c r="X33" s="1332"/>
      <c r="Y33" s="1332"/>
      <c r="Z33" s="1332"/>
    </row>
    <row r="34" spans="1:26" ht="15" customHeight="1">
      <c r="A34" s="1100"/>
      <c r="B34" s="1100"/>
      <c r="C34" s="1100"/>
      <c r="D34" s="1100"/>
      <c r="E34" s="1100"/>
      <c r="F34" s="1100"/>
      <c r="G34" s="1100"/>
      <c r="H34" s="1100"/>
      <c r="I34" s="1100"/>
      <c r="J34" s="1332"/>
      <c r="K34" s="1332"/>
      <c r="L34" s="1332"/>
      <c r="M34" s="1332"/>
      <c r="N34" s="1332"/>
      <c r="O34" s="1332"/>
      <c r="P34" s="1332"/>
      <c r="Q34" s="1332"/>
      <c r="R34" s="1332"/>
      <c r="S34" s="1332"/>
      <c r="T34" s="1332"/>
      <c r="U34" s="1332"/>
      <c r="V34" s="1332"/>
      <c r="W34" s="1332"/>
      <c r="X34" s="1332"/>
      <c r="Y34" s="1332"/>
      <c r="Z34" s="1332"/>
    </row>
    <row r="35" spans="1:26" ht="19.5" customHeight="1">
      <c r="A35" s="1324" t="s">
        <v>3455</v>
      </c>
      <c r="B35" s="1325"/>
      <c r="C35" s="1325"/>
      <c r="D35" s="1101"/>
      <c r="E35" s="1102"/>
      <c r="F35" s="1103"/>
      <c r="G35" s="1103"/>
      <c r="H35" s="1103"/>
      <c r="I35" s="1103"/>
      <c r="J35" s="1103"/>
      <c r="K35" s="1103"/>
      <c r="L35" s="1103"/>
      <c r="M35" s="1103"/>
      <c r="N35" s="1103"/>
      <c r="O35" s="1103"/>
      <c r="P35" s="1104"/>
      <c r="Q35" s="1104"/>
      <c r="R35" s="1104"/>
      <c r="S35" s="1104"/>
      <c r="T35" s="1104"/>
      <c r="U35" s="1104"/>
      <c r="V35" s="1104"/>
      <c r="W35" s="1104"/>
      <c r="X35" s="1104"/>
      <c r="Y35" s="1103"/>
      <c r="Z35" s="1105"/>
    </row>
    <row r="36" spans="1:26" ht="19.5" customHeight="1">
      <c r="A36" s="1106"/>
      <c r="B36" s="1266" t="str">
        <f ca="1">TEXT(TODAY(),"ggg")</f>
        <v>令和</v>
      </c>
      <c r="C36" s="1267"/>
      <c r="D36" s="1267"/>
      <c r="E36" s="1267" t="s">
        <v>380</v>
      </c>
      <c r="F36" s="1267"/>
      <c r="G36" s="1267" t="s">
        <v>0</v>
      </c>
      <c r="H36" s="1267"/>
      <c r="I36" s="1267" t="s">
        <v>3057</v>
      </c>
      <c r="J36" s="1267" t="s">
        <v>3454</v>
      </c>
      <c r="K36" s="1267"/>
      <c r="P36" s="1100"/>
      <c r="Q36" s="1100"/>
      <c r="R36" s="1100"/>
      <c r="S36" s="1100"/>
      <c r="T36" s="1100"/>
      <c r="U36" s="1100"/>
      <c r="V36" s="1100"/>
      <c r="W36" s="1100"/>
      <c r="X36" s="1100"/>
      <c r="Z36" s="1107"/>
    </row>
    <row r="37" spans="1:26" ht="19.5" customHeight="1">
      <c r="A37" s="1106"/>
      <c r="B37" s="1267"/>
      <c r="C37" s="1267"/>
      <c r="D37" s="1267"/>
      <c r="E37" s="1267"/>
      <c r="F37" s="1267"/>
      <c r="G37" s="1267"/>
      <c r="H37" s="1267"/>
      <c r="I37" s="1267"/>
      <c r="J37" s="1267"/>
      <c r="K37" s="1267"/>
      <c r="P37" s="1100"/>
      <c r="Q37" s="1100"/>
      <c r="R37" s="1100"/>
      <c r="S37" s="1100"/>
      <c r="T37" s="1100"/>
      <c r="U37" s="1100"/>
      <c r="V37" s="1100"/>
      <c r="W37" s="1100"/>
      <c r="X37" s="1100"/>
      <c r="Z37" s="1107"/>
    </row>
    <row r="38" spans="1:26" ht="19.5" customHeight="1">
      <c r="A38" s="1106"/>
      <c r="B38" s="1268" t="s">
        <v>3453</v>
      </c>
      <c r="C38" s="1268"/>
      <c r="D38" s="1268"/>
      <c r="E38" s="1268"/>
      <c r="F38" s="1268"/>
      <c r="G38" s="1268"/>
      <c r="H38" s="1268"/>
      <c r="I38" s="1268"/>
      <c r="J38" s="1268" t="s">
        <v>3452</v>
      </c>
      <c r="K38" s="1268"/>
      <c r="P38" s="1100"/>
      <c r="Q38" s="1100"/>
      <c r="R38" s="1100"/>
      <c r="S38" s="1100"/>
      <c r="T38" s="1100"/>
      <c r="U38" s="1100"/>
      <c r="V38" s="1100"/>
      <c r="W38" s="1100"/>
      <c r="X38" s="1100"/>
      <c r="Z38" s="1107"/>
    </row>
    <row r="39" spans="1:26" ht="36" customHeight="1">
      <c r="A39" s="1322" t="s">
        <v>3258</v>
      </c>
      <c r="B39" s="1322"/>
      <c r="C39" s="1322"/>
      <c r="D39" s="1322"/>
      <c r="E39" s="1322"/>
      <c r="F39" s="1322"/>
      <c r="G39" s="1322"/>
      <c r="H39" s="1322" t="s">
        <v>3769</v>
      </c>
      <c r="I39" s="1322"/>
      <c r="J39" s="1322"/>
      <c r="K39" s="1322"/>
      <c r="L39" s="1322"/>
      <c r="M39" s="1322"/>
      <c r="N39" s="1322" t="s">
        <v>3449</v>
      </c>
      <c r="O39" s="1322"/>
      <c r="P39" s="1322"/>
      <c r="Q39" s="1322"/>
      <c r="R39" s="1322"/>
      <c r="S39" s="1322"/>
      <c r="T39" s="1322" t="s">
        <v>3770</v>
      </c>
      <c r="U39" s="1322"/>
      <c r="V39" s="1322"/>
      <c r="W39" s="1322"/>
      <c r="X39" s="1322"/>
      <c r="Y39" s="1322"/>
      <c r="Z39" s="1322"/>
    </row>
    <row r="40" spans="1:26" ht="36" customHeight="1">
      <c r="A40" s="1311" t="s">
        <v>3276</v>
      </c>
      <c r="B40" s="1311"/>
      <c r="C40" s="1311"/>
      <c r="D40" s="1311"/>
      <c r="E40" s="1311"/>
      <c r="F40" s="1311"/>
      <c r="G40" s="1311"/>
      <c r="H40" s="1330"/>
      <c r="I40" s="1330"/>
      <c r="J40" s="1330"/>
      <c r="K40" s="1330"/>
      <c r="L40" s="1330"/>
      <c r="M40" s="1330"/>
      <c r="N40" s="1321"/>
      <c r="O40" s="1321"/>
      <c r="P40" s="1321"/>
      <c r="Q40" s="1321"/>
      <c r="R40" s="1321"/>
      <c r="S40" s="1321"/>
      <c r="T40" s="1311" t="s">
        <v>3276</v>
      </c>
      <c r="U40" s="1311"/>
      <c r="V40" s="1311"/>
      <c r="W40" s="1311"/>
      <c r="X40" s="1311"/>
      <c r="Y40" s="1311"/>
      <c r="Z40" s="1311"/>
    </row>
    <row r="41" spans="1:26" ht="36" customHeight="1">
      <c r="A41" s="1321" t="s">
        <v>4099</v>
      </c>
      <c r="B41" s="1321"/>
      <c r="C41" s="1321"/>
      <c r="D41" s="1321"/>
      <c r="E41" s="1321"/>
      <c r="F41" s="1321"/>
      <c r="G41" s="1321"/>
      <c r="H41" s="1330"/>
      <c r="I41" s="1330"/>
      <c r="J41" s="1330"/>
      <c r="K41" s="1330"/>
      <c r="L41" s="1330"/>
      <c r="M41" s="1330"/>
      <c r="N41" s="1321"/>
      <c r="O41" s="1321"/>
      <c r="P41" s="1321"/>
      <c r="Q41" s="1321"/>
      <c r="R41" s="1321"/>
      <c r="S41" s="1321"/>
      <c r="T41" s="1321" t="s">
        <v>4099</v>
      </c>
      <c r="U41" s="1321"/>
      <c r="V41" s="1321"/>
      <c r="W41" s="1321"/>
      <c r="X41" s="1321"/>
      <c r="Y41" s="1321"/>
      <c r="Z41" s="1321"/>
    </row>
    <row r="42" spans="1:26" ht="36" customHeight="1">
      <c r="A42" s="1322" t="s">
        <v>3254</v>
      </c>
      <c r="B42" s="1322"/>
      <c r="C42" s="1322"/>
      <c r="D42" s="1322"/>
      <c r="E42" s="1322"/>
      <c r="F42" s="1322"/>
      <c r="G42" s="1322"/>
      <c r="H42" s="1330"/>
      <c r="I42" s="1330"/>
      <c r="J42" s="1330"/>
      <c r="K42" s="1330"/>
      <c r="L42" s="1330"/>
      <c r="M42" s="1330"/>
      <c r="N42" s="1321"/>
      <c r="O42" s="1321"/>
      <c r="P42" s="1321"/>
      <c r="Q42" s="1321"/>
      <c r="R42" s="1321"/>
      <c r="S42" s="1321"/>
      <c r="T42" s="1322" t="s">
        <v>3254</v>
      </c>
      <c r="U42" s="1322"/>
      <c r="V42" s="1322"/>
      <c r="W42" s="1322"/>
      <c r="X42" s="1322"/>
      <c r="Y42" s="1322"/>
      <c r="Z42" s="1322"/>
    </row>
    <row r="43" spans="1:26" ht="15" customHeight="1">
      <c r="A43" s="1103"/>
      <c r="Q43" s="1100"/>
      <c r="R43" s="1100"/>
      <c r="S43" s="1100"/>
      <c r="T43" s="1100"/>
      <c r="U43" s="1100"/>
      <c r="V43" s="1100"/>
      <c r="W43" s="1100"/>
      <c r="X43" s="1100"/>
      <c r="Y43" s="1100"/>
      <c r="Z43" s="1104"/>
    </row>
    <row r="44" spans="1:26" ht="15" customHeight="1">
      <c r="B44" s="1112" t="s">
        <v>2676</v>
      </c>
      <c r="Q44" s="1100"/>
      <c r="R44" s="1100"/>
      <c r="S44" s="1100"/>
      <c r="T44" s="1100"/>
      <c r="U44" s="1100"/>
      <c r="V44" s="1100"/>
      <c r="W44" s="1100"/>
      <c r="X44" s="1100"/>
      <c r="Y44" s="1100"/>
      <c r="Z44" s="1100"/>
    </row>
    <row r="45" spans="1:26" ht="15" customHeight="1">
      <c r="B45" s="1084" t="s">
        <v>3778</v>
      </c>
    </row>
    <row r="46" spans="1:26" ht="15" customHeight="1">
      <c r="B46" s="1084" t="s">
        <v>3779</v>
      </c>
    </row>
  </sheetData>
  <mergeCells count="29">
    <mergeCell ref="J30:Z30"/>
    <mergeCell ref="A4:Z4"/>
    <mergeCell ref="A6:Z6"/>
    <mergeCell ref="A9:Z9"/>
    <mergeCell ref="Q17:T17"/>
    <mergeCell ref="K19:M21"/>
    <mergeCell ref="O19:Y21"/>
    <mergeCell ref="Z19:Z21"/>
    <mergeCell ref="K24:M25"/>
    <mergeCell ref="O24:Y24"/>
    <mergeCell ref="Z24:Z25"/>
    <mergeCell ref="O25:Y25"/>
    <mergeCell ref="K29:O29"/>
    <mergeCell ref="J31:Z31"/>
    <mergeCell ref="J32:Z32"/>
    <mergeCell ref="J33:Z34"/>
    <mergeCell ref="A35:C35"/>
    <mergeCell ref="A39:G39"/>
    <mergeCell ref="H39:M39"/>
    <mergeCell ref="N39:S39"/>
    <mergeCell ref="T39:Z39"/>
    <mergeCell ref="A40:G40"/>
    <mergeCell ref="H40:M42"/>
    <mergeCell ref="N40:S42"/>
    <mergeCell ref="T40:Z40"/>
    <mergeCell ref="A41:G41"/>
    <mergeCell ref="T41:Z41"/>
    <mergeCell ref="A42:G42"/>
    <mergeCell ref="T42:Z42"/>
  </mergeCells>
  <phoneticPr fontId="122"/>
  <printOptions horizontalCentered="1"/>
  <pageMargins left="0.39370078740157483" right="0.39370078740157483" top="0.78740157480314965" bottom="0.78740157480314965" header="0.51181102362204722" footer="0.51181102362204722"/>
  <pageSetup paperSize="9" orientation="portrait" blackAndWhite="1"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Y166"/>
  <sheetViews>
    <sheetView zoomScaleNormal="100" workbookViewId="0"/>
  </sheetViews>
  <sheetFormatPr defaultColWidth="9" defaultRowHeight="13.2"/>
  <cols>
    <col min="1" max="24" width="3.6640625" customWidth="1"/>
    <col min="257" max="280" width="3.6640625" customWidth="1"/>
    <col min="513" max="536" width="3.6640625" customWidth="1"/>
    <col min="769" max="792" width="3.6640625" customWidth="1"/>
    <col min="1025" max="1048" width="3.6640625" customWidth="1"/>
    <col min="1281" max="1304" width="3.6640625" customWidth="1"/>
    <col min="1537" max="1560" width="3.6640625" customWidth="1"/>
    <col min="1793" max="1816" width="3.6640625" customWidth="1"/>
    <col min="2049" max="2072" width="3.6640625" customWidth="1"/>
    <col min="2305" max="2328" width="3.6640625" customWidth="1"/>
    <col min="2561" max="2584" width="3.6640625" customWidth="1"/>
    <col min="2817" max="2840" width="3.6640625" customWidth="1"/>
    <col min="3073" max="3096" width="3.6640625" customWidth="1"/>
    <col min="3329" max="3352" width="3.6640625" customWidth="1"/>
    <col min="3585" max="3608" width="3.6640625" customWidth="1"/>
    <col min="3841" max="3864" width="3.6640625" customWidth="1"/>
    <col min="4097" max="4120" width="3.6640625" customWidth="1"/>
    <col min="4353" max="4376" width="3.6640625" customWidth="1"/>
    <col min="4609" max="4632" width="3.6640625" customWidth="1"/>
    <col min="4865" max="4888" width="3.6640625" customWidth="1"/>
    <col min="5121" max="5144" width="3.6640625" customWidth="1"/>
    <col min="5377" max="5400" width="3.6640625" customWidth="1"/>
    <col min="5633" max="5656" width="3.6640625" customWidth="1"/>
    <col min="5889" max="5912" width="3.6640625" customWidth="1"/>
    <col min="6145" max="6168" width="3.6640625" customWidth="1"/>
    <col min="6401" max="6424" width="3.6640625" customWidth="1"/>
    <col min="6657" max="6680" width="3.6640625" customWidth="1"/>
    <col min="6913" max="6936" width="3.6640625" customWidth="1"/>
    <col min="7169" max="7192" width="3.6640625" customWidth="1"/>
    <col min="7425" max="7448" width="3.6640625" customWidth="1"/>
    <col min="7681" max="7704" width="3.6640625" customWidth="1"/>
    <col min="7937" max="7960" width="3.6640625" customWidth="1"/>
    <col min="8193" max="8216" width="3.6640625" customWidth="1"/>
    <col min="8449" max="8472" width="3.6640625" customWidth="1"/>
    <col min="8705" max="8728" width="3.6640625" customWidth="1"/>
    <col min="8961" max="8984" width="3.6640625" customWidth="1"/>
    <col min="9217" max="9240" width="3.6640625" customWidth="1"/>
    <col min="9473" max="9496" width="3.6640625" customWidth="1"/>
    <col min="9729" max="9752" width="3.6640625" customWidth="1"/>
    <col min="9985" max="10008" width="3.6640625" customWidth="1"/>
    <col min="10241" max="10264" width="3.6640625" customWidth="1"/>
    <col min="10497" max="10520" width="3.6640625" customWidth="1"/>
    <col min="10753" max="10776" width="3.6640625" customWidth="1"/>
    <col min="11009" max="11032" width="3.6640625" customWidth="1"/>
    <col min="11265" max="11288" width="3.6640625" customWidth="1"/>
    <col min="11521" max="11544" width="3.6640625" customWidth="1"/>
    <col min="11777" max="11800" width="3.6640625" customWidth="1"/>
    <col min="12033" max="12056" width="3.6640625" customWidth="1"/>
    <col min="12289" max="12312" width="3.6640625" customWidth="1"/>
    <col min="12545" max="12568" width="3.6640625" customWidth="1"/>
    <col min="12801" max="12824" width="3.6640625" customWidth="1"/>
    <col min="13057" max="13080" width="3.6640625" customWidth="1"/>
    <col min="13313" max="13336" width="3.6640625" customWidth="1"/>
    <col min="13569" max="13592" width="3.6640625" customWidth="1"/>
    <col min="13825" max="13848" width="3.6640625" customWidth="1"/>
    <col min="14081" max="14104" width="3.6640625" customWidth="1"/>
    <col min="14337" max="14360" width="3.6640625" customWidth="1"/>
    <col min="14593" max="14616" width="3.6640625" customWidth="1"/>
    <col min="14849" max="14872" width="3.6640625" customWidth="1"/>
    <col min="15105" max="15128" width="3.6640625" customWidth="1"/>
    <col min="15361" max="15384" width="3.6640625" customWidth="1"/>
    <col min="15617" max="15640" width="3.6640625" customWidth="1"/>
    <col min="15873" max="15896" width="3.6640625" customWidth="1"/>
    <col min="16129" max="16152" width="3.6640625" customWidth="1"/>
  </cols>
  <sheetData>
    <row r="1" spans="1:25" s="1115" customFormat="1" ht="15" customHeight="1">
      <c r="A1" s="1349" t="s">
        <v>3069</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114"/>
    </row>
    <row r="2" spans="1:25" s="1115" customFormat="1" ht="15" customHeight="1">
      <c r="A2" s="1116" t="s">
        <v>3780</v>
      </c>
      <c r="B2" s="1117"/>
      <c r="C2" s="1117"/>
      <c r="D2" s="1117"/>
      <c r="E2" s="1117"/>
      <c r="F2" s="1117"/>
      <c r="G2" s="1117"/>
      <c r="H2" s="1117"/>
      <c r="I2" s="1117"/>
      <c r="J2" s="1117"/>
      <c r="K2" s="1117"/>
      <c r="L2" s="1117"/>
      <c r="M2" s="1117"/>
      <c r="N2" s="1117"/>
      <c r="O2" s="1117"/>
      <c r="P2" s="1117"/>
      <c r="Q2" s="1117"/>
      <c r="R2" s="1117"/>
      <c r="S2" s="1117"/>
      <c r="T2" s="1117"/>
      <c r="U2" s="1117"/>
      <c r="V2" s="1117"/>
      <c r="W2" s="1117"/>
      <c r="X2" s="1117"/>
    </row>
    <row r="3" spans="1:25" s="1118" customFormat="1" ht="20.100000000000001" customHeight="1">
      <c r="A3" s="1118" t="s">
        <v>3781</v>
      </c>
    </row>
    <row r="4" spans="1:25" s="1118" customFormat="1" ht="15" customHeight="1">
      <c r="B4" s="1118" t="s">
        <v>3498</v>
      </c>
      <c r="G4" s="1336" t="str">
        <f>cst_wskakunin_owner1__space_KANA</f>
        <v>ｶﾌﾞｼｷｶﾞｲｼｬﾕｰｲｯｸﾌﾄﾞｳｻﾝ　ﾀﾞｲﾋｮｳﾄﾘｼﾏﾘﾔｸｼｬﾁｮｳ　ﾉｻﾞｷ　ﾕﾀｶ</v>
      </c>
      <c r="H4" s="1336"/>
      <c r="I4" s="1336"/>
      <c r="J4" s="1336"/>
      <c r="K4" s="1336"/>
      <c r="L4" s="1336"/>
      <c r="M4" s="1336"/>
      <c r="N4" s="1336"/>
      <c r="O4" s="1336"/>
      <c r="P4" s="1336"/>
      <c r="Q4" s="1336"/>
      <c r="R4" s="1336"/>
      <c r="S4" s="1336"/>
      <c r="T4" s="1336"/>
      <c r="U4" s="1336"/>
      <c r="V4" s="1336"/>
      <c r="W4" s="1336"/>
      <c r="X4" s="1336"/>
    </row>
    <row r="5" spans="1:25" s="1118" customFormat="1" ht="15" customHeight="1">
      <c r="B5" s="1118" t="s">
        <v>3492</v>
      </c>
      <c r="G5" s="1336" t="str">
        <f>cst_wskakunin_owner1__space</f>
        <v>株式会社ユーイック不動産　代表取締役社長　野崎　豊</v>
      </c>
      <c r="H5" s="1336"/>
      <c r="I5" s="1336"/>
      <c r="J5" s="1336"/>
      <c r="K5" s="1336"/>
      <c r="L5" s="1336"/>
      <c r="M5" s="1336"/>
      <c r="N5" s="1336"/>
      <c r="O5" s="1336"/>
      <c r="P5" s="1336"/>
      <c r="Q5" s="1336"/>
      <c r="R5" s="1336"/>
      <c r="S5" s="1336"/>
      <c r="T5" s="1336"/>
      <c r="U5" s="1336"/>
      <c r="V5" s="1336"/>
      <c r="W5" s="1336"/>
      <c r="X5" s="1336"/>
    </row>
    <row r="6" spans="1:25" s="1118" customFormat="1" ht="15" customHeight="1">
      <c r="B6" s="1118" t="s">
        <v>553</v>
      </c>
      <c r="G6" s="1336" t="str">
        <f>cst_wskakunin_owner1_ZIP</f>
        <v>105-0001</v>
      </c>
      <c r="H6" s="1336"/>
      <c r="I6" s="1336"/>
      <c r="J6" s="1336"/>
      <c r="K6" s="1336"/>
    </row>
    <row r="7" spans="1:25" s="1118" customFormat="1" ht="15" customHeight="1">
      <c r="B7" s="1118" t="s">
        <v>3497</v>
      </c>
      <c r="G7" s="1336" t="str">
        <f>cst_wskakunin_owner1__address</f>
        <v>東京都港区虎ノ門1-1-21</v>
      </c>
      <c r="H7" s="1336"/>
      <c r="I7" s="1336"/>
      <c r="J7" s="1336"/>
      <c r="K7" s="1336"/>
      <c r="L7" s="1336"/>
      <c r="M7" s="1336"/>
      <c r="N7" s="1336"/>
      <c r="O7" s="1336"/>
      <c r="P7" s="1336"/>
      <c r="Q7" s="1336"/>
      <c r="R7" s="1336"/>
      <c r="S7" s="1336"/>
      <c r="T7" s="1336"/>
      <c r="U7" s="1336"/>
      <c r="V7" s="1336"/>
      <c r="W7" s="1336"/>
      <c r="X7" s="1336"/>
    </row>
    <row r="8" spans="1:25" s="1118" customFormat="1" ht="15" customHeight="1">
      <c r="A8" s="1116"/>
      <c r="B8" s="1116" t="s">
        <v>555</v>
      </c>
      <c r="C8" s="1116"/>
      <c r="D8" s="1116"/>
      <c r="E8" s="1116"/>
      <c r="F8" s="1116"/>
      <c r="G8" s="1338" t="str">
        <f>cst_wskakunin_owner1_TEL</f>
        <v>03-3504-2386</v>
      </c>
      <c r="H8" s="1338"/>
      <c r="I8" s="1338"/>
      <c r="J8" s="1338"/>
      <c r="K8" s="1338"/>
      <c r="L8" s="1116"/>
      <c r="M8" s="1116"/>
      <c r="N8" s="1116"/>
      <c r="O8" s="1116"/>
      <c r="P8" s="1116"/>
      <c r="Q8" s="1116"/>
      <c r="R8" s="1116"/>
      <c r="S8" s="1116"/>
      <c r="T8" s="1116"/>
      <c r="U8" s="1116"/>
      <c r="V8" s="1116"/>
      <c r="W8" s="1116"/>
      <c r="X8" s="1116"/>
    </row>
    <row r="9" spans="1:25" s="1118" customFormat="1" ht="20.100000000000001" customHeight="1">
      <c r="A9" s="1118" t="s">
        <v>3782</v>
      </c>
    </row>
    <row r="10" spans="1:25" s="1118" customFormat="1" ht="15" customHeight="1">
      <c r="B10" s="1118" t="s">
        <v>3495</v>
      </c>
      <c r="G10" s="1113" t="s">
        <v>3783</v>
      </c>
      <c r="H10" s="1343" t="str">
        <f>cst_wskakunin_dairi1_SIKAKU</f>
        <v>一級</v>
      </c>
      <c r="I10" s="1343"/>
      <c r="J10" s="1089" t="s">
        <v>3784</v>
      </c>
      <c r="N10" s="1343" t="str">
        <f>cst_wskakunin_dairi1_TOUROKU_KIKAN</f>
        <v>国土交通大臣</v>
      </c>
      <c r="O10" s="1343"/>
      <c r="P10" s="1343"/>
      <c r="Q10" s="1343"/>
      <c r="R10" s="1118" t="s">
        <v>3785</v>
      </c>
      <c r="S10" s="1113"/>
      <c r="T10" s="1345" t="str">
        <f>cst_wskakunin_dairi1_KENTIKUSI_NO</f>
        <v>111111</v>
      </c>
      <c r="U10" s="1345"/>
      <c r="V10" s="1345"/>
      <c r="W10" s="1345"/>
      <c r="X10" s="1118" t="s">
        <v>381</v>
      </c>
    </row>
    <row r="11" spans="1:25" s="1118" customFormat="1" ht="15" customHeight="1">
      <c r="B11" s="1118" t="s">
        <v>3492</v>
      </c>
      <c r="G11" s="1336" t="str">
        <f>cst_wskakunin_dairi1_NAME</f>
        <v>藤田　ゆき子</v>
      </c>
      <c r="H11" s="1336"/>
      <c r="I11" s="1336"/>
      <c r="J11" s="1336"/>
      <c r="K11" s="1336"/>
      <c r="L11" s="1336"/>
      <c r="M11" s="1336"/>
      <c r="N11" s="1336"/>
      <c r="O11" s="1336"/>
      <c r="P11" s="1336"/>
      <c r="Q11" s="1336"/>
      <c r="R11" s="1336"/>
      <c r="S11" s="1336"/>
      <c r="T11" s="1336"/>
      <c r="U11" s="1336"/>
      <c r="V11" s="1336"/>
      <c r="W11" s="1336"/>
      <c r="X11" s="1336"/>
    </row>
    <row r="12" spans="1:25" s="1118" customFormat="1" ht="15" customHeight="1">
      <c r="B12" s="1119" t="s">
        <v>3491</v>
      </c>
      <c r="G12" s="1113" t="s">
        <v>3783</v>
      </c>
      <c r="H12" s="1343" t="str">
        <f>cst_wskakunin_dairi1_JIMU_SIKAKU</f>
        <v>一級</v>
      </c>
      <c r="I12" s="1343"/>
      <c r="J12" s="1089" t="s">
        <v>3786</v>
      </c>
      <c r="N12" s="1343" t="str">
        <f>cst_wskakunin_dairi1_JIMU_TOUROKU_KIKAN</f>
        <v>東京都</v>
      </c>
      <c r="O12" s="1343"/>
      <c r="P12" s="1343"/>
      <c r="Q12" s="1118" t="s">
        <v>3787</v>
      </c>
      <c r="S12" s="1120"/>
      <c r="T12" s="1345" t="str">
        <f>cst_wskakunin_dairi1_JIMU_NO</f>
        <v>11111</v>
      </c>
      <c r="U12" s="1345"/>
      <c r="V12" s="1345"/>
      <c r="W12" s="1345"/>
      <c r="X12" s="1118" t="s">
        <v>381</v>
      </c>
    </row>
    <row r="13" spans="1:25" s="1118" customFormat="1" ht="15" customHeight="1">
      <c r="C13" s="1113"/>
      <c r="E13" s="1113"/>
      <c r="G13" s="1336" t="str">
        <f>cst_wskakunin_dairi1_JIMU_NAME</f>
        <v>一級建築士事務所　UHEC</v>
      </c>
      <c r="H13" s="1336"/>
      <c r="I13" s="1336"/>
      <c r="J13" s="1336"/>
      <c r="K13" s="1336"/>
      <c r="L13" s="1336"/>
      <c r="M13" s="1336"/>
      <c r="N13" s="1336"/>
      <c r="O13" s="1336"/>
      <c r="P13" s="1336"/>
      <c r="Q13" s="1336"/>
      <c r="R13" s="1336"/>
      <c r="S13" s="1336"/>
      <c r="T13" s="1336"/>
      <c r="U13" s="1336"/>
      <c r="V13" s="1336"/>
      <c r="W13" s="1336"/>
      <c r="X13" s="1336"/>
    </row>
    <row r="14" spans="1:25" s="1118" customFormat="1" ht="15" customHeight="1">
      <c r="B14" s="1118" t="s">
        <v>3488</v>
      </c>
      <c r="G14" s="1336" t="str">
        <f>cst_wskakunin_dairi1_ZIP</f>
        <v>105-0001</v>
      </c>
      <c r="H14" s="1336"/>
      <c r="I14" s="1336"/>
      <c r="J14" s="1336"/>
      <c r="K14" s="1336"/>
    </row>
    <row r="15" spans="1:25" s="1118" customFormat="1" ht="15" customHeight="1">
      <c r="B15" s="1118" t="s">
        <v>3487</v>
      </c>
      <c r="G15" s="1336" t="str">
        <f>cst_wskakunin_dairi1__address</f>
        <v>東京都港区虎ノ門1-1-21</v>
      </c>
      <c r="H15" s="1336"/>
      <c r="I15" s="1336"/>
      <c r="J15" s="1336"/>
      <c r="K15" s="1336"/>
      <c r="L15" s="1336"/>
      <c r="M15" s="1336"/>
      <c r="N15" s="1336"/>
      <c r="O15" s="1336"/>
      <c r="P15" s="1336"/>
      <c r="Q15" s="1336"/>
      <c r="R15" s="1336"/>
      <c r="S15" s="1336"/>
      <c r="T15" s="1336"/>
      <c r="U15" s="1336"/>
      <c r="V15" s="1336"/>
      <c r="W15" s="1336"/>
      <c r="X15" s="1336"/>
    </row>
    <row r="16" spans="1:25" s="1118" customFormat="1" ht="15" customHeight="1">
      <c r="A16" s="1116"/>
      <c r="B16" s="1116" t="s">
        <v>3486</v>
      </c>
      <c r="C16" s="1116"/>
      <c r="D16" s="1116"/>
      <c r="E16" s="1116"/>
      <c r="F16" s="1116"/>
      <c r="G16" s="1338" t="str">
        <f>cst_wskakunin_dairi1_TEL</f>
        <v>03-3504-2386</v>
      </c>
      <c r="H16" s="1338"/>
      <c r="I16" s="1338"/>
      <c r="J16" s="1338"/>
      <c r="K16" s="1338"/>
      <c r="L16" s="1338"/>
      <c r="M16" s="1338"/>
      <c r="N16" s="1116" t="s">
        <v>4098</v>
      </c>
      <c r="O16" s="1116"/>
      <c r="P16" s="1338" t="str">
        <f>cst_wskakunin_dairi1_FAX</f>
        <v/>
      </c>
      <c r="Q16" s="1338"/>
      <c r="R16" s="1338"/>
      <c r="S16" s="1338"/>
      <c r="T16" s="1338"/>
      <c r="U16" s="1338"/>
      <c r="V16" s="1338"/>
      <c r="W16" s="1116"/>
      <c r="X16" s="1116"/>
    </row>
    <row r="17" spans="1:24" s="1118" customFormat="1" ht="20.100000000000001" customHeight="1">
      <c r="A17" s="1118" t="s">
        <v>3788</v>
      </c>
    </row>
    <row r="18" spans="1:24" s="1118" customFormat="1" ht="15" customHeight="1">
      <c r="B18" s="1118" t="s">
        <v>3642</v>
      </c>
    </row>
    <row r="19" spans="1:24" s="1118" customFormat="1" ht="15" customHeight="1">
      <c r="B19" s="1118" t="s">
        <v>3495</v>
      </c>
      <c r="G19" s="1113" t="s">
        <v>3783</v>
      </c>
      <c r="H19" s="1343" t="str">
        <f>cst_wskakunin_sekkei1_SIKAKU</f>
        <v>一級</v>
      </c>
      <c r="I19" s="1343"/>
      <c r="J19" s="1089" t="s">
        <v>3784</v>
      </c>
      <c r="N19" s="1343" t="str">
        <f>cst_wskakunin_sekkei1_TOUROKU_KIKAN</f>
        <v>国土交通大臣</v>
      </c>
      <c r="O19" s="1343"/>
      <c r="P19" s="1343"/>
      <c r="Q19" s="1343"/>
      <c r="R19" s="1118" t="s">
        <v>3785</v>
      </c>
      <c r="S19" s="1113"/>
      <c r="T19" s="1345" t="str">
        <f>cst_wskakunin_sekkei1_KENTIKUSI_NO</f>
        <v>12121212</v>
      </c>
      <c r="U19" s="1345"/>
      <c r="V19" s="1345"/>
      <c r="W19" s="1345"/>
      <c r="X19" s="1118" t="s">
        <v>381</v>
      </c>
    </row>
    <row r="20" spans="1:24" s="1118" customFormat="1" ht="15" customHeight="1">
      <c r="B20" s="1118" t="s">
        <v>3492</v>
      </c>
      <c r="G20" s="1336" t="str">
        <f>cst_wskakunin_sekkei1_NAME</f>
        <v>髙橋　一郎</v>
      </c>
      <c r="H20" s="1336"/>
      <c r="I20" s="1336"/>
      <c r="J20" s="1336"/>
      <c r="K20" s="1336"/>
      <c r="L20" s="1336"/>
      <c r="M20" s="1336"/>
      <c r="N20" s="1336"/>
      <c r="O20" s="1336"/>
      <c r="P20" s="1336"/>
      <c r="Q20" s="1336"/>
      <c r="R20" s="1336"/>
      <c r="S20" s="1336"/>
      <c r="T20" s="1336"/>
      <c r="U20" s="1336"/>
      <c r="V20" s="1336"/>
      <c r="W20" s="1336"/>
      <c r="X20" s="1336"/>
    </row>
    <row r="21" spans="1:24" s="1118" customFormat="1" ht="15" customHeight="1">
      <c r="B21" s="1119" t="s">
        <v>3491</v>
      </c>
      <c r="G21" s="1113" t="s">
        <v>3783</v>
      </c>
      <c r="H21" s="1343" t="str">
        <f>cst_wskakunin_sekkei1_JIMU_SIKAKU</f>
        <v>一級</v>
      </c>
      <c r="I21" s="1343"/>
      <c r="J21" s="1089" t="s">
        <v>3786</v>
      </c>
      <c r="N21" s="1343" t="str">
        <f>cst_wskakunin_sekkei1_JIMU_TOUROKU_KIKAN</f>
        <v>東京都</v>
      </c>
      <c r="O21" s="1343"/>
      <c r="P21" s="1343"/>
      <c r="Q21" s="1118" t="s">
        <v>3787</v>
      </c>
      <c r="S21" s="1120"/>
      <c r="T21" s="1345" t="str">
        <f>cst_wskakunin_sekkei1_JIMU_NO</f>
        <v>11111</v>
      </c>
      <c r="U21" s="1345"/>
      <c r="V21" s="1345"/>
      <c r="W21" s="1345"/>
      <c r="X21" s="1118" t="s">
        <v>381</v>
      </c>
    </row>
    <row r="22" spans="1:24" s="1118" customFormat="1" ht="15" customHeight="1">
      <c r="C22" s="1113"/>
      <c r="E22" s="1113"/>
      <c r="G22" s="1336" t="str">
        <f>cst_wskakunin_sekkei1_JIMU_NAME</f>
        <v>一級建築士事務所　UHEC</v>
      </c>
      <c r="H22" s="1336"/>
      <c r="I22" s="1336"/>
      <c r="J22" s="1336"/>
      <c r="K22" s="1336"/>
      <c r="L22" s="1336"/>
      <c r="M22" s="1336"/>
      <c r="N22" s="1336"/>
      <c r="O22" s="1336"/>
      <c r="P22" s="1336"/>
      <c r="Q22" s="1336"/>
      <c r="R22" s="1336"/>
      <c r="S22" s="1336"/>
      <c r="T22" s="1336"/>
      <c r="U22" s="1336"/>
      <c r="V22" s="1336"/>
      <c r="W22" s="1336"/>
      <c r="X22" s="1336"/>
    </row>
    <row r="23" spans="1:24" s="1118" customFormat="1" ht="15" customHeight="1">
      <c r="B23" s="1118" t="s">
        <v>3488</v>
      </c>
      <c r="G23" s="1336" t="str">
        <f>cst_wskakunin_sekkei1_ZIP</f>
        <v>105-0001</v>
      </c>
      <c r="H23" s="1337"/>
      <c r="I23" s="1337"/>
      <c r="J23" s="1337"/>
      <c r="K23" s="1337"/>
    </row>
    <row r="24" spans="1:24" s="1118" customFormat="1" ht="15" customHeight="1">
      <c r="B24" s="1118" t="s">
        <v>3487</v>
      </c>
      <c r="G24" s="1336" t="str">
        <f>cst_wskakunin_sekkei1__address</f>
        <v>東京都港区虎ノ門1-1-21</v>
      </c>
      <c r="H24" s="1336"/>
      <c r="I24" s="1336"/>
      <c r="J24" s="1336"/>
      <c r="K24" s="1336"/>
      <c r="L24" s="1336"/>
      <c r="M24" s="1336"/>
      <c r="N24" s="1336"/>
      <c r="O24" s="1336"/>
      <c r="P24" s="1336"/>
      <c r="Q24" s="1336"/>
      <c r="R24" s="1336"/>
      <c r="S24" s="1336"/>
      <c r="T24" s="1336"/>
      <c r="U24" s="1336"/>
      <c r="V24" s="1336"/>
      <c r="W24" s="1336"/>
      <c r="X24" s="1336"/>
    </row>
    <row r="25" spans="1:24" s="1118" customFormat="1" ht="15" customHeight="1">
      <c r="B25" s="1118" t="s">
        <v>3486</v>
      </c>
      <c r="G25" s="1336" t="str">
        <f>cst_wskakunin_sekkei1_TEL</f>
        <v>03-3504-2386</v>
      </c>
      <c r="H25" s="1337"/>
      <c r="I25" s="1337"/>
      <c r="J25" s="1337"/>
      <c r="K25" s="1337"/>
    </row>
    <row r="26" spans="1:24" s="1118" customFormat="1" ht="15" customHeight="1">
      <c r="B26" s="1118" t="s">
        <v>3789</v>
      </c>
      <c r="J26" s="1336" t="str">
        <f>cst_wskakunin_sekkei1_DOC</f>
        <v>意匠図一式</v>
      </c>
      <c r="K26" s="1337"/>
      <c r="L26" s="1337"/>
      <c r="M26" s="1337"/>
      <c r="N26" s="1337"/>
      <c r="O26" s="1337"/>
      <c r="P26" s="1337"/>
      <c r="Q26" s="1337"/>
      <c r="R26" s="1337"/>
      <c r="S26" s="1337"/>
      <c r="T26" s="1337"/>
      <c r="U26" s="1337"/>
      <c r="V26" s="1337"/>
      <c r="W26" s="1337"/>
      <c r="X26" s="1337"/>
    </row>
    <row r="27" spans="1:24" s="1118" customFormat="1" ht="15" customHeight="1">
      <c r="C27" s="1113"/>
      <c r="V27" s="1121"/>
      <c r="W27" s="1121"/>
      <c r="X27" s="1121"/>
    </row>
    <row r="28" spans="1:24" s="1118" customFormat="1" ht="15" customHeight="1">
      <c r="B28" s="1118" t="s">
        <v>3641</v>
      </c>
    </row>
    <row r="29" spans="1:24" s="1118" customFormat="1" ht="15" customHeight="1">
      <c r="B29" s="1118" t="s">
        <v>3495</v>
      </c>
      <c r="G29" s="1113" t="s">
        <v>3783</v>
      </c>
      <c r="H29" s="1343" t="str">
        <f>cst_wskakunin_sekkei2_SIKAKU</f>
        <v>一級</v>
      </c>
      <c r="I29" s="1343"/>
      <c r="J29" s="1089" t="s">
        <v>3784</v>
      </c>
      <c r="N29" s="1343" t="str">
        <f>cst_wskakunin_sekkei2_TOUROKU_KIKAN</f>
        <v>国土交通大臣</v>
      </c>
      <c r="O29" s="1343"/>
      <c r="P29" s="1343"/>
      <c r="Q29" s="1343"/>
      <c r="R29" s="1118" t="s">
        <v>3785</v>
      </c>
      <c r="S29" s="1113"/>
      <c r="T29" s="1345" t="str">
        <f>cst_wskakunin_sekkei2_KENTIKUSI_NO</f>
        <v>111111</v>
      </c>
      <c r="U29" s="1345"/>
      <c r="V29" s="1345"/>
      <c r="W29" s="1345"/>
      <c r="X29" s="1118" t="s">
        <v>381</v>
      </c>
    </row>
    <row r="30" spans="1:24" s="1118" customFormat="1" ht="15" customHeight="1">
      <c r="B30" s="1118" t="s">
        <v>3492</v>
      </c>
      <c r="G30" s="1336" t="str">
        <f>cst_wskakunin_sekkei2_NAME</f>
        <v>藤田　ゆき子</v>
      </c>
      <c r="H30" s="1336"/>
      <c r="I30" s="1336"/>
      <c r="J30" s="1336"/>
      <c r="K30" s="1336"/>
      <c r="L30" s="1336"/>
      <c r="M30" s="1336"/>
      <c r="N30" s="1336"/>
      <c r="O30" s="1336"/>
      <c r="P30" s="1336"/>
      <c r="Q30" s="1336"/>
      <c r="R30" s="1336"/>
      <c r="S30" s="1336"/>
      <c r="T30" s="1336"/>
      <c r="U30" s="1336"/>
      <c r="V30" s="1336"/>
      <c r="W30" s="1336"/>
      <c r="X30" s="1336"/>
    </row>
    <row r="31" spans="1:24" s="1118" customFormat="1" ht="15" customHeight="1">
      <c r="B31" s="1119" t="s">
        <v>3491</v>
      </c>
      <c r="G31" s="1113" t="s">
        <v>3783</v>
      </c>
      <c r="H31" s="1343" t="str">
        <f>cst_wskakunin_sekkei2_JIMU_SIKAKU</f>
        <v>一級</v>
      </c>
      <c r="I31" s="1343"/>
      <c r="J31" s="1089" t="s">
        <v>3786</v>
      </c>
      <c r="N31" s="1343" t="str">
        <f>cst_wskakunin_sekkei2_JIMU_TOUROKU_KIKAN</f>
        <v>東京都</v>
      </c>
      <c r="O31" s="1343"/>
      <c r="P31" s="1343"/>
      <c r="Q31" s="1118" t="s">
        <v>3787</v>
      </c>
      <c r="S31" s="1120"/>
      <c r="T31" s="1345" t="str">
        <f>cst_wskakunin_sekkei2_JIMU_NO</f>
        <v>11111</v>
      </c>
      <c r="U31" s="1345"/>
      <c r="V31" s="1345"/>
      <c r="W31" s="1345"/>
      <c r="X31" s="1118" t="s">
        <v>381</v>
      </c>
    </row>
    <row r="32" spans="1:24" s="1118" customFormat="1" ht="15" customHeight="1">
      <c r="C32" s="1113"/>
      <c r="E32" s="1113"/>
      <c r="G32" s="1336" t="str">
        <f>cst_wskakunin_sekkei2_JIMU_NAME</f>
        <v>一級建築士事務所　UHEC</v>
      </c>
      <c r="H32" s="1336"/>
      <c r="I32" s="1336"/>
      <c r="J32" s="1336"/>
      <c r="K32" s="1336"/>
      <c r="L32" s="1336"/>
      <c r="M32" s="1336"/>
      <c r="N32" s="1336"/>
      <c r="O32" s="1336"/>
      <c r="P32" s="1336"/>
      <c r="Q32" s="1336"/>
      <c r="R32" s="1336"/>
      <c r="S32" s="1336"/>
      <c r="T32" s="1336"/>
      <c r="U32" s="1336"/>
      <c r="V32" s="1336"/>
      <c r="W32" s="1336"/>
      <c r="X32" s="1336"/>
    </row>
    <row r="33" spans="2:24" s="1118" customFormat="1" ht="15" customHeight="1">
      <c r="B33" s="1118" t="s">
        <v>3488</v>
      </c>
      <c r="G33" s="1336" t="str">
        <f>cst_wskakunin_sekkei2_ZIP</f>
        <v>105-0001</v>
      </c>
      <c r="H33" s="1337"/>
      <c r="I33" s="1337"/>
      <c r="J33" s="1337"/>
      <c r="K33" s="1337"/>
    </row>
    <row r="34" spans="2:24" s="1118" customFormat="1" ht="15" customHeight="1">
      <c r="B34" s="1118" t="s">
        <v>3487</v>
      </c>
      <c r="G34" s="1336" t="str">
        <f>cst_wskakunin_sekkei2__address</f>
        <v>東京都港区虎ノ門1-1-21</v>
      </c>
      <c r="H34" s="1336"/>
      <c r="I34" s="1336"/>
      <c r="J34" s="1336"/>
      <c r="K34" s="1336"/>
      <c r="L34" s="1336"/>
      <c r="M34" s="1336"/>
      <c r="N34" s="1336"/>
      <c r="O34" s="1336"/>
      <c r="P34" s="1336"/>
      <c r="Q34" s="1336"/>
      <c r="R34" s="1336"/>
      <c r="S34" s="1336"/>
      <c r="T34" s="1336"/>
      <c r="U34" s="1336"/>
      <c r="V34" s="1336"/>
      <c r="W34" s="1336"/>
      <c r="X34" s="1336"/>
    </row>
    <row r="35" spans="2:24" s="1118" customFormat="1" ht="15" customHeight="1">
      <c r="B35" s="1118" t="s">
        <v>3486</v>
      </c>
      <c r="G35" s="1336" t="str">
        <f>cst_wskakunin_sekkei2_TEL</f>
        <v>03-3504-2386</v>
      </c>
      <c r="H35" s="1337"/>
      <c r="I35" s="1337"/>
      <c r="J35" s="1337"/>
      <c r="K35" s="1337"/>
    </row>
    <row r="36" spans="2:24" s="1118" customFormat="1" ht="15" customHeight="1">
      <c r="B36" s="1118" t="s">
        <v>3789</v>
      </c>
      <c r="J36" s="1336" t="str">
        <f>cst_wskakunin_sekkei2_DOC</f>
        <v>設計図書一式</v>
      </c>
      <c r="K36" s="1337"/>
      <c r="L36" s="1337"/>
      <c r="M36" s="1337"/>
      <c r="N36" s="1337"/>
      <c r="O36" s="1337"/>
      <c r="P36" s="1337"/>
      <c r="Q36" s="1337"/>
      <c r="R36" s="1337"/>
      <c r="S36" s="1337"/>
      <c r="T36" s="1337"/>
      <c r="U36" s="1337"/>
      <c r="V36" s="1337"/>
      <c r="W36" s="1337"/>
      <c r="X36" s="1337"/>
    </row>
    <row r="37" spans="2:24" s="1118" customFormat="1" ht="15" customHeight="1">
      <c r="C37" s="1113"/>
      <c r="V37" s="1121"/>
      <c r="W37" s="1121"/>
      <c r="X37" s="1121"/>
    </row>
    <row r="38" spans="2:24" s="1118" customFormat="1" ht="15" customHeight="1">
      <c r="B38" s="1118" t="s">
        <v>3495</v>
      </c>
      <c r="G38" s="1113" t="s">
        <v>3783</v>
      </c>
      <c r="H38" s="1343" t="str">
        <f>cst_wskakunin_sekkei3_SIKAKU</f>
        <v>一級</v>
      </c>
      <c r="I38" s="1343"/>
      <c r="J38" s="1089" t="s">
        <v>3784</v>
      </c>
      <c r="N38" s="1343" t="str">
        <f>cst_wskakunin_sekkei3_TOUROKU_KIKAN</f>
        <v>国土交通大臣</v>
      </c>
      <c r="O38" s="1343"/>
      <c r="P38" s="1343"/>
      <c r="Q38" s="1343"/>
      <c r="R38" s="1118" t="s">
        <v>3785</v>
      </c>
      <c r="S38" s="1113"/>
      <c r="T38" s="1345" t="str">
        <f>cst_wskakunin_sekkei3_KENTIKUSI_NO</f>
        <v>1234556</v>
      </c>
      <c r="U38" s="1345"/>
      <c r="V38" s="1345"/>
      <c r="W38" s="1345"/>
      <c r="X38" s="1118" t="s">
        <v>381</v>
      </c>
    </row>
    <row r="39" spans="2:24" s="1118" customFormat="1" ht="15" customHeight="1">
      <c r="B39" s="1118" t="s">
        <v>3492</v>
      </c>
      <c r="G39" s="1336" t="str">
        <f>cst_wskakunin_sekkei3_NAME</f>
        <v>橋上　眞光</v>
      </c>
      <c r="H39" s="1336"/>
      <c r="I39" s="1336"/>
      <c r="J39" s="1336"/>
      <c r="K39" s="1336"/>
      <c r="L39" s="1336"/>
      <c r="M39" s="1336"/>
      <c r="N39" s="1336"/>
      <c r="O39" s="1336"/>
      <c r="P39" s="1336"/>
      <c r="Q39" s="1336"/>
      <c r="R39" s="1336"/>
      <c r="S39" s="1336"/>
      <c r="T39" s="1336"/>
      <c r="U39" s="1336"/>
      <c r="V39" s="1336"/>
      <c r="W39" s="1336"/>
      <c r="X39" s="1336"/>
    </row>
    <row r="40" spans="2:24" s="1118" customFormat="1" ht="15" customHeight="1">
      <c r="B40" s="1119" t="s">
        <v>3491</v>
      </c>
      <c r="G40" s="1113" t="s">
        <v>3783</v>
      </c>
      <c r="H40" s="1343" t="str">
        <f>cst_wskakunin_sekkei3_JIMU_SIKAKU</f>
        <v>一級</v>
      </c>
      <c r="I40" s="1343"/>
      <c r="J40" s="1089" t="s">
        <v>3786</v>
      </c>
      <c r="N40" s="1343" t="str">
        <f>cst_wskakunin_sekkei3_JIMU_TOUROKU_KIKAN</f>
        <v>東京都</v>
      </c>
      <c r="O40" s="1343"/>
      <c r="P40" s="1343"/>
      <c r="Q40" s="1118" t="s">
        <v>3787</v>
      </c>
      <c r="S40" s="1120"/>
      <c r="T40" s="1345" t="str">
        <f>cst_wskakunin_sekkei3_JIMU_NO</f>
        <v>11111</v>
      </c>
      <c r="U40" s="1345"/>
      <c r="V40" s="1345"/>
      <c r="W40" s="1345"/>
      <c r="X40" s="1118" t="s">
        <v>381</v>
      </c>
    </row>
    <row r="41" spans="2:24" s="1118" customFormat="1" ht="15" customHeight="1">
      <c r="C41" s="1113"/>
      <c r="E41" s="1113"/>
      <c r="G41" s="1336" t="str">
        <f>cst_wskakunin_sekkei3_JIMU_NAME</f>
        <v>一級建築士事務所　UHEC</v>
      </c>
      <c r="H41" s="1336"/>
      <c r="I41" s="1336"/>
      <c r="J41" s="1336"/>
      <c r="K41" s="1336"/>
      <c r="L41" s="1336"/>
      <c r="M41" s="1336"/>
      <c r="N41" s="1336"/>
      <c r="O41" s="1336"/>
      <c r="P41" s="1336"/>
      <c r="Q41" s="1336"/>
      <c r="R41" s="1336"/>
      <c r="S41" s="1336"/>
      <c r="T41" s="1336"/>
      <c r="U41" s="1336"/>
      <c r="V41" s="1336"/>
      <c r="W41" s="1336"/>
      <c r="X41" s="1336"/>
    </row>
    <row r="42" spans="2:24" s="1118" customFormat="1" ht="15" customHeight="1">
      <c r="B42" s="1118" t="s">
        <v>3488</v>
      </c>
      <c r="G42" s="1336" t="str">
        <f>cst_wskakunin_sekkei3_ZIP</f>
        <v>105-0001</v>
      </c>
      <c r="H42" s="1337"/>
      <c r="I42" s="1337"/>
      <c r="J42" s="1337"/>
      <c r="K42" s="1337"/>
    </row>
    <row r="43" spans="2:24" s="1118" customFormat="1" ht="15" customHeight="1">
      <c r="B43" s="1118" t="s">
        <v>3487</v>
      </c>
      <c r="G43" s="1336" t="str">
        <f>cst_wskakunin_sekkei3__address</f>
        <v>東京都港区虎ノ門1-1-21</v>
      </c>
      <c r="H43" s="1336"/>
      <c r="I43" s="1336"/>
      <c r="J43" s="1336"/>
      <c r="K43" s="1336"/>
      <c r="L43" s="1336"/>
      <c r="M43" s="1336"/>
      <c r="N43" s="1336"/>
      <c r="O43" s="1336"/>
      <c r="P43" s="1336"/>
      <c r="Q43" s="1336"/>
      <c r="R43" s="1336"/>
      <c r="S43" s="1336"/>
      <c r="T43" s="1336"/>
      <c r="U43" s="1336"/>
      <c r="V43" s="1336"/>
      <c r="W43" s="1336"/>
      <c r="X43" s="1336"/>
    </row>
    <row r="44" spans="2:24" s="1118" customFormat="1" ht="15" customHeight="1">
      <c r="B44" s="1118" t="s">
        <v>3486</v>
      </c>
      <c r="G44" s="1336" t="str">
        <f>cst_wskakunin_sekkei3_TEL</f>
        <v>03-3504-2386</v>
      </c>
      <c r="H44" s="1337"/>
      <c r="I44" s="1337"/>
      <c r="J44" s="1337"/>
      <c r="K44" s="1337"/>
    </row>
    <row r="45" spans="2:24" s="1118" customFormat="1" ht="15" customHeight="1">
      <c r="B45" s="1118" t="s">
        <v>3789</v>
      </c>
      <c r="J45" s="1348" t="str">
        <f>cst_wskakunin_sekkei3_DOC</f>
        <v>意匠図</v>
      </c>
      <c r="K45" s="1337"/>
      <c r="L45" s="1337"/>
      <c r="M45" s="1337"/>
      <c r="N45" s="1337"/>
      <c r="O45" s="1337"/>
      <c r="P45" s="1337"/>
      <c r="Q45" s="1337"/>
      <c r="R45" s="1337"/>
      <c r="S45" s="1337"/>
      <c r="T45" s="1337"/>
      <c r="U45" s="1337"/>
      <c r="V45" s="1337"/>
      <c r="W45" s="1337"/>
      <c r="X45" s="1337"/>
    </row>
    <row r="46" spans="2:24" s="1118" customFormat="1" ht="15" customHeight="1">
      <c r="C46" s="1113"/>
      <c r="V46" s="1121"/>
      <c r="W46" s="1121"/>
      <c r="X46" s="1121"/>
    </row>
    <row r="47" spans="2:24" s="1118" customFormat="1" ht="15" customHeight="1">
      <c r="B47" s="1118" t="s">
        <v>3495</v>
      </c>
      <c r="G47" s="1113" t="s">
        <v>3783</v>
      </c>
      <c r="H47" s="1343" t="str">
        <f>cst_wskakunin_sekkei4_SIKAKU</f>
        <v>一級</v>
      </c>
      <c r="I47" s="1343"/>
      <c r="J47" s="1089" t="s">
        <v>3784</v>
      </c>
      <c r="N47" s="1343" t="str">
        <f>cst_wskakunin_sekkei4_TOUROKU_KIKAN</f>
        <v>国土交通大臣</v>
      </c>
      <c r="O47" s="1343"/>
      <c r="P47" s="1343"/>
      <c r="Q47" s="1343"/>
      <c r="R47" s="1118" t="s">
        <v>3785</v>
      </c>
      <c r="S47" s="1113"/>
      <c r="T47" s="1345" t="str">
        <f>cst_wskakunin_sekkei4_KENTIKUSI_NO</f>
        <v>9876543</v>
      </c>
      <c r="U47" s="1345"/>
      <c r="V47" s="1345"/>
      <c r="W47" s="1345"/>
      <c r="X47" s="1118" t="s">
        <v>381</v>
      </c>
    </row>
    <row r="48" spans="2:24" s="1118" customFormat="1" ht="15" customHeight="1">
      <c r="B48" s="1118" t="s">
        <v>3492</v>
      </c>
      <c r="G48" s="1348" t="str">
        <f>cst_wskakunin_sekkei4_NAME</f>
        <v>櫻井　誠一</v>
      </c>
      <c r="H48" s="1348"/>
      <c r="I48" s="1348"/>
      <c r="J48" s="1348"/>
      <c r="K48" s="1348"/>
      <c r="L48" s="1348"/>
      <c r="M48" s="1348"/>
      <c r="N48" s="1348"/>
      <c r="O48" s="1348"/>
      <c r="P48" s="1348"/>
      <c r="Q48" s="1348"/>
      <c r="R48" s="1348"/>
      <c r="S48" s="1348"/>
      <c r="T48" s="1348"/>
      <c r="U48" s="1348"/>
      <c r="V48" s="1348"/>
      <c r="W48" s="1348"/>
      <c r="X48" s="1348"/>
    </row>
    <row r="49" spans="2:24" s="1118" customFormat="1" ht="15" customHeight="1">
      <c r="B49" s="1119" t="s">
        <v>3491</v>
      </c>
      <c r="G49" s="1113" t="s">
        <v>3783</v>
      </c>
      <c r="H49" s="1343" t="str">
        <f>cst_wskakunin_sekkei4_JIMU_SIKAKU</f>
        <v>一級</v>
      </c>
      <c r="I49" s="1343"/>
      <c r="J49" s="1089" t="s">
        <v>3786</v>
      </c>
      <c r="N49" s="1343" t="str">
        <f>cst_wskakunin_sekkei4_JIMU_TOUROKU_KIKAN</f>
        <v>東京都</v>
      </c>
      <c r="O49" s="1343"/>
      <c r="P49" s="1343"/>
      <c r="Q49" s="1118" t="s">
        <v>3787</v>
      </c>
      <c r="S49" s="1120"/>
      <c r="T49" s="1345" t="str">
        <f>cst_wskakunin_sekkei4_JIMU_NO</f>
        <v>11111</v>
      </c>
      <c r="U49" s="1345"/>
      <c r="V49" s="1345"/>
      <c r="W49" s="1345"/>
      <c r="X49" s="1118" t="s">
        <v>381</v>
      </c>
    </row>
    <row r="50" spans="2:24" s="1118" customFormat="1" ht="15" customHeight="1">
      <c r="C50" s="1113"/>
      <c r="E50" s="1113"/>
      <c r="G50" s="1336" t="str">
        <f>cst_wskakunin_sekkei4_JIMU_NAME</f>
        <v>一級建築士事務所　UHEC</v>
      </c>
      <c r="H50" s="1336"/>
      <c r="I50" s="1336"/>
      <c r="J50" s="1336"/>
      <c r="K50" s="1336"/>
      <c r="L50" s="1336"/>
      <c r="M50" s="1336"/>
      <c r="N50" s="1336"/>
      <c r="O50" s="1336"/>
      <c r="P50" s="1336"/>
      <c r="Q50" s="1336"/>
      <c r="R50" s="1336"/>
      <c r="S50" s="1336"/>
      <c r="T50" s="1336"/>
      <c r="U50" s="1336"/>
      <c r="V50" s="1336"/>
      <c r="W50" s="1336"/>
      <c r="X50" s="1336"/>
    </row>
    <row r="51" spans="2:24" s="1118" customFormat="1" ht="15" customHeight="1">
      <c r="B51" s="1118" t="s">
        <v>3488</v>
      </c>
      <c r="G51" s="1336" t="str">
        <f>cst_wskakunin_sekkei4_ZIP</f>
        <v>105-0001</v>
      </c>
      <c r="H51" s="1337"/>
      <c r="I51" s="1337"/>
      <c r="J51" s="1337"/>
      <c r="K51" s="1337"/>
    </row>
    <row r="52" spans="2:24" s="1118" customFormat="1" ht="15" customHeight="1">
      <c r="B52" s="1118" t="s">
        <v>3487</v>
      </c>
      <c r="G52" s="1336" t="str">
        <f>cst_wskakunin_sekkei4__address</f>
        <v>東京都港区虎ノ門1-1-21</v>
      </c>
      <c r="H52" s="1336"/>
      <c r="I52" s="1336"/>
      <c r="J52" s="1336"/>
      <c r="K52" s="1336"/>
      <c r="L52" s="1336"/>
      <c r="M52" s="1336"/>
      <c r="N52" s="1336"/>
      <c r="O52" s="1336"/>
      <c r="P52" s="1336"/>
      <c r="Q52" s="1336"/>
      <c r="R52" s="1336"/>
      <c r="S52" s="1336"/>
      <c r="T52" s="1336"/>
      <c r="U52" s="1336"/>
      <c r="V52" s="1336"/>
      <c r="W52" s="1336"/>
      <c r="X52" s="1336"/>
    </row>
    <row r="53" spans="2:24" s="1118" customFormat="1" ht="15" customHeight="1">
      <c r="B53" s="1118" t="s">
        <v>3486</v>
      </c>
      <c r="G53" s="1336" t="str">
        <f>cst_wskakunin_sekkei4_TEL</f>
        <v>03-3504-2386</v>
      </c>
      <c r="H53" s="1337"/>
      <c r="I53" s="1337"/>
      <c r="J53" s="1337"/>
      <c r="K53" s="1337"/>
    </row>
    <row r="54" spans="2:24" s="1118" customFormat="1" ht="15" customHeight="1">
      <c r="B54" s="1118" t="s">
        <v>3789</v>
      </c>
      <c r="J54" s="1336" t="str">
        <f>cst_wskakunin_sekkei4_DOC</f>
        <v>構造図一式</v>
      </c>
      <c r="K54" s="1337"/>
      <c r="L54" s="1337"/>
      <c r="M54" s="1337"/>
      <c r="N54" s="1337"/>
      <c r="O54" s="1337"/>
      <c r="P54" s="1337"/>
      <c r="Q54" s="1337"/>
      <c r="R54" s="1337"/>
      <c r="S54" s="1337"/>
      <c r="T54" s="1337"/>
      <c r="U54" s="1337"/>
      <c r="V54" s="1337"/>
      <c r="W54" s="1337"/>
      <c r="X54" s="1337"/>
    </row>
    <row r="55" spans="2:24" s="1118" customFormat="1" ht="15" customHeight="1">
      <c r="B55" s="1118" t="s">
        <v>738</v>
      </c>
    </row>
    <row r="56" spans="2:24" s="1118" customFormat="1" ht="15" customHeight="1">
      <c r="B56" s="1118" t="s">
        <v>3790</v>
      </c>
    </row>
    <row r="57" spans="2:24" s="1118" customFormat="1" ht="15" customHeight="1">
      <c r="B57" s="1122" t="s">
        <v>40</v>
      </c>
      <c r="C57" s="1118" t="s">
        <v>739</v>
      </c>
    </row>
    <row r="58" spans="2:24" s="1118" customFormat="1" ht="15" customHeight="1">
      <c r="B58" s="1118" t="s">
        <v>585</v>
      </c>
      <c r="G58" s="1336" t="str">
        <f>cst_wskakunin_20kouzou101_NAME</f>
        <v>櫻井　誠一</v>
      </c>
      <c r="H58" s="1336"/>
      <c r="I58" s="1336"/>
      <c r="J58" s="1336"/>
      <c r="K58" s="1336"/>
      <c r="L58" s="1336"/>
      <c r="M58" s="1336"/>
      <c r="N58" s="1336"/>
      <c r="O58" s="1336"/>
      <c r="P58" s="1336"/>
      <c r="Q58" s="1336"/>
      <c r="R58" s="1336"/>
      <c r="S58" s="1336"/>
      <c r="T58" s="1336"/>
      <c r="U58" s="1336"/>
      <c r="V58" s="1336"/>
      <c r="W58" s="1336"/>
      <c r="X58" s="1336"/>
    </row>
    <row r="59" spans="2:24" s="1118" customFormat="1" ht="15" customHeight="1">
      <c r="B59" s="1118" t="s">
        <v>3791</v>
      </c>
      <c r="L59" s="1345" t="str">
        <f>cst_wskakunin_20kouzou101_KOUZOUSEKKEI_KOUFU_NO</f>
        <v>5678</v>
      </c>
      <c r="M59" s="1345"/>
      <c r="N59" s="1345"/>
      <c r="O59" s="1345"/>
      <c r="P59" s="1118" t="s">
        <v>381</v>
      </c>
    </row>
    <row r="60" spans="2:24" s="1118" customFormat="1" ht="15" customHeight="1">
      <c r="B60" s="1122" t="s">
        <v>40</v>
      </c>
      <c r="C60" s="1118" t="s">
        <v>742</v>
      </c>
    </row>
    <row r="61" spans="2:24" s="1118" customFormat="1" ht="15" customHeight="1">
      <c r="B61" s="1118" t="s">
        <v>585</v>
      </c>
      <c r="G61" s="1336" t="str">
        <f>cst_wskakunin_20kouzou301_NAME</f>
        <v>櫻井　誠一</v>
      </c>
      <c r="H61" s="1336"/>
      <c r="I61" s="1336"/>
      <c r="J61" s="1336"/>
      <c r="K61" s="1336"/>
      <c r="L61" s="1336"/>
      <c r="M61" s="1336"/>
      <c r="N61" s="1336"/>
      <c r="O61" s="1336"/>
      <c r="P61" s="1336"/>
      <c r="Q61" s="1336"/>
      <c r="R61" s="1336"/>
      <c r="S61" s="1336"/>
      <c r="T61" s="1336"/>
      <c r="U61" s="1336"/>
      <c r="V61" s="1336"/>
      <c r="W61" s="1336"/>
      <c r="X61" s="1336"/>
    </row>
    <row r="62" spans="2:24" s="1118" customFormat="1" ht="15" customHeight="1">
      <c r="B62" s="1118" t="s">
        <v>3791</v>
      </c>
      <c r="L62" s="1345" t="str">
        <f>cst_wskakunin_20kouzou301_KOUZOUSEKKEI_KOUFU_NO</f>
        <v>5678</v>
      </c>
      <c r="M62" s="1345"/>
      <c r="N62" s="1345"/>
      <c r="O62" s="1345"/>
      <c r="P62" s="1118" t="s">
        <v>381</v>
      </c>
    </row>
    <row r="63" spans="2:24" s="1118" customFormat="1" ht="15" customHeight="1">
      <c r="B63" s="1122" t="s">
        <v>40</v>
      </c>
      <c r="C63" s="1118" t="s">
        <v>745</v>
      </c>
    </row>
    <row r="64" spans="2:24" s="1118" customFormat="1" ht="15" customHeight="1">
      <c r="B64" s="1118" t="s">
        <v>585</v>
      </c>
      <c r="G64" s="1336" t="str">
        <f>cst_wskakunin_20setubi101_NAME</f>
        <v>市川　治</v>
      </c>
      <c r="H64" s="1336"/>
      <c r="I64" s="1336"/>
      <c r="J64" s="1336"/>
      <c r="K64" s="1336"/>
      <c r="L64" s="1336"/>
      <c r="M64" s="1336"/>
      <c r="N64" s="1336"/>
      <c r="O64" s="1336"/>
      <c r="P64" s="1336"/>
      <c r="Q64" s="1336"/>
      <c r="R64" s="1336"/>
      <c r="S64" s="1336"/>
      <c r="T64" s="1336"/>
      <c r="U64" s="1336"/>
      <c r="V64" s="1336"/>
      <c r="W64" s="1336"/>
      <c r="X64" s="1336"/>
    </row>
    <row r="65" spans="1:24" s="1118" customFormat="1" ht="15" customHeight="1">
      <c r="B65" s="1118" t="s">
        <v>3792</v>
      </c>
      <c r="L65" s="1345" t="str">
        <f>cst_wskakunin_20setubi101_SETUBISEKKEI_KOUFU_NO</f>
        <v>5555</v>
      </c>
      <c r="M65" s="1345"/>
      <c r="N65" s="1345"/>
      <c r="O65" s="1345"/>
      <c r="P65" s="1118" t="s">
        <v>381</v>
      </c>
    </row>
    <row r="66" spans="1:24" s="1118" customFormat="1" ht="15" customHeight="1">
      <c r="B66" s="1118" t="s">
        <v>585</v>
      </c>
      <c r="G66" s="1336" t="str">
        <f>cst_wskakunin_20setubi102_NAME</f>
        <v/>
      </c>
      <c r="H66" s="1336"/>
      <c r="I66" s="1336"/>
      <c r="J66" s="1336"/>
      <c r="K66" s="1336"/>
      <c r="L66" s="1336"/>
      <c r="M66" s="1336"/>
      <c r="N66" s="1336"/>
      <c r="O66" s="1336"/>
      <c r="P66" s="1336"/>
      <c r="Q66" s="1336"/>
      <c r="R66" s="1336"/>
      <c r="S66" s="1336"/>
      <c r="T66" s="1336"/>
      <c r="U66" s="1336"/>
      <c r="V66" s="1336"/>
      <c r="W66" s="1336"/>
      <c r="X66" s="1336"/>
    </row>
    <row r="67" spans="1:24" s="1118" customFormat="1" ht="15" customHeight="1">
      <c r="B67" s="1118" t="s">
        <v>3792</v>
      </c>
      <c r="L67" s="1345" t="str">
        <f>cst_wskakunin_20setubi102_SETUBISEKKEI_KOUFU_NO</f>
        <v/>
      </c>
      <c r="M67" s="1345"/>
      <c r="N67" s="1345"/>
      <c r="O67" s="1345"/>
      <c r="P67" s="1118" t="s">
        <v>381</v>
      </c>
    </row>
    <row r="68" spans="1:24" s="1118" customFormat="1" ht="15" customHeight="1">
      <c r="B68" s="1118" t="s">
        <v>585</v>
      </c>
      <c r="G68" s="1336" t="str">
        <f>cst_wskakunin_20setubi103_NAME</f>
        <v/>
      </c>
      <c r="H68" s="1336"/>
      <c r="I68" s="1336"/>
      <c r="J68" s="1336"/>
      <c r="K68" s="1336"/>
      <c r="L68" s="1336"/>
      <c r="M68" s="1336"/>
      <c r="N68" s="1336"/>
      <c r="O68" s="1336"/>
      <c r="P68" s="1336"/>
      <c r="Q68" s="1336"/>
      <c r="R68" s="1336"/>
      <c r="S68" s="1336"/>
      <c r="T68" s="1336"/>
      <c r="U68" s="1336"/>
      <c r="V68" s="1336"/>
      <c r="W68" s="1336"/>
      <c r="X68" s="1336"/>
    </row>
    <row r="69" spans="1:24" s="1118" customFormat="1" ht="15" customHeight="1">
      <c r="B69" s="1118" t="s">
        <v>3792</v>
      </c>
      <c r="L69" s="1345" t="str">
        <f>cst_wskakunin_20setubi103_SETUBISEKKEI_KOUFU_NO</f>
        <v/>
      </c>
      <c r="M69" s="1345"/>
      <c r="N69" s="1345"/>
      <c r="O69" s="1345"/>
      <c r="P69" s="1118" t="s">
        <v>381</v>
      </c>
    </row>
    <row r="70" spans="1:24" s="1118" customFormat="1" ht="15" customHeight="1">
      <c r="B70" s="1122" t="s">
        <v>40</v>
      </c>
      <c r="C70" s="1118" t="s">
        <v>753</v>
      </c>
    </row>
    <row r="71" spans="1:24" s="1118" customFormat="1" ht="15" customHeight="1">
      <c r="B71" s="1118" t="s">
        <v>585</v>
      </c>
      <c r="G71" s="1336" t="str">
        <f>cst_wskakunin_20setubi301_NAME</f>
        <v>市川　治</v>
      </c>
      <c r="H71" s="1336"/>
      <c r="I71" s="1336"/>
      <c r="J71" s="1336"/>
      <c r="K71" s="1336"/>
      <c r="L71" s="1336"/>
      <c r="M71" s="1336"/>
      <c r="N71" s="1336"/>
      <c r="O71" s="1336"/>
      <c r="P71" s="1336"/>
      <c r="Q71" s="1336"/>
      <c r="R71" s="1336"/>
      <c r="S71" s="1336"/>
      <c r="T71" s="1336"/>
      <c r="U71" s="1336"/>
      <c r="V71" s="1336"/>
      <c r="W71" s="1336"/>
      <c r="X71" s="1336"/>
    </row>
    <row r="72" spans="1:24" s="1118" customFormat="1" ht="15" customHeight="1">
      <c r="B72" s="1118" t="s">
        <v>3792</v>
      </c>
      <c r="L72" s="1345" t="str">
        <f>cst_wskakunin_20setubi301_SETUBISEKKEI_KOUFU_NO</f>
        <v>5555</v>
      </c>
      <c r="M72" s="1345"/>
      <c r="N72" s="1345"/>
      <c r="O72" s="1345"/>
      <c r="P72" s="1118" t="s">
        <v>381</v>
      </c>
    </row>
    <row r="73" spans="1:24" s="1118" customFormat="1" ht="15" customHeight="1">
      <c r="B73" s="1118" t="s">
        <v>585</v>
      </c>
      <c r="G73" s="1336" t="str">
        <f>cst_wskakunin_20setubi302_NAME</f>
        <v/>
      </c>
      <c r="H73" s="1336"/>
      <c r="I73" s="1336"/>
      <c r="J73" s="1336"/>
      <c r="K73" s="1336"/>
      <c r="L73" s="1336"/>
      <c r="M73" s="1336"/>
      <c r="N73" s="1336"/>
      <c r="O73" s="1336"/>
      <c r="P73" s="1336"/>
      <c r="Q73" s="1336"/>
      <c r="R73" s="1336"/>
      <c r="S73" s="1336"/>
      <c r="T73" s="1336"/>
      <c r="U73" s="1336"/>
      <c r="V73" s="1336"/>
      <c r="W73" s="1336"/>
      <c r="X73" s="1336"/>
    </row>
    <row r="74" spans="1:24" s="1118" customFormat="1" ht="15" customHeight="1">
      <c r="B74" s="1118" t="s">
        <v>3792</v>
      </c>
      <c r="L74" s="1345" t="str">
        <f>cst_wskakunin_20setubi302_SETUBISEKKEI_KOUFU_NO</f>
        <v/>
      </c>
      <c r="M74" s="1345"/>
      <c r="N74" s="1345"/>
      <c r="O74" s="1345"/>
      <c r="P74" s="1118" t="s">
        <v>381</v>
      </c>
    </row>
    <row r="75" spans="1:24" s="1118" customFormat="1" ht="15" customHeight="1">
      <c r="B75" s="1118" t="s">
        <v>585</v>
      </c>
      <c r="G75" s="1336" t="str">
        <f>cst_wskakunin_20setubi303_NAME</f>
        <v/>
      </c>
      <c r="H75" s="1336"/>
      <c r="I75" s="1336"/>
      <c r="J75" s="1336"/>
      <c r="K75" s="1336"/>
      <c r="L75" s="1336"/>
      <c r="M75" s="1336"/>
      <c r="N75" s="1336"/>
      <c r="O75" s="1336"/>
      <c r="P75" s="1336"/>
      <c r="Q75" s="1336"/>
      <c r="R75" s="1336"/>
      <c r="S75" s="1336"/>
      <c r="T75" s="1336"/>
      <c r="U75" s="1336"/>
      <c r="V75" s="1336"/>
      <c r="W75" s="1336"/>
      <c r="X75" s="1336"/>
    </row>
    <row r="76" spans="1:24" s="1118" customFormat="1" ht="15" customHeight="1">
      <c r="B76" s="1118" t="s">
        <v>3792</v>
      </c>
      <c r="L76" s="1345" t="str">
        <f>cst_wskakunin_20setubi303_SETUBISEKKEI_KOUFU_NO</f>
        <v/>
      </c>
      <c r="M76" s="1345"/>
      <c r="N76" s="1345"/>
      <c r="O76" s="1345"/>
      <c r="P76" s="1118" t="s">
        <v>381</v>
      </c>
    </row>
    <row r="77" spans="1:24" s="1118" customFormat="1" ht="15" customHeight="1">
      <c r="A77" s="1123" t="s">
        <v>554</v>
      </c>
      <c r="B77" s="1123"/>
      <c r="C77" s="1123"/>
      <c r="D77" s="1123"/>
      <c r="E77" s="1123"/>
      <c r="F77" s="1123"/>
      <c r="G77" s="1123"/>
      <c r="H77" s="1123"/>
      <c r="I77" s="1123"/>
      <c r="J77" s="1123"/>
      <c r="K77" s="1123"/>
      <c r="L77" s="1123"/>
      <c r="M77" s="1123"/>
      <c r="N77" s="1123"/>
      <c r="O77" s="1123"/>
      <c r="P77" s="1123"/>
      <c r="Q77" s="1123"/>
      <c r="R77" s="1123"/>
      <c r="S77" s="1123"/>
      <c r="T77" s="1123"/>
      <c r="U77" s="1123"/>
      <c r="V77" s="1123"/>
      <c r="W77" s="1123"/>
      <c r="X77" s="1123"/>
    </row>
    <row r="78" spans="1:24" s="1118" customFormat="1" ht="15" customHeight="1">
      <c r="B78" s="1118" t="s">
        <v>584</v>
      </c>
    </row>
    <row r="79" spans="1:24" s="1118" customFormat="1" ht="15" customHeight="1">
      <c r="B79" s="1118" t="s">
        <v>585</v>
      </c>
      <c r="G79" s="1336" t="str">
        <f>cst_wskakunin_iken1_NAME</f>
        <v/>
      </c>
      <c r="H79" s="1336"/>
      <c r="I79" s="1336"/>
      <c r="J79" s="1336"/>
      <c r="K79" s="1336"/>
      <c r="L79" s="1336"/>
      <c r="M79" s="1336"/>
      <c r="N79" s="1336"/>
      <c r="O79" s="1336"/>
      <c r="P79" s="1336"/>
      <c r="Q79" s="1336"/>
      <c r="R79" s="1336"/>
      <c r="S79" s="1336"/>
      <c r="T79" s="1336"/>
      <c r="U79" s="1336"/>
      <c r="V79" s="1336"/>
      <c r="W79" s="1336"/>
      <c r="X79" s="1336"/>
    </row>
    <row r="80" spans="1:24" s="1118" customFormat="1" ht="15" customHeight="1">
      <c r="B80" s="1118" t="s">
        <v>586</v>
      </c>
      <c r="G80" s="1336" t="str">
        <f>cst_wskakunin_iken1_JIMU_NAME</f>
        <v/>
      </c>
      <c r="H80" s="1336"/>
      <c r="I80" s="1336"/>
      <c r="J80" s="1336"/>
      <c r="K80" s="1336"/>
      <c r="L80" s="1336"/>
      <c r="M80" s="1336"/>
      <c r="N80" s="1336"/>
      <c r="O80" s="1336"/>
      <c r="P80" s="1336"/>
      <c r="Q80" s="1336"/>
      <c r="R80" s="1336"/>
      <c r="S80" s="1336"/>
      <c r="T80" s="1336"/>
      <c r="U80" s="1336"/>
      <c r="V80" s="1336"/>
      <c r="W80" s="1336"/>
      <c r="X80" s="1336"/>
    </row>
    <row r="81" spans="2:24" s="1118" customFormat="1" ht="15" customHeight="1">
      <c r="B81" s="1118" t="s">
        <v>553</v>
      </c>
      <c r="G81" s="1336" t="str">
        <f>cst_wskakunin_iken1_ZIP</f>
        <v/>
      </c>
      <c r="H81" s="1337"/>
      <c r="I81" s="1337"/>
      <c r="J81" s="1337"/>
      <c r="K81" s="1337"/>
    </row>
    <row r="82" spans="2:24" s="1118" customFormat="1" ht="15" customHeight="1">
      <c r="B82" s="1118" t="s">
        <v>587</v>
      </c>
      <c r="G82" s="1336" t="str">
        <f>cst_wskakunin_iken1__address</f>
        <v/>
      </c>
      <c r="H82" s="1336"/>
      <c r="I82" s="1336"/>
      <c r="J82" s="1336"/>
      <c r="K82" s="1336"/>
      <c r="L82" s="1336"/>
      <c r="M82" s="1336"/>
      <c r="N82" s="1336"/>
      <c r="O82" s="1336"/>
      <c r="P82" s="1336"/>
      <c r="Q82" s="1336"/>
      <c r="R82" s="1336"/>
      <c r="S82" s="1336"/>
      <c r="T82" s="1336"/>
      <c r="U82" s="1336"/>
      <c r="V82" s="1336"/>
      <c r="W82" s="1336"/>
      <c r="X82" s="1336"/>
    </row>
    <row r="83" spans="2:24" s="1118" customFormat="1" ht="15" customHeight="1">
      <c r="B83" s="1118" t="s">
        <v>555</v>
      </c>
      <c r="G83" s="1336" t="str">
        <f>cst_wskakunin_iken1_TEL</f>
        <v/>
      </c>
      <c r="H83" s="1337"/>
      <c r="I83" s="1337"/>
      <c r="J83" s="1337"/>
      <c r="K83" s="1337"/>
    </row>
    <row r="84" spans="2:24" s="1118" customFormat="1" ht="15" customHeight="1">
      <c r="B84" s="1118" t="s">
        <v>556</v>
      </c>
      <c r="G84" s="1346" t="str">
        <f>cst_wskakunin_iken1_IKEN_NO</f>
        <v/>
      </c>
      <c r="H84" s="1347"/>
      <c r="I84" s="1347"/>
      <c r="J84" s="1347"/>
      <c r="K84" s="1347"/>
      <c r="L84" s="1347"/>
      <c r="M84" s="1347"/>
      <c r="N84" s="1347"/>
      <c r="O84" s="1347"/>
      <c r="P84" s="1347"/>
      <c r="Q84" s="1347"/>
      <c r="R84" s="1347"/>
      <c r="S84" s="1347"/>
      <c r="T84" s="1347"/>
      <c r="U84" s="1347"/>
      <c r="V84" s="1347"/>
      <c r="W84" s="1347"/>
      <c r="X84" s="1347"/>
    </row>
    <row r="85" spans="2:24" s="1118" customFormat="1" ht="15" customHeight="1">
      <c r="B85" s="1118" t="s">
        <v>557</v>
      </c>
      <c r="I85" s="1124"/>
      <c r="J85" s="1336" t="str">
        <f>cst_wskakunin_iken1_DOC</f>
        <v/>
      </c>
      <c r="K85" s="1336"/>
      <c r="L85" s="1336"/>
      <c r="M85" s="1336"/>
      <c r="N85" s="1336"/>
      <c r="O85" s="1336"/>
      <c r="P85" s="1336"/>
      <c r="Q85" s="1336"/>
      <c r="R85" s="1336"/>
      <c r="S85" s="1336"/>
      <c r="T85" s="1336"/>
      <c r="U85" s="1336"/>
      <c r="V85" s="1336"/>
      <c r="W85" s="1336"/>
      <c r="X85" s="1336"/>
    </row>
    <row r="86" spans="2:24" s="1118" customFormat="1" ht="9.9" customHeight="1"/>
    <row r="87" spans="2:24" s="1118" customFormat="1" ht="15" customHeight="1">
      <c r="B87" s="1118" t="s">
        <v>3793</v>
      </c>
    </row>
    <row r="88" spans="2:24" s="1118" customFormat="1" ht="15" customHeight="1">
      <c r="B88" s="1118" t="s">
        <v>585</v>
      </c>
      <c r="G88" s="1336" t="str">
        <f>cst_wskakunin_iken2_NAME</f>
        <v/>
      </c>
      <c r="H88" s="1336"/>
      <c r="I88" s="1336"/>
      <c r="J88" s="1336"/>
      <c r="K88" s="1336"/>
      <c r="L88" s="1336"/>
      <c r="M88" s="1336"/>
      <c r="N88" s="1336"/>
      <c r="O88" s="1336"/>
      <c r="P88" s="1336"/>
      <c r="Q88" s="1336"/>
      <c r="R88" s="1336"/>
      <c r="S88" s="1336"/>
      <c r="T88" s="1336"/>
      <c r="U88" s="1336"/>
      <c r="V88" s="1336"/>
      <c r="W88" s="1336"/>
      <c r="X88" s="1336"/>
    </row>
    <row r="89" spans="2:24" s="1118" customFormat="1" ht="15" customHeight="1">
      <c r="B89" s="1118" t="s">
        <v>586</v>
      </c>
      <c r="G89" s="1336" t="str">
        <f>cst_wskakunin_iken2_JIMU_NAME</f>
        <v/>
      </c>
      <c r="H89" s="1336"/>
      <c r="I89" s="1336"/>
      <c r="J89" s="1336"/>
      <c r="K89" s="1336"/>
      <c r="L89" s="1336"/>
      <c r="M89" s="1336"/>
      <c r="N89" s="1336"/>
      <c r="O89" s="1336"/>
      <c r="P89" s="1336"/>
      <c r="Q89" s="1336"/>
      <c r="R89" s="1336"/>
      <c r="S89" s="1336"/>
      <c r="T89" s="1336"/>
      <c r="U89" s="1336"/>
      <c r="V89" s="1336"/>
      <c r="W89" s="1336"/>
      <c r="X89" s="1336"/>
    </row>
    <row r="90" spans="2:24" s="1118" customFormat="1" ht="15" customHeight="1">
      <c r="B90" s="1118" t="s">
        <v>553</v>
      </c>
      <c r="G90" s="1336" t="str">
        <f>cst_wskakunin_iken2_ZIP</f>
        <v/>
      </c>
      <c r="H90" s="1337"/>
      <c r="I90" s="1337"/>
      <c r="J90" s="1337"/>
      <c r="K90" s="1337"/>
    </row>
    <row r="91" spans="2:24" s="1118" customFormat="1" ht="15" customHeight="1">
      <c r="B91" s="1118" t="s">
        <v>587</v>
      </c>
      <c r="G91" s="1336" t="str">
        <f>cst_wskakunin_iken2__address</f>
        <v/>
      </c>
      <c r="H91" s="1336"/>
      <c r="I91" s="1336"/>
      <c r="J91" s="1336"/>
      <c r="K91" s="1336"/>
      <c r="L91" s="1336"/>
      <c r="M91" s="1336"/>
      <c r="N91" s="1336"/>
      <c r="O91" s="1336"/>
      <c r="P91" s="1336"/>
      <c r="Q91" s="1336"/>
      <c r="R91" s="1336"/>
      <c r="S91" s="1336"/>
      <c r="T91" s="1336"/>
      <c r="U91" s="1336"/>
      <c r="V91" s="1336"/>
      <c r="W91" s="1336"/>
      <c r="X91" s="1336"/>
    </row>
    <row r="92" spans="2:24" s="1118" customFormat="1" ht="15" customHeight="1">
      <c r="B92" s="1118" t="s">
        <v>555</v>
      </c>
      <c r="G92" s="1336" t="str">
        <f>cst_wskakunin_iken2_TEL</f>
        <v/>
      </c>
      <c r="H92" s="1337"/>
      <c r="I92" s="1337"/>
      <c r="J92" s="1337"/>
      <c r="K92" s="1337"/>
    </row>
    <row r="93" spans="2:24" s="1118" customFormat="1" ht="15" customHeight="1">
      <c r="B93" s="1118" t="s">
        <v>556</v>
      </c>
      <c r="G93" s="1346" t="str">
        <f>cst_wskakunin_iken2_IKEN_NO</f>
        <v/>
      </c>
      <c r="H93" s="1347"/>
      <c r="I93" s="1347"/>
      <c r="J93" s="1347"/>
      <c r="K93" s="1347"/>
      <c r="L93" s="1347"/>
      <c r="M93" s="1347"/>
      <c r="N93" s="1347"/>
      <c r="O93" s="1347"/>
      <c r="P93" s="1347"/>
      <c r="Q93" s="1347"/>
      <c r="R93" s="1347"/>
      <c r="S93" s="1347"/>
      <c r="T93" s="1347"/>
      <c r="U93" s="1347"/>
      <c r="V93" s="1347"/>
      <c r="W93" s="1347"/>
      <c r="X93" s="1347"/>
    </row>
    <row r="94" spans="2:24" s="1118" customFormat="1" ht="15" customHeight="1">
      <c r="B94" s="1118" t="s">
        <v>557</v>
      </c>
      <c r="I94" s="1124"/>
      <c r="J94" s="1336" t="str">
        <f>cst_wskakunin_iken2_DOC</f>
        <v/>
      </c>
      <c r="K94" s="1336"/>
      <c r="L94" s="1336"/>
      <c r="M94" s="1336"/>
      <c r="N94" s="1336"/>
      <c r="O94" s="1336"/>
      <c r="P94" s="1336"/>
      <c r="Q94" s="1336"/>
      <c r="R94" s="1336"/>
      <c r="S94" s="1336"/>
      <c r="T94" s="1336"/>
      <c r="U94" s="1336"/>
      <c r="V94" s="1336"/>
      <c r="W94" s="1336"/>
      <c r="X94" s="1336"/>
    </row>
    <row r="95" spans="2:24" s="1118" customFormat="1" ht="9.9" customHeight="1"/>
    <row r="96" spans="2:24" s="1118" customFormat="1" ht="15" customHeight="1">
      <c r="B96" s="1118" t="s">
        <v>585</v>
      </c>
      <c r="G96" s="1336" t="str">
        <f>cst_wskakunin_iken3_NAME</f>
        <v/>
      </c>
      <c r="H96" s="1336"/>
      <c r="I96" s="1336"/>
      <c r="J96" s="1336"/>
      <c r="K96" s="1336"/>
      <c r="L96" s="1336"/>
      <c r="M96" s="1336"/>
      <c r="N96" s="1336"/>
      <c r="O96" s="1336"/>
      <c r="P96" s="1336"/>
      <c r="Q96" s="1336"/>
      <c r="R96" s="1336"/>
      <c r="S96" s="1336"/>
      <c r="T96" s="1336"/>
      <c r="U96" s="1336"/>
      <c r="V96" s="1336"/>
      <c r="W96" s="1336"/>
      <c r="X96" s="1336"/>
    </row>
    <row r="97" spans="1:24" s="1118" customFormat="1" ht="15" customHeight="1">
      <c r="B97" s="1118" t="s">
        <v>586</v>
      </c>
      <c r="G97" s="1336" t="str">
        <f>cst_wskakunin_iken3_JIMU_NAME</f>
        <v/>
      </c>
      <c r="H97" s="1336"/>
      <c r="I97" s="1336"/>
      <c r="J97" s="1336"/>
      <c r="K97" s="1336"/>
      <c r="L97" s="1336"/>
      <c r="M97" s="1336"/>
      <c r="N97" s="1336"/>
      <c r="O97" s="1336"/>
      <c r="P97" s="1336"/>
      <c r="Q97" s="1336"/>
      <c r="R97" s="1336"/>
      <c r="S97" s="1336"/>
      <c r="T97" s="1336"/>
      <c r="U97" s="1336"/>
      <c r="V97" s="1336"/>
      <c r="W97" s="1336"/>
      <c r="X97" s="1336"/>
    </row>
    <row r="98" spans="1:24" s="1118" customFormat="1" ht="15" customHeight="1">
      <c r="B98" s="1118" t="s">
        <v>553</v>
      </c>
      <c r="G98" s="1336" t="str">
        <f>cst_wskakunin_iken3_ZIP</f>
        <v/>
      </c>
      <c r="H98" s="1337"/>
      <c r="I98" s="1337"/>
      <c r="J98" s="1337"/>
      <c r="K98" s="1337"/>
    </row>
    <row r="99" spans="1:24" s="1118" customFormat="1" ht="15" customHeight="1">
      <c r="B99" s="1118" t="s">
        <v>587</v>
      </c>
      <c r="G99" s="1336" t="str">
        <f>cst_wskakunin_iken3__address</f>
        <v/>
      </c>
      <c r="H99" s="1336"/>
      <c r="I99" s="1336"/>
      <c r="J99" s="1336"/>
      <c r="K99" s="1336"/>
      <c r="L99" s="1336"/>
      <c r="M99" s="1336"/>
      <c r="N99" s="1336"/>
      <c r="O99" s="1336"/>
      <c r="P99" s="1336"/>
      <c r="Q99" s="1336"/>
      <c r="R99" s="1336"/>
      <c r="S99" s="1336"/>
      <c r="T99" s="1336"/>
      <c r="U99" s="1336"/>
      <c r="V99" s="1336"/>
      <c r="W99" s="1336"/>
      <c r="X99" s="1336"/>
    </row>
    <row r="100" spans="1:24" s="1118" customFormat="1" ht="15" customHeight="1">
      <c r="B100" s="1118" t="s">
        <v>555</v>
      </c>
      <c r="G100" s="1336" t="str">
        <f>cst_wskakunin_iken3_TEL</f>
        <v/>
      </c>
      <c r="H100" s="1337"/>
      <c r="I100" s="1337"/>
      <c r="J100" s="1337"/>
      <c r="K100" s="1337"/>
    </row>
    <row r="101" spans="1:24" s="1118" customFormat="1" ht="15" customHeight="1">
      <c r="B101" s="1118" t="s">
        <v>556</v>
      </c>
      <c r="G101" s="1346" t="str">
        <f>cst_wskakunin_iken3_IKEN_NO</f>
        <v/>
      </c>
      <c r="H101" s="1347"/>
      <c r="I101" s="1347"/>
      <c r="J101" s="1347"/>
      <c r="K101" s="1347"/>
      <c r="L101" s="1347"/>
      <c r="M101" s="1347"/>
      <c r="N101" s="1347"/>
      <c r="O101" s="1347"/>
      <c r="P101" s="1347"/>
      <c r="Q101" s="1347"/>
      <c r="R101" s="1347"/>
      <c r="S101" s="1347"/>
      <c r="T101" s="1347"/>
      <c r="U101" s="1347"/>
      <c r="V101" s="1347"/>
      <c r="W101" s="1347"/>
      <c r="X101" s="1347"/>
    </row>
    <row r="102" spans="1:24" s="1118" customFormat="1" ht="15" customHeight="1">
      <c r="B102" s="1118" t="s">
        <v>557</v>
      </c>
      <c r="I102" s="1124"/>
      <c r="J102" s="1336" t="str">
        <f>cst_wskakunin_iken3_DOC</f>
        <v/>
      </c>
      <c r="K102" s="1337"/>
      <c r="L102" s="1337"/>
      <c r="M102" s="1337"/>
      <c r="N102" s="1337"/>
      <c r="O102" s="1337"/>
      <c r="P102" s="1337"/>
      <c r="Q102" s="1337"/>
      <c r="R102" s="1337"/>
      <c r="S102" s="1337"/>
      <c r="T102" s="1337"/>
      <c r="U102" s="1337"/>
      <c r="V102" s="1337"/>
      <c r="W102" s="1337"/>
      <c r="X102" s="1337"/>
    </row>
    <row r="103" spans="1:24" s="1118" customFormat="1" ht="9.9" customHeight="1"/>
    <row r="104" spans="1:24" s="1118" customFormat="1" ht="15" customHeight="1">
      <c r="B104" s="1118" t="s">
        <v>585</v>
      </c>
      <c r="G104" s="1336" t="str">
        <f>cst_wskakunin_iken4_NAME</f>
        <v/>
      </c>
      <c r="H104" s="1336"/>
      <c r="I104" s="1336"/>
      <c r="J104" s="1336"/>
      <c r="K104" s="1336"/>
      <c r="L104" s="1336"/>
      <c r="M104" s="1336"/>
      <c r="N104" s="1336"/>
      <c r="O104" s="1336"/>
      <c r="P104" s="1336"/>
      <c r="Q104" s="1336"/>
      <c r="R104" s="1336"/>
      <c r="S104" s="1336"/>
      <c r="T104" s="1336"/>
      <c r="U104" s="1336"/>
      <c r="V104" s="1336"/>
      <c r="W104" s="1336"/>
      <c r="X104" s="1336"/>
    </row>
    <row r="105" spans="1:24" s="1118" customFormat="1" ht="15" customHeight="1">
      <c r="B105" s="1118" t="s">
        <v>586</v>
      </c>
      <c r="G105" s="1336" t="str">
        <f>cst_wskakunin_iken4_JIMU_NAME</f>
        <v/>
      </c>
      <c r="H105" s="1336"/>
      <c r="I105" s="1336"/>
      <c r="J105" s="1336"/>
      <c r="K105" s="1336"/>
      <c r="L105" s="1336"/>
      <c r="M105" s="1336"/>
      <c r="N105" s="1336"/>
      <c r="O105" s="1336"/>
      <c r="P105" s="1336"/>
      <c r="Q105" s="1336"/>
      <c r="R105" s="1336"/>
      <c r="S105" s="1336"/>
      <c r="T105" s="1336"/>
      <c r="U105" s="1336"/>
      <c r="V105" s="1336"/>
      <c r="W105" s="1336"/>
      <c r="X105" s="1336"/>
    </row>
    <row r="106" spans="1:24" s="1118" customFormat="1" ht="15" customHeight="1">
      <c r="B106" s="1118" t="s">
        <v>553</v>
      </c>
      <c r="G106" s="1336" t="str">
        <f>cst_wskakunin_iken4_ZIP</f>
        <v/>
      </c>
      <c r="H106" s="1337"/>
      <c r="I106" s="1337"/>
      <c r="J106" s="1337"/>
      <c r="K106" s="1337"/>
    </row>
    <row r="107" spans="1:24" s="1118" customFormat="1" ht="15" customHeight="1">
      <c r="B107" s="1118" t="s">
        <v>587</v>
      </c>
      <c r="G107" s="1336" t="str">
        <f>cst_wskakunin_iken4__address</f>
        <v/>
      </c>
      <c r="H107" s="1336"/>
      <c r="I107" s="1336"/>
      <c r="J107" s="1336"/>
      <c r="K107" s="1336"/>
      <c r="L107" s="1336"/>
      <c r="M107" s="1336"/>
      <c r="N107" s="1336"/>
      <c r="O107" s="1336"/>
      <c r="P107" s="1336"/>
      <c r="Q107" s="1336"/>
      <c r="R107" s="1336"/>
      <c r="S107" s="1336"/>
      <c r="T107" s="1336"/>
      <c r="U107" s="1336"/>
      <c r="V107" s="1336"/>
      <c r="W107" s="1336"/>
      <c r="X107" s="1336"/>
    </row>
    <row r="108" spans="1:24" s="1118" customFormat="1" ht="15" customHeight="1">
      <c r="B108" s="1118" t="s">
        <v>555</v>
      </c>
      <c r="G108" s="1336" t="str">
        <f>cst_wskakunin_iken4_TEL</f>
        <v/>
      </c>
      <c r="H108" s="1337"/>
      <c r="I108" s="1337"/>
      <c r="J108" s="1337"/>
      <c r="K108" s="1337"/>
    </row>
    <row r="109" spans="1:24" s="1118" customFormat="1" ht="15" customHeight="1">
      <c r="B109" s="1118" t="s">
        <v>556</v>
      </c>
      <c r="G109" s="1346" t="str">
        <f>cst_wskakunin_iken4_IKEN_NO</f>
        <v/>
      </c>
      <c r="H109" s="1347"/>
      <c r="I109" s="1347"/>
      <c r="J109" s="1347"/>
      <c r="K109" s="1347"/>
      <c r="L109" s="1347"/>
      <c r="M109" s="1347"/>
      <c r="N109" s="1347"/>
      <c r="O109" s="1347"/>
      <c r="P109" s="1347"/>
      <c r="Q109" s="1347"/>
      <c r="R109" s="1347"/>
      <c r="S109" s="1347"/>
      <c r="T109" s="1347"/>
      <c r="U109" s="1347"/>
      <c r="V109" s="1347"/>
      <c r="W109" s="1347"/>
      <c r="X109" s="1347"/>
    </row>
    <row r="110" spans="1:24" s="1118" customFormat="1" ht="15" customHeight="1">
      <c r="B110" s="1118" t="s">
        <v>557</v>
      </c>
      <c r="I110" s="1124"/>
      <c r="J110" s="1336" t="str">
        <f>cst_wskakunin_iken4_DOC</f>
        <v/>
      </c>
      <c r="K110" s="1337"/>
      <c r="L110" s="1337"/>
      <c r="M110" s="1337"/>
      <c r="N110" s="1337"/>
      <c r="O110" s="1337"/>
      <c r="P110" s="1337"/>
      <c r="Q110" s="1337"/>
      <c r="R110" s="1337"/>
      <c r="S110" s="1337"/>
      <c r="T110" s="1337"/>
      <c r="U110" s="1337"/>
      <c r="V110" s="1337"/>
      <c r="W110" s="1337"/>
      <c r="X110" s="1337"/>
    </row>
    <row r="111" spans="1:24" s="1118" customFormat="1" ht="15" customHeight="1">
      <c r="A111" s="1123" t="s">
        <v>3794</v>
      </c>
      <c r="B111" s="1123"/>
      <c r="C111" s="1123"/>
      <c r="D111" s="1123"/>
      <c r="E111" s="1123"/>
      <c r="F111" s="1123"/>
      <c r="G111" s="1123"/>
      <c r="H111" s="1123"/>
      <c r="I111" s="1123"/>
      <c r="J111" s="1123"/>
      <c r="K111" s="1123"/>
      <c r="L111" s="1123"/>
      <c r="M111" s="1123"/>
      <c r="N111" s="1123"/>
      <c r="O111" s="1123"/>
      <c r="P111" s="1123"/>
      <c r="Q111" s="1123"/>
      <c r="R111" s="1123"/>
      <c r="S111" s="1123"/>
      <c r="T111" s="1123"/>
      <c r="U111" s="1123"/>
      <c r="V111" s="1123"/>
      <c r="W111" s="1123"/>
      <c r="X111" s="1123"/>
    </row>
    <row r="112" spans="1:24" s="1118" customFormat="1" ht="15" customHeight="1">
      <c r="B112" s="1118" t="s">
        <v>760</v>
      </c>
    </row>
    <row r="113" spans="2:24" s="1118" customFormat="1" ht="15" customHeight="1">
      <c r="B113" s="1118" t="s">
        <v>3495</v>
      </c>
      <c r="G113" s="1113" t="s">
        <v>3783</v>
      </c>
      <c r="H113" s="1343" t="str">
        <f>cst_wskakunin_kanri1_SIKAKU</f>
        <v>一級</v>
      </c>
      <c r="I113" s="1343"/>
      <c r="J113" s="1089" t="s">
        <v>3784</v>
      </c>
      <c r="N113" s="1343" t="str">
        <f>cst_wskakunin_kanri1_TOUROKU_KIKAN</f>
        <v>国土交通大臣</v>
      </c>
      <c r="O113" s="1343"/>
      <c r="P113" s="1343"/>
      <c r="Q113" s="1343"/>
      <c r="R113" s="1118" t="s">
        <v>3785</v>
      </c>
      <c r="S113" s="1113"/>
      <c r="T113" s="1345" t="str">
        <f>cst_wskakunin_kanri1_KENTIKUSI_NO</f>
        <v>12121212</v>
      </c>
      <c r="U113" s="1345"/>
      <c r="V113" s="1345"/>
      <c r="W113" s="1345"/>
      <c r="X113" s="1118" t="s">
        <v>381</v>
      </c>
    </row>
    <row r="114" spans="2:24" s="1118" customFormat="1" ht="15" customHeight="1">
      <c r="B114" s="1118" t="s">
        <v>3492</v>
      </c>
      <c r="G114" s="1336" t="str">
        <f>cst_wskakunin_kanri1_NAME</f>
        <v>髙橋　一郎</v>
      </c>
      <c r="H114" s="1336"/>
      <c r="I114" s="1336"/>
      <c r="J114" s="1336"/>
      <c r="K114" s="1336"/>
      <c r="L114" s="1336"/>
      <c r="M114" s="1336"/>
      <c r="N114" s="1336"/>
      <c r="O114" s="1336"/>
      <c r="P114" s="1336"/>
      <c r="Q114" s="1336"/>
      <c r="R114" s="1336"/>
      <c r="S114" s="1336"/>
      <c r="T114" s="1336"/>
      <c r="U114" s="1336"/>
      <c r="V114" s="1336"/>
      <c r="W114" s="1336"/>
      <c r="X114" s="1336"/>
    </row>
    <row r="115" spans="2:24" s="1118" customFormat="1" ht="15" customHeight="1">
      <c r="B115" s="1119" t="s">
        <v>3491</v>
      </c>
      <c r="G115" s="1113" t="s">
        <v>3783</v>
      </c>
      <c r="H115" s="1343" t="str">
        <f>cst_wskakunin_kanri1_JIMU_SIKAKU</f>
        <v>一級</v>
      </c>
      <c r="I115" s="1343"/>
      <c r="J115" s="1089" t="s">
        <v>3786</v>
      </c>
      <c r="N115" s="1343" t="str">
        <f>cst_wskakunin_kanri1_JIMU_TOUROKU_KIKAN</f>
        <v>東京都</v>
      </c>
      <c r="O115" s="1343"/>
      <c r="P115" s="1343"/>
      <c r="Q115" s="1118" t="s">
        <v>3787</v>
      </c>
      <c r="S115" s="1120"/>
      <c r="T115" s="1345">
        <f>cst_wskakunin_kanri1_JIMU_NO</f>
        <v>11111</v>
      </c>
      <c r="U115" s="1345"/>
      <c r="V115" s="1345"/>
      <c r="W115" s="1345"/>
      <c r="X115" s="1118" t="s">
        <v>381</v>
      </c>
    </row>
    <row r="116" spans="2:24" s="1118" customFormat="1" ht="15" customHeight="1">
      <c r="C116" s="1113"/>
      <c r="E116" s="1113"/>
      <c r="G116" s="1336" t="str">
        <f>cst_wskakunin_kanri1_JIMU_NAME</f>
        <v>一級建築士事務所　UHEC</v>
      </c>
      <c r="H116" s="1336"/>
      <c r="I116" s="1336"/>
      <c r="J116" s="1336"/>
      <c r="K116" s="1336"/>
      <c r="L116" s="1336"/>
      <c r="M116" s="1336"/>
      <c r="N116" s="1336"/>
      <c r="O116" s="1336"/>
      <c r="P116" s="1336"/>
      <c r="Q116" s="1336"/>
      <c r="R116" s="1336"/>
      <c r="S116" s="1336"/>
      <c r="T116" s="1336"/>
      <c r="U116" s="1336"/>
      <c r="V116" s="1336"/>
      <c r="W116" s="1336"/>
      <c r="X116" s="1336"/>
    </row>
    <row r="117" spans="2:24" s="1118" customFormat="1" ht="15" customHeight="1">
      <c r="B117" s="1118" t="s">
        <v>3488</v>
      </c>
      <c r="G117" s="1336" t="str">
        <f>cst_wskakunin_kanri1_ZIP</f>
        <v>105-0001</v>
      </c>
      <c r="H117" s="1336"/>
      <c r="I117" s="1336"/>
      <c r="J117" s="1336"/>
      <c r="K117" s="1336"/>
    </row>
    <row r="118" spans="2:24" s="1118" customFormat="1" ht="15" customHeight="1">
      <c r="B118" s="1118" t="s">
        <v>3487</v>
      </c>
      <c r="G118" s="1336" t="str">
        <f>cst_wskakunin_kanri1__address</f>
        <v>東京都港区虎ノ門1-1-21</v>
      </c>
      <c r="H118" s="1336"/>
      <c r="I118" s="1336"/>
      <c r="J118" s="1336"/>
      <c r="K118" s="1336"/>
      <c r="L118" s="1336"/>
      <c r="M118" s="1336"/>
      <c r="N118" s="1336"/>
      <c r="O118" s="1336"/>
      <c r="P118" s="1336"/>
      <c r="Q118" s="1336"/>
      <c r="R118" s="1336"/>
      <c r="S118" s="1336"/>
      <c r="T118" s="1336"/>
      <c r="U118" s="1336"/>
      <c r="V118" s="1336"/>
      <c r="W118" s="1336"/>
      <c r="X118" s="1336"/>
    </row>
    <row r="119" spans="2:24" s="1118" customFormat="1" ht="15" customHeight="1">
      <c r="B119" s="1118" t="s">
        <v>3486</v>
      </c>
      <c r="G119" s="1336" t="str">
        <f>cst_wskakunin_kanri1_TEL</f>
        <v>03-3504-2386</v>
      </c>
      <c r="H119" s="1336"/>
      <c r="I119" s="1336"/>
      <c r="J119" s="1336"/>
      <c r="K119" s="1336"/>
    </row>
    <row r="120" spans="2:24" s="1118" customFormat="1" ht="15" customHeight="1">
      <c r="B120" s="1118" t="s">
        <v>3795</v>
      </c>
      <c r="J120" s="1336" t="str">
        <f>cst_wskakunin_kanri1_DOC</f>
        <v>全ての設計図書</v>
      </c>
      <c r="K120" s="1337"/>
      <c r="L120" s="1337"/>
      <c r="M120" s="1337"/>
      <c r="N120" s="1337"/>
      <c r="O120" s="1337"/>
      <c r="P120" s="1337"/>
      <c r="Q120" s="1337"/>
      <c r="R120" s="1337"/>
      <c r="S120" s="1337"/>
      <c r="T120" s="1337"/>
      <c r="U120" s="1337"/>
      <c r="V120" s="1337"/>
      <c r="W120" s="1337"/>
      <c r="X120" s="1337"/>
    </row>
    <row r="121" spans="2:24" s="1118" customFormat="1" ht="9.9" customHeight="1">
      <c r="C121" s="1113"/>
      <c r="K121" s="1113"/>
      <c r="S121" s="1113"/>
    </row>
    <row r="122" spans="2:24" s="1118" customFormat="1" ht="15" customHeight="1">
      <c r="B122" s="1118" t="s">
        <v>1891</v>
      </c>
    </row>
    <row r="123" spans="2:24" s="1118" customFormat="1" ht="15" customHeight="1">
      <c r="B123" s="1118" t="s">
        <v>3495</v>
      </c>
      <c r="G123" s="1113" t="s">
        <v>3783</v>
      </c>
      <c r="H123" s="1343" t="str">
        <f>cst_wskakunin_kanri2_SIKAKU</f>
        <v/>
      </c>
      <c r="I123" s="1343"/>
      <c r="J123" s="1089" t="s">
        <v>3784</v>
      </c>
      <c r="N123" s="1343" t="str">
        <f>cst_wskakunin_kanri2_TOUROKU_KIKAN</f>
        <v/>
      </c>
      <c r="O123" s="1343"/>
      <c r="P123" s="1343"/>
      <c r="Q123" s="1343"/>
      <c r="R123" s="1118" t="s">
        <v>3785</v>
      </c>
      <c r="S123" s="1113"/>
      <c r="T123" s="1345" t="str">
        <f>cst_wskakunin_kanri2_KENTIKUSI_NO</f>
        <v/>
      </c>
      <c r="U123" s="1345"/>
      <c r="V123" s="1345"/>
      <c r="W123" s="1345"/>
      <c r="X123" s="1118" t="s">
        <v>381</v>
      </c>
    </row>
    <row r="124" spans="2:24" s="1118" customFormat="1" ht="15" customHeight="1">
      <c r="B124" s="1118" t="s">
        <v>3492</v>
      </c>
      <c r="G124" s="1336" t="str">
        <f>cst_wskakunin_kanri2_NAME</f>
        <v/>
      </c>
      <c r="H124" s="1336"/>
      <c r="I124" s="1336"/>
      <c r="J124" s="1336"/>
      <c r="K124" s="1336"/>
      <c r="L124" s="1336"/>
      <c r="M124" s="1336"/>
      <c r="N124" s="1336"/>
      <c r="O124" s="1336"/>
      <c r="P124" s="1336"/>
      <c r="Q124" s="1336"/>
      <c r="R124" s="1336"/>
      <c r="S124" s="1336"/>
      <c r="T124" s="1336"/>
      <c r="U124" s="1336"/>
      <c r="V124" s="1336"/>
      <c r="W124" s="1336"/>
      <c r="X124" s="1336"/>
    </row>
    <row r="125" spans="2:24" s="1118" customFormat="1" ht="15" customHeight="1">
      <c r="B125" s="1119" t="s">
        <v>3491</v>
      </c>
      <c r="G125" s="1113" t="s">
        <v>3783</v>
      </c>
      <c r="H125" s="1343" t="str">
        <f>cst_wskakunin_kanri2_JIMU_SIKAKU</f>
        <v/>
      </c>
      <c r="I125" s="1343"/>
      <c r="J125" s="1089" t="s">
        <v>3786</v>
      </c>
      <c r="N125" s="1343" t="str">
        <f>cst_wskakunin_kanri2_JIMU_TOUROKU_KIKAN</f>
        <v/>
      </c>
      <c r="O125" s="1343"/>
      <c r="P125" s="1343"/>
      <c r="Q125" s="1118" t="s">
        <v>3787</v>
      </c>
      <c r="S125" s="1120"/>
      <c r="T125" s="1345" t="str">
        <f>cst_wskakunin_kanri2_JIMU_NO</f>
        <v/>
      </c>
      <c r="U125" s="1345"/>
      <c r="V125" s="1345"/>
      <c r="W125" s="1345"/>
      <c r="X125" s="1118" t="s">
        <v>381</v>
      </c>
    </row>
    <row r="126" spans="2:24" s="1118" customFormat="1" ht="15" customHeight="1">
      <c r="C126" s="1113"/>
      <c r="E126" s="1113"/>
      <c r="G126" s="1336" t="str">
        <f>cst_wskakunin_kanri2_JIMU_NAME</f>
        <v/>
      </c>
      <c r="H126" s="1336"/>
      <c r="I126" s="1336"/>
      <c r="J126" s="1336"/>
      <c r="K126" s="1336"/>
      <c r="L126" s="1336"/>
      <c r="M126" s="1336"/>
      <c r="N126" s="1336"/>
      <c r="O126" s="1336"/>
      <c r="P126" s="1336"/>
      <c r="Q126" s="1336"/>
      <c r="R126" s="1336"/>
      <c r="S126" s="1336"/>
      <c r="T126" s="1336"/>
      <c r="U126" s="1336"/>
      <c r="V126" s="1336"/>
      <c r="W126" s="1336"/>
      <c r="X126" s="1336"/>
    </row>
    <row r="127" spans="2:24" s="1118" customFormat="1" ht="15" customHeight="1">
      <c r="B127" s="1118" t="s">
        <v>3488</v>
      </c>
      <c r="G127" s="1336" t="str">
        <f>cst_wskakunin_kanri2_ZIP</f>
        <v/>
      </c>
      <c r="H127" s="1336"/>
      <c r="I127" s="1336"/>
      <c r="J127" s="1336"/>
      <c r="K127" s="1336"/>
    </row>
    <row r="128" spans="2:24" s="1118" customFormat="1" ht="15" customHeight="1">
      <c r="B128" s="1118" t="s">
        <v>3487</v>
      </c>
      <c r="G128" s="1336" t="str">
        <f>cst_wskakunin_kanri2__address</f>
        <v/>
      </c>
      <c r="H128" s="1336"/>
      <c r="I128" s="1336"/>
      <c r="J128" s="1336"/>
      <c r="K128" s="1336"/>
      <c r="L128" s="1336"/>
      <c r="M128" s="1336"/>
      <c r="N128" s="1336"/>
      <c r="O128" s="1336"/>
      <c r="P128" s="1336"/>
      <c r="Q128" s="1336"/>
      <c r="R128" s="1336"/>
      <c r="S128" s="1336"/>
      <c r="T128" s="1336"/>
      <c r="U128" s="1336"/>
      <c r="V128" s="1336"/>
      <c r="W128" s="1336"/>
      <c r="X128" s="1336"/>
    </row>
    <row r="129" spans="2:24" s="1118" customFormat="1" ht="15" customHeight="1">
      <c r="B129" s="1118" t="s">
        <v>3486</v>
      </c>
      <c r="G129" s="1336" t="str">
        <f>cst_wskakunin_kanri2_TEL</f>
        <v/>
      </c>
      <c r="H129" s="1336"/>
      <c r="I129" s="1336"/>
      <c r="J129" s="1336"/>
      <c r="K129" s="1336"/>
    </row>
    <row r="130" spans="2:24" s="1118" customFormat="1" ht="15" customHeight="1">
      <c r="B130" s="1118" t="s">
        <v>3795</v>
      </c>
      <c r="J130" s="1336" t="str">
        <f>cst_wskakunin_kanri2_DOC</f>
        <v/>
      </c>
      <c r="K130" s="1337"/>
      <c r="L130" s="1337"/>
      <c r="M130" s="1337"/>
      <c r="N130" s="1337"/>
      <c r="O130" s="1337"/>
      <c r="P130" s="1337"/>
      <c r="Q130" s="1337"/>
      <c r="R130" s="1337"/>
      <c r="S130" s="1337"/>
      <c r="T130" s="1337"/>
      <c r="U130" s="1337"/>
      <c r="V130" s="1337"/>
      <c r="W130" s="1337"/>
      <c r="X130" s="1337"/>
    </row>
    <row r="131" spans="2:24" s="1118" customFormat="1" ht="9.9" customHeight="1"/>
    <row r="132" spans="2:24" s="1118" customFormat="1" ht="15" customHeight="1">
      <c r="B132" s="1118" t="s">
        <v>3495</v>
      </c>
      <c r="G132" s="1113" t="s">
        <v>3783</v>
      </c>
      <c r="H132" s="1343" t="str">
        <f>cst_wskakunin_kanri3_SIKAKU</f>
        <v/>
      </c>
      <c r="I132" s="1343"/>
      <c r="J132" s="1089" t="s">
        <v>3784</v>
      </c>
      <c r="N132" s="1343" t="str">
        <f>cst_wskakunin_kanri3_TOUROKU_KIKAN</f>
        <v/>
      </c>
      <c r="O132" s="1343"/>
      <c r="P132" s="1343"/>
      <c r="Q132" s="1343"/>
      <c r="R132" s="1118" t="s">
        <v>3785</v>
      </c>
      <c r="S132" s="1113"/>
      <c r="T132" s="1345" t="str">
        <f>cst_wskakunin_kanri3_KENTIKUSI_NO</f>
        <v/>
      </c>
      <c r="U132" s="1345"/>
      <c r="V132" s="1345"/>
      <c r="W132" s="1345"/>
      <c r="X132" s="1118" t="s">
        <v>381</v>
      </c>
    </row>
    <row r="133" spans="2:24" s="1118" customFormat="1" ht="15" customHeight="1">
      <c r="B133" s="1118" t="s">
        <v>3492</v>
      </c>
      <c r="G133" s="1336" t="str">
        <f>cst_wskakunin_kanri3_NAME</f>
        <v/>
      </c>
      <c r="H133" s="1336"/>
      <c r="I133" s="1336"/>
      <c r="J133" s="1336"/>
      <c r="K133" s="1336"/>
      <c r="L133" s="1336"/>
      <c r="M133" s="1336"/>
      <c r="N133" s="1336"/>
      <c r="O133" s="1336"/>
      <c r="P133" s="1336"/>
      <c r="Q133" s="1336"/>
      <c r="R133" s="1336"/>
      <c r="S133" s="1336"/>
      <c r="T133" s="1336"/>
      <c r="U133" s="1336"/>
      <c r="V133" s="1336"/>
      <c r="W133" s="1336"/>
      <c r="X133" s="1336"/>
    </row>
    <row r="134" spans="2:24" s="1118" customFormat="1" ht="15" customHeight="1">
      <c r="B134" s="1119" t="s">
        <v>3491</v>
      </c>
      <c r="G134" s="1113" t="s">
        <v>3783</v>
      </c>
      <c r="H134" s="1343" t="str">
        <f>cst_wskakunin_kanri3_JIMU_SIKAKU</f>
        <v/>
      </c>
      <c r="I134" s="1343"/>
      <c r="J134" s="1089" t="s">
        <v>3786</v>
      </c>
      <c r="N134" s="1343" t="str">
        <f>cst_wskakunin_kanri3_JIMU_TOUROKU_KIKAN</f>
        <v/>
      </c>
      <c r="O134" s="1343"/>
      <c r="P134" s="1343"/>
      <c r="Q134" s="1118" t="s">
        <v>3787</v>
      </c>
      <c r="S134" s="1120"/>
      <c r="T134" s="1345" t="str">
        <f>cst_wskakunin_kanri3_JIMU_NO</f>
        <v/>
      </c>
      <c r="U134" s="1345"/>
      <c r="V134" s="1345"/>
      <c r="W134" s="1345"/>
      <c r="X134" s="1118" t="s">
        <v>381</v>
      </c>
    </row>
    <row r="135" spans="2:24" s="1118" customFormat="1" ht="15" customHeight="1">
      <c r="C135" s="1113"/>
      <c r="E135" s="1113"/>
      <c r="G135" s="1336" t="str">
        <f>cst_wskakunin_kanri3_JIMU_NAME</f>
        <v/>
      </c>
      <c r="H135" s="1336"/>
      <c r="I135" s="1336"/>
      <c r="J135" s="1336"/>
      <c r="K135" s="1336"/>
      <c r="L135" s="1336"/>
      <c r="M135" s="1336"/>
      <c r="N135" s="1336"/>
      <c r="O135" s="1336"/>
      <c r="P135" s="1336"/>
      <c r="Q135" s="1336"/>
      <c r="R135" s="1336"/>
      <c r="S135" s="1336"/>
      <c r="T135" s="1336"/>
      <c r="U135" s="1336"/>
      <c r="V135" s="1336"/>
      <c r="W135" s="1336"/>
      <c r="X135" s="1336"/>
    </row>
    <row r="136" spans="2:24" s="1118" customFormat="1" ht="15" customHeight="1">
      <c r="B136" s="1118" t="s">
        <v>3488</v>
      </c>
      <c r="G136" s="1336" t="str">
        <f>cst_wskakunin_kanri3_ZIP</f>
        <v/>
      </c>
      <c r="H136" s="1336"/>
      <c r="I136" s="1336"/>
      <c r="J136" s="1336"/>
      <c r="K136" s="1336"/>
    </row>
    <row r="137" spans="2:24" s="1118" customFormat="1" ht="15" customHeight="1">
      <c r="B137" s="1118" t="s">
        <v>3487</v>
      </c>
      <c r="G137" s="1336" t="str">
        <f>cst_wskakunin_kanri3__address</f>
        <v/>
      </c>
      <c r="H137" s="1336"/>
      <c r="I137" s="1336"/>
      <c r="J137" s="1336"/>
      <c r="K137" s="1336"/>
      <c r="L137" s="1336"/>
      <c r="M137" s="1336"/>
      <c r="N137" s="1336"/>
      <c r="O137" s="1336"/>
      <c r="P137" s="1336"/>
      <c r="Q137" s="1336"/>
      <c r="R137" s="1336"/>
      <c r="S137" s="1336"/>
      <c r="T137" s="1336"/>
      <c r="U137" s="1336"/>
      <c r="V137" s="1336"/>
      <c r="W137" s="1336"/>
      <c r="X137" s="1336"/>
    </row>
    <row r="138" spans="2:24" s="1118" customFormat="1" ht="15" customHeight="1">
      <c r="B138" s="1118" t="s">
        <v>3486</v>
      </c>
      <c r="G138" s="1336" t="str">
        <f>cst_wskakunin_kanri3_TEL</f>
        <v/>
      </c>
      <c r="H138" s="1336"/>
      <c r="I138" s="1336"/>
      <c r="J138" s="1336"/>
      <c r="K138" s="1336"/>
    </row>
    <row r="139" spans="2:24" s="1118" customFormat="1" ht="15" customHeight="1">
      <c r="B139" s="1118" t="s">
        <v>3795</v>
      </c>
      <c r="J139" s="1336" t="str">
        <f>cst_wskakunin_kanri3_DOC</f>
        <v/>
      </c>
      <c r="K139" s="1337"/>
      <c r="L139" s="1337"/>
      <c r="M139" s="1337"/>
      <c r="N139" s="1337"/>
      <c r="O139" s="1337"/>
      <c r="P139" s="1337"/>
      <c r="Q139" s="1337"/>
      <c r="R139" s="1337"/>
      <c r="S139" s="1337"/>
      <c r="T139" s="1337"/>
      <c r="U139" s="1337"/>
      <c r="V139" s="1337"/>
      <c r="W139" s="1337"/>
      <c r="X139" s="1337"/>
    </row>
    <row r="140" spans="2:24" s="1118" customFormat="1" ht="9.9" customHeight="1"/>
    <row r="141" spans="2:24" s="1118" customFormat="1" ht="15" customHeight="1">
      <c r="B141" s="1118" t="s">
        <v>3495</v>
      </c>
      <c r="G141" s="1113" t="s">
        <v>3783</v>
      </c>
      <c r="H141" s="1343" t="str">
        <f>cst_wskakunin_kanri4_SIKAKU</f>
        <v/>
      </c>
      <c r="I141" s="1343"/>
      <c r="J141" s="1089" t="s">
        <v>3784</v>
      </c>
      <c r="N141" s="1343" t="str">
        <f>cst_wskakunin_kanri4_TOUROKU_KIKAN</f>
        <v/>
      </c>
      <c r="O141" s="1343"/>
      <c r="P141" s="1343"/>
      <c r="Q141" s="1343"/>
      <c r="R141" s="1118" t="s">
        <v>3785</v>
      </c>
      <c r="S141" s="1113"/>
      <c r="T141" s="1345" t="str">
        <f>cst_wskakunin_kanri4_KENTIKUSI_NO</f>
        <v/>
      </c>
      <c r="U141" s="1345"/>
      <c r="V141" s="1345"/>
      <c r="W141" s="1345"/>
      <c r="X141" s="1118" t="s">
        <v>381</v>
      </c>
    </row>
    <row r="142" spans="2:24" s="1118" customFormat="1" ht="15" customHeight="1">
      <c r="B142" s="1118" t="s">
        <v>3492</v>
      </c>
      <c r="G142" s="1336" t="str">
        <f>cst_wskakunin_kanri4_NAME</f>
        <v/>
      </c>
      <c r="H142" s="1336"/>
      <c r="I142" s="1336"/>
      <c r="J142" s="1336"/>
      <c r="K142" s="1336"/>
      <c r="L142" s="1336"/>
      <c r="M142" s="1336"/>
      <c r="N142" s="1336"/>
      <c r="O142" s="1336"/>
      <c r="P142" s="1336"/>
      <c r="Q142" s="1336"/>
      <c r="R142" s="1336"/>
      <c r="S142" s="1336"/>
      <c r="T142" s="1336"/>
      <c r="U142" s="1336"/>
      <c r="V142" s="1336"/>
      <c r="W142" s="1336"/>
      <c r="X142" s="1336"/>
    </row>
    <row r="143" spans="2:24" s="1118" customFormat="1" ht="15" customHeight="1">
      <c r="B143" s="1119" t="s">
        <v>3491</v>
      </c>
      <c r="G143" s="1113" t="s">
        <v>3783</v>
      </c>
      <c r="H143" s="1343" t="str">
        <f>cst_wskakunin_kanri4_JIMU_SIKAKU</f>
        <v/>
      </c>
      <c r="I143" s="1343"/>
      <c r="J143" s="1089" t="s">
        <v>3786</v>
      </c>
      <c r="N143" s="1343" t="str">
        <f>cst_wskakunin_kanri4_JIMU_TOUROKU_KIKAN</f>
        <v/>
      </c>
      <c r="O143" s="1343"/>
      <c r="P143" s="1343"/>
      <c r="Q143" s="1118" t="s">
        <v>3787</v>
      </c>
      <c r="S143" s="1120"/>
      <c r="T143" s="1345" t="str">
        <f>cst_wskakunin_kanri4_JIMU_NO</f>
        <v/>
      </c>
      <c r="U143" s="1345"/>
      <c r="V143" s="1345"/>
      <c r="W143" s="1345"/>
      <c r="X143" s="1118" t="s">
        <v>381</v>
      </c>
    </row>
    <row r="144" spans="2:24" s="1118" customFormat="1" ht="15" customHeight="1">
      <c r="C144" s="1113"/>
      <c r="E144" s="1113"/>
      <c r="G144" s="1336" t="str">
        <f>cst_wskakunin_kanri4_JIMU_NAME</f>
        <v/>
      </c>
      <c r="H144" s="1336"/>
      <c r="I144" s="1336"/>
      <c r="J144" s="1336"/>
      <c r="K144" s="1336"/>
      <c r="L144" s="1336"/>
      <c r="M144" s="1336"/>
      <c r="N144" s="1336"/>
      <c r="O144" s="1336"/>
      <c r="P144" s="1336"/>
      <c r="Q144" s="1336"/>
      <c r="R144" s="1336"/>
      <c r="S144" s="1336"/>
      <c r="T144" s="1336"/>
      <c r="U144" s="1336"/>
      <c r="V144" s="1336"/>
      <c r="W144" s="1336"/>
      <c r="X144" s="1336"/>
    </row>
    <row r="145" spans="1:24" s="1118" customFormat="1" ht="15" customHeight="1">
      <c r="B145" s="1118" t="s">
        <v>3488</v>
      </c>
      <c r="G145" s="1336" t="str">
        <f>cst_wskakunin_kanri4_ZIP</f>
        <v/>
      </c>
      <c r="H145" s="1336"/>
      <c r="I145" s="1336"/>
      <c r="J145" s="1336"/>
      <c r="K145" s="1336"/>
    </row>
    <row r="146" spans="1:24" s="1118" customFormat="1" ht="15" customHeight="1">
      <c r="B146" s="1118" t="s">
        <v>3487</v>
      </c>
      <c r="G146" s="1336" t="str">
        <f>cst_wskakunin_kanri4__address</f>
        <v/>
      </c>
      <c r="H146" s="1336"/>
      <c r="I146" s="1336"/>
      <c r="J146" s="1336"/>
      <c r="K146" s="1336"/>
      <c r="L146" s="1336"/>
      <c r="M146" s="1336"/>
      <c r="N146" s="1336"/>
      <c r="O146" s="1336"/>
      <c r="P146" s="1336"/>
      <c r="Q146" s="1336"/>
      <c r="R146" s="1336"/>
      <c r="S146" s="1336"/>
      <c r="T146" s="1336"/>
      <c r="U146" s="1336"/>
      <c r="V146" s="1336"/>
      <c r="W146" s="1336"/>
      <c r="X146" s="1336"/>
    </row>
    <row r="147" spans="1:24" s="1118" customFormat="1" ht="15" customHeight="1">
      <c r="B147" s="1118" t="s">
        <v>3486</v>
      </c>
      <c r="G147" s="1336" t="str">
        <f>cst_wskakunin_kanri4_TEL</f>
        <v/>
      </c>
      <c r="H147" s="1336"/>
      <c r="I147" s="1336"/>
      <c r="J147" s="1336"/>
      <c r="K147" s="1336"/>
    </row>
    <row r="148" spans="1:24" s="1118" customFormat="1" ht="15" customHeight="1">
      <c r="B148" s="1118" t="s">
        <v>3795</v>
      </c>
      <c r="J148" s="1336" t="str">
        <f>cst_wskakunin_kanri4_DOC</f>
        <v/>
      </c>
      <c r="K148" s="1337"/>
      <c r="L148" s="1337"/>
      <c r="M148" s="1337"/>
      <c r="N148" s="1337"/>
      <c r="O148" s="1337"/>
      <c r="P148" s="1337"/>
      <c r="Q148" s="1337"/>
      <c r="R148" s="1337"/>
      <c r="S148" s="1337"/>
      <c r="T148" s="1337"/>
      <c r="U148" s="1337"/>
      <c r="V148" s="1337"/>
      <c r="W148" s="1337"/>
      <c r="X148" s="1337"/>
    </row>
    <row r="149" spans="1:24" s="1118" customFormat="1" ht="15" customHeight="1">
      <c r="A149" s="1123" t="s">
        <v>3796</v>
      </c>
      <c r="B149" s="1123"/>
      <c r="C149" s="1123"/>
      <c r="D149" s="1123"/>
      <c r="E149" s="1123"/>
      <c r="F149" s="1123"/>
      <c r="G149" s="1123"/>
      <c r="H149" s="1123"/>
      <c r="I149" s="1123"/>
      <c r="J149" s="1123"/>
      <c r="K149" s="1123"/>
      <c r="L149" s="1123"/>
      <c r="M149" s="1123"/>
      <c r="N149" s="1123"/>
      <c r="O149" s="1123"/>
      <c r="P149" s="1123"/>
      <c r="Q149" s="1123"/>
      <c r="R149" s="1123"/>
      <c r="S149" s="1123"/>
      <c r="T149" s="1123"/>
      <c r="U149" s="1123"/>
      <c r="V149" s="1123"/>
      <c r="W149" s="1123"/>
      <c r="X149" s="1123"/>
    </row>
    <row r="150" spans="1:24" s="1118" customFormat="1" ht="15" customHeight="1">
      <c r="B150" s="1118" t="s">
        <v>585</v>
      </c>
      <c r="G150" s="1336" t="str">
        <f>cst_wskakunin_sekou1_NAME</f>
        <v>代表取締役社長　野崎　豊</v>
      </c>
      <c r="H150" s="1337"/>
      <c r="I150" s="1337"/>
      <c r="J150" s="1337"/>
      <c r="K150" s="1337"/>
      <c r="L150" s="1337"/>
      <c r="M150" s="1337"/>
      <c r="N150" s="1337"/>
      <c r="O150" s="1337"/>
      <c r="P150" s="1337"/>
      <c r="Q150" s="1337"/>
      <c r="R150" s="1337"/>
      <c r="S150" s="1337"/>
      <c r="T150" s="1337"/>
      <c r="U150" s="1337"/>
      <c r="V150" s="1337"/>
      <c r="W150" s="1337"/>
      <c r="X150" s="1337"/>
    </row>
    <row r="151" spans="1:24" s="1118" customFormat="1" ht="15" customHeight="1">
      <c r="B151" s="1118" t="s">
        <v>3797</v>
      </c>
      <c r="G151" s="1118" t="s">
        <v>3798</v>
      </c>
      <c r="K151" s="1343" t="str">
        <f>cst_wskakunin_sekou1_SEKOU_SIKAKU</f>
        <v>国土交通大臣</v>
      </c>
      <c r="L151" s="1343"/>
      <c r="M151" s="1343"/>
      <c r="N151" s="1343"/>
      <c r="O151" s="1118" t="s">
        <v>3799</v>
      </c>
      <c r="P151" s="1089"/>
      <c r="R151" s="1118" t="s">
        <v>3065</v>
      </c>
      <c r="S151" s="1343" t="str">
        <f>cst_wskakunin_sekou1_SEKOU_NO</f>
        <v>(特-7)1111</v>
      </c>
      <c r="T151" s="1344"/>
      <c r="U151" s="1344"/>
      <c r="V151" s="1344"/>
      <c r="W151" s="1118" t="s">
        <v>381</v>
      </c>
    </row>
    <row r="152" spans="1:24" s="1118" customFormat="1" ht="15" customHeight="1">
      <c r="G152" s="1336" t="str">
        <f>cst_wskakunin_sekou1_JIMU_NAME</f>
        <v>株式会社UHEC</v>
      </c>
      <c r="H152" s="1336"/>
      <c r="I152" s="1336"/>
      <c r="J152" s="1336"/>
      <c r="K152" s="1336"/>
      <c r="L152" s="1336"/>
      <c r="M152" s="1336"/>
      <c r="N152" s="1336"/>
      <c r="O152" s="1336"/>
      <c r="P152" s="1336"/>
      <c r="Q152" s="1336"/>
      <c r="R152" s="1336"/>
      <c r="S152" s="1336"/>
      <c r="T152" s="1336"/>
      <c r="U152" s="1336"/>
      <c r="V152" s="1336"/>
      <c r="W152" s="1336"/>
      <c r="X152" s="1336"/>
    </row>
    <row r="153" spans="1:24" s="1118" customFormat="1" ht="15" customHeight="1">
      <c r="B153" s="1118" t="s">
        <v>553</v>
      </c>
      <c r="G153" s="1336" t="str">
        <f>cst_wskakunin_sekou1_ZIP</f>
        <v>105-0001</v>
      </c>
      <c r="H153" s="1337"/>
      <c r="I153" s="1337"/>
      <c r="J153" s="1337"/>
      <c r="K153" s="1337"/>
    </row>
    <row r="154" spans="1:24" s="1118" customFormat="1" ht="15" customHeight="1">
      <c r="B154" s="1118" t="s">
        <v>3800</v>
      </c>
      <c r="G154" s="1336" t="str">
        <f>cst_wskakunin_sekou1__address</f>
        <v>東京都港区虎ノ門1-1-</v>
      </c>
      <c r="H154" s="1336"/>
      <c r="I154" s="1336"/>
      <c r="J154" s="1336"/>
      <c r="K154" s="1336"/>
      <c r="L154" s="1336"/>
      <c r="M154" s="1336"/>
      <c r="N154" s="1336"/>
      <c r="O154" s="1336"/>
      <c r="P154" s="1336"/>
      <c r="Q154" s="1336"/>
      <c r="R154" s="1336"/>
      <c r="S154" s="1336"/>
      <c r="T154" s="1336"/>
      <c r="U154" s="1336"/>
      <c r="V154" s="1336"/>
      <c r="W154" s="1336"/>
      <c r="X154" s="1336"/>
    </row>
    <row r="155" spans="1:24" s="1118" customFormat="1" ht="15" customHeight="1">
      <c r="B155" s="1118" t="s">
        <v>555</v>
      </c>
      <c r="G155" s="1336" t="str">
        <f>cst_wskakunin_sekou1_TEL</f>
        <v>03-3504-2386</v>
      </c>
      <c r="H155" s="1337"/>
      <c r="I155" s="1337"/>
      <c r="J155" s="1337"/>
      <c r="K155" s="1337"/>
    </row>
    <row r="156" spans="1:24" s="1118" customFormat="1" ht="15" customHeight="1">
      <c r="A156" s="1123" t="s">
        <v>3801</v>
      </c>
      <c r="B156" s="1123"/>
      <c r="C156" s="1123"/>
      <c r="D156" s="1123"/>
      <c r="E156" s="1123"/>
      <c r="F156" s="1123"/>
      <c r="G156" s="1123"/>
      <c r="H156" s="1123"/>
      <c r="I156" s="1123"/>
      <c r="J156" s="1123"/>
      <c r="K156" s="1123"/>
      <c r="L156" s="1123"/>
      <c r="M156" s="1123"/>
      <c r="N156" s="1123"/>
      <c r="O156" s="1123"/>
      <c r="P156" s="1123"/>
      <c r="Q156" s="1123"/>
      <c r="R156" s="1123"/>
      <c r="S156" s="1123"/>
      <c r="T156" s="1123"/>
      <c r="U156" s="1123"/>
      <c r="V156" s="1123"/>
      <c r="W156" s="1123"/>
      <c r="X156" s="1123"/>
    </row>
    <row r="157" spans="1:24" s="1118" customFormat="1" ht="15" customHeight="1">
      <c r="B157" s="1125" t="str">
        <f>cst_wskakunin_tekihan01_TEKIHAN_STATE_shinsei</f>
        <v>□</v>
      </c>
      <c r="C157" s="1118" t="s">
        <v>3802</v>
      </c>
      <c r="F157" s="1118" t="s">
        <v>2</v>
      </c>
      <c r="G157" s="1336" t="str">
        <f>cst_wskakunin_tekihan01_TEKIHAN_KIKAN_info</f>
        <v/>
      </c>
      <c r="H157" s="1336"/>
      <c r="I157" s="1336"/>
      <c r="J157" s="1336"/>
      <c r="K157" s="1336"/>
      <c r="L157" s="1336"/>
      <c r="M157" s="1336"/>
      <c r="N157" s="1336"/>
      <c r="O157" s="1337"/>
      <c r="P157" s="1337"/>
      <c r="Q157" s="1337"/>
      <c r="R157" s="1337"/>
      <c r="S157" s="1337"/>
      <c r="T157" s="1337"/>
      <c r="U157" s="1337"/>
      <c r="V157" s="1337"/>
      <c r="W157" s="1118" t="s">
        <v>3</v>
      </c>
    </row>
    <row r="158" spans="1:24" s="1118" customFormat="1" ht="15" customHeight="1">
      <c r="B158" s="1125" t="str">
        <f>cst_wskakunin_tekihan01_TEKIHAN_STATE_mishinsei</f>
        <v>□</v>
      </c>
      <c r="C158" s="1118" t="s">
        <v>3803</v>
      </c>
      <c r="F158" s="1118" t="s">
        <v>2</v>
      </c>
      <c r="G158" s="1336" t="str">
        <f>cst_wskakunin_tekihan02_TEKIHAN_KIKAN_info</f>
        <v/>
      </c>
      <c r="H158" s="1336"/>
      <c r="I158" s="1336"/>
      <c r="J158" s="1336"/>
      <c r="K158" s="1336"/>
      <c r="L158" s="1336"/>
      <c r="M158" s="1336"/>
      <c r="N158" s="1336"/>
      <c r="O158" s="1337"/>
      <c r="P158" s="1337"/>
      <c r="Q158" s="1337"/>
      <c r="R158" s="1337"/>
      <c r="S158" s="1337"/>
      <c r="T158" s="1337"/>
      <c r="U158" s="1337"/>
      <c r="V158" s="1337"/>
      <c r="W158" s="1118" t="s">
        <v>3</v>
      </c>
    </row>
    <row r="159" spans="1:24" s="1118" customFormat="1" ht="15" customHeight="1">
      <c r="B159" s="1125" t="str">
        <f>cst_wskakunin_tekihan01_TEKIHAN_STATE_shinseifuyou</f>
        <v>□</v>
      </c>
      <c r="C159" s="1118" t="s">
        <v>3804</v>
      </c>
    </row>
    <row r="160" spans="1:24" s="1127" customFormat="1" ht="15" customHeight="1">
      <c r="A160" s="1126" t="s">
        <v>3805</v>
      </c>
      <c r="B160" s="1126"/>
      <c r="C160" s="1126"/>
      <c r="D160" s="1126"/>
      <c r="E160" s="1126"/>
      <c r="F160" s="1126"/>
      <c r="G160" s="1126"/>
      <c r="H160" s="1126"/>
      <c r="I160" s="1126"/>
      <c r="J160" s="1126"/>
      <c r="K160" s="1126"/>
      <c r="L160" s="1126"/>
      <c r="M160" s="1126"/>
      <c r="N160" s="1126"/>
      <c r="O160" s="1126"/>
      <c r="P160" s="1126"/>
      <c r="Q160" s="1126"/>
      <c r="R160" s="1126"/>
      <c r="S160" s="1126"/>
      <c r="T160" s="1126"/>
      <c r="U160" s="1126"/>
      <c r="V160" s="1126"/>
      <c r="W160" s="1126"/>
      <c r="X160" s="1126"/>
    </row>
    <row r="161" spans="1:25" s="1127" customFormat="1" ht="15" customHeight="1">
      <c r="B161" s="1125" t="str">
        <f>cst_wskakunin_ecotekihan01_TEKIHAN_STATE_teisyutu</f>
        <v>□</v>
      </c>
      <c r="C161" s="1127" t="s">
        <v>3806</v>
      </c>
      <c r="F161" s="1127" t="s">
        <v>2</v>
      </c>
      <c r="G161" s="1336" t="str">
        <f>cst_wskakunin_ecotekihan01_teisyutu_kikan_info</f>
        <v/>
      </c>
      <c r="H161" s="1337"/>
      <c r="I161" s="1337"/>
      <c r="J161" s="1337"/>
      <c r="K161" s="1337"/>
      <c r="L161" s="1337"/>
      <c r="M161" s="1337"/>
      <c r="N161" s="1337"/>
      <c r="O161" s="1337"/>
      <c r="P161" s="1337"/>
      <c r="Q161" s="1337"/>
      <c r="R161" s="1337"/>
      <c r="S161" s="1337"/>
      <c r="T161" s="1337"/>
      <c r="U161" s="1337"/>
      <c r="V161" s="1337"/>
      <c r="W161" s="1127" t="s">
        <v>3</v>
      </c>
    </row>
    <row r="162" spans="1:25" s="1127" customFormat="1" ht="15" customHeight="1">
      <c r="B162" s="1125" t="str">
        <f>cst_wskakunin_ecotekihan01_TEKIHAN_STATE_miteisyutu</f>
        <v>□</v>
      </c>
      <c r="C162" s="1127" t="s">
        <v>3807</v>
      </c>
      <c r="F162" s="1127" t="s">
        <v>2</v>
      </c>
      <c r="G162" s="1336" t="str">
        <f>cst_wskakunin_ecotekihan01_miteisyutu_kikan_info</f>
        <v/>
      </c>
      <c r="H162" s="1337"/>
      <c r="I162" s="1337"/>
      <c r="J162" s="1337"/>
      <c r="K162" s="1337"/>
      <c r="L162" s="1337"/>
      <c r="M162" s="1337"/>
      <c r="N162" s="1337"/>
      <c r="O162" s="1337"/>
      <c r="P162" s="1337"/>
      <c r="Q162" s="1337"/>
      <c r="R162" s="1337"/>
      <c r="S162" s="1337"/>
      <c r="T162" s="1337"/>
      <c r="U162" s="1337"/>
      <c r="V162" s="1337"/>
      <c r="W162" s="1127" t="s">
        <v>3</v>
      </c>
    </row>
    <row r="163" spans="1:25" s="1127" customFormat="1" ht="15" customHeight="1">
      <c r="B163" s="1125" t="str">
        <f>cst_wskakunin_ecotekihan01_TEKIHAN_STATE_teisyutufuyou</f>
        <v>□</v>
      </c>
      <c r="C163" s="1127" t="s">
        <v>3808</v>
      </c>
      <c r="F163" s="1127" t="s">
        <v>2</v>
      </c>
      <c r="G163" s="1338" t="str">
        <f>cst_wskakunin_ecotekihan01_FUYOU_CAUSE</f>
        <v/>
      </c>
      <c r="H163" s="1339"/>
      <c r="I163" s="1339"/>
      <c r="J163" s="1339"/>
      <c r="K163" s="1339"/>
      <c r="L163" s="1339"/>
      <c r="M163" s="1339"/>
      <c r="N163" s="1339"/>
      <c r="O163" s="1339"/>
      <c r="P163" s="1339"/>
      <c r="Q163" s="1339"/>
      <c r="R163" s="1339"/>
      <c r="S163" s="1339"/>
      <c r="T163" s="1339"/>
      <c r="U163" s="1339"/>
      <c r="V163" s="1339"/>
      <c r="W163" s="1127" t="s">
        <v>3</v>
      </c>
    </row>
    <row r="164" spans="1:25" s="1118" customFormat="1" ht="15" customHeight="1">
      <c r="A164" s="1123" t="s">
        <v>3809</v>
      </c>
      <c r="B164" s="1123"/>
      <c r="C164" s="1123"/>
      <c r="D164" s="1123"/>
      <c r="E164" s="1123"/>
      <c r="F164" s="1123"/>
      <c r="G164" s="1128" t="s">
        <v>3810</v>
      </c>
      <c r="H164" s="1340" t="str">
        <f>cst_wskakunin_BUILD_NAME</f>
        <v>テスト新築工事</v>
      </c>
      <c r="I164" s="1341"/>
      <c r="J164" s="1341"/>
      <c r="K164" s="1341"/>
      <c r="L164" s="1341"/>
      <c r="M164" s="1341"/>
      <c r="N164" s="1341"/>
      <c r="O164" s="1341"/>
      <c r="P164" s="1341"/>
      <c r="Q164" s="1341"/>
      <c r="R164" s="1341"/>
      <c r="S164" s="1341"/>
      <c r="T164" s="1341"/>
      <c r="U164" s="1341"/>
      <c r="V164" s="1341"/>
      <c r="W164" s="1341"/>
      <c r="X164" s="1341"/>
    </row>
    <row r="165" spans="1:25" s="1118" customFormat="1" ht="15" customHeight="1">
      <c r="C165" s="1342" t="str">
        <f>cst_wskakunin_PAGE1_ALTERATION_NOTE</f>
        <v/>
      </c>
      <c r="D165" s="1342"/>
      <c r="E165" s="1342"/>
      <c r="F165" s="1342"/>
      <c r="G165" s="1342"/>
      <c r="H165" s="1342"/>
      <c r="I165" s="1342"/>
      <c r="J165" s="1342"/>
      <c r="K165" s="1342"/>
      <c r="L165" s="1342"/>
      <c r="M165" s="1342"/>
      <c r="N165" s="1342"/>
      <c r="O165" s="1342"/>
      <c r="P165" s="1342"/>
      <c r="Q165" s="1342"/>
      <c r="R165" s="1342"/>
      <c r="S165" s="1342"/>
      <c r="T165" s="1342"/>
      <c r="U165" s="1342"/>
      <c r="V165" s="1342"/>
      <c r="W165" s="1342"/>
      <c r="X165" s="1342"/>
    </row>
    <row r="166" spans="1:25">
      <c r="A166" s="1118"/>
      <c r="B166" s="1118"/>
      <c r="C166" s="1342"/>
      <c r="D166" s="1342"/>
      <c r="E166" s="1342"/>
      <c r="F166" s="1342"/>
      <c r="G166" s="1342"/>
      <c r="H166" s="1342"/>
      <c r="I166" s="1342"/>
      <c r="J166" s="1342"/>
      <c r="K166" s="1342"/>
      <c r="L166" s="1342"/>
      <c r="M166" s="1342"/>
      <c r="N166" s="1342"/>
      <c r="O166" s="1342"/>
      <c r="P166" s="1342"/>
      <c r="Q166" s="1342"/>
      <c r="R166" s="1342"/>
      <c r="S166" s="1342"/>
      <c r="T166" s="1342"/>
      <c r="U166" s="1342"/>
      <c r="V166" s="1342"/>
      <c r="W166" s="1342"/>
      <c r="X166" s="1342"/>
      <c r="Y166" s="1129" t="s">
        <v>3811</v>
      </c>
    </row>
  </sheetData>
  <sheetProtection formatCells="0"/>
  <mergeCells count="172">
    <mergeCell ref="H10:I10"/>
    <mergeCell ref="N10:Q10"/>
    <mergeCell ref="T10:W10"/>
    <mergeCell ref="G11:X11"/>
    <mergeCell ref="H12:I12"/>
    <mergeCell ref="N12:P12"/>
    <mergeCell ref="T12:W12"/>
    <mergeCell ref="A1:X1"/>
    <mergeCell ref="G4:X4"/>
    <mergeCell ref="G5:X5"/>
    <mergeCell ref="G6:K6"/>
    <mergeCell ref="G7:X7"/>
    <mergeCell ref="G8:K8"/>
    <mergeCell ref="G20:X20"/>
    <mergeCell ref="H21:I21"/>
    <mergeCell ref="N21:P21"/>
    <mergeCell ref="T21:W21"/>
    <mergeCell ref="G22:X22"/>
    <mergeCell ref="G23:K23"/>
    <mergeCell ref="G13:X13"/>
    <mergeCell ref="G14:K14"/>
    <mergeCell ref="G15:X15"/>
    <mergeCell ref="G16:M16"/>
    <mergeCell ref="P16:V16"/>
    <mergeCell ref="H19:I19"/>
    <mergeCell ref="N19:Q19"/>
    <mergeCell ref="T19:W19"/>
    <mergeCell ref="G30:X30"/>
    <mergeCell ref="H31:I31"/>
    <mergeCell ref="N31:P31"/>
    <mergeCell ref="T31:W31"/>
    <mergeCell ref="G32:X32"/>
    <mergeCell ref="G33:K33"/>
    <mergeCell ref="G24:X24"/>
    <mergeCell ref="G25:K25"/>
    <mergeCell ref="J26:X26"/>
    <mergeCell ref="H29:I29"/>
    <mergeCell ref="N29:Q29"/>
    <mergeCell ref="T29:W29"/>
    <mergeCell ref="G39:X39"/>
    <mergeCell ref="H40:I40"/>
    <mergeCell ref="N40:P40"/>
    <mergeCell ref="T40:W40"/>
    <mergeCell ref="G41:X41"/>
    <mergeCell ref="G42:K42"/>
    <mergeCell ref="G34:X34"/>
    <mergeCell ref="G35:K35"/>
    <mergeCell ref="J36:X36"/>
    <mergeCell ref="H38:I38"/>
    <mergeCell ref="N38:Q38"/>
    <mergeCell ref="T38:W38"/>
    <mergeCell ref="G48:X48"/>
    <mergeCell ref="H49:I49"/>
    <mergeCell ref="N49:P49"/>
    <mergeCell ref="T49:W49"/>
    <mergeCell ref="G50:X50"/>
    <mergeCell ref="G51:K51"/>
    <mergeCell ref="G43:X43"/>
    <mergeCell ref="G44:K44"/>
    <mergeCell ref="J45:X45"/>
    <mergeCell ref="H47:I47"/>
    <mergeCell ref="N47:Q47"/>
    <mergeCell ref="T47:W47"/>
    <mergeCell ref="L62:O62"/>
    <mergeCell ref="G64:X64"/>
    <mergeCell ref="L65:O65"/>
    <mergeCell ref="G66:X66"/>
    <mergeCell ref="L67:O67"/>
    <mergeCell ref="G68:X68"/>
    <mergeCell ref="G52:X52"/>
    <mergeCell ref="G53:K53"/>
    <mergeCell ref="J54:X54"/>
    <mergeCell ref="G58:X58"/>
    <mergeCell ref="L59:O59"/>
    <mergeCell ref="G61:X61"/>
    <mergeCell ref="L76:O76"/>
    <mergeCell ref="G79:X79"/>
    <mergeCell ref="G80:X80"/>
    <mergeCell ref="G81:K81"/>
    <mergeCell ref="G82:X82"/>
    <mergeCell ref="G83:K83"/>
    <mergeCell ref="L69:O69"/>
    <mergeCell ref="G71:X71"/>
    <mergeCell ref="L72:O72"/>
    <mergeCell ref="G73:X73"/>
    <mergeCell ref="L74:O74"/>
    <mergeCell ref="G75:X75"/>
    <mergeCell ref="G92:K92"/>
    <mergeCell ref="G93:X93"/>
    <mergeCell ref="J94:X94"/>
    <mergeCell ref="G96:X96"/>
    <mergeCell ref="G97:X97"/>
    <mergeCell ref="G98:K98"/>
    <mergeCell ref="G84:X84"/>
    <mergeCell ref="J85:X85"/>
    <mergeCell ref="G88:X88"/>
    <mergeCell ref="G89:X89"/>
    <mergeCell ref="G90:K90"/>
    <mergeCell ref="G91:X91"/>
    <mergeCell ref="G106:K106"/>
    <mergeCell ref="G107:X107"/>
    <mergeCell ref="G108:K108"/>
    <mergeCell ref="G109:X109"/>
    <mergeCell ref="J110:X110"/>
    <mergeCell ref="H113:I113"/>
    <mergeCell ref="N113:Q113"/>
    <mergeCell ref="T113:W113"/>
    <mergeCell ref="G99:X99"/>
    <mergeCell ref="G100:K100"/>
    <mergeCell ref="G101:X101"/>
    <mergeCell ref="J102:X102"/>
    <mergeCell ref="G104:X104"/>
    <mergeCell ref="G105:X105"/>
    <mergeCell ref="G118:X118"/>
    <mergeCell ref="G119:K119"/>
    <mergeCell ref="J120:X120"/>
    <mergeCell ref="H123:I123"/>
    <mergeCell ref="N123:Q123"/>
    <mergeCell ref="T123:W123"/>
    <mergeCell ref="G114:X114"/>
    <mergeCell ref="H115:I115"/>
    <mergeCell ref="N115:P115"/>
    <mergeCell ref="T115:W115"/>
    <mergeCell ref="G116:X116"/>
    <mergeCell ref="G117:K117"/>
    <mergeCell ref="G128:X128"/>
    <mergeCell ref="G129:K129"/>
    <mergeCell ref="J130:X130"/>
    <mergeCell ref="H132:I132"/>
    <mergeCell ref="N132:Q132"/>
    <mergeCell ref="T132:W132"/>
    <mergeCell ref="G124:X124"/>
    <mergeCell ref="H125:I125"/>
    <mergeCell ref="N125:P125"/>
    <mergeCell ref="T125:W125"/>
    <mergeCell ref="G126:X126"/>
    <mergeCell ref="G127:K127"/>
    <mergeCell ref="G137:X137"/>
    <mergeCell ref="G138:K138"/>
    <mergeCell ref="J139:X139"/>
    <mergeCell ref="H141:I141"/>
    <mergeCell ref="N141:Q141"/>
    <mergeCell ref="T141:W141"/>
    <mergeCell ref="G133:X133"/>
    <mergeCell ref="H134:I134"/>
    <mergeCell ref="N134:P134"/>
    <mergeCell ref="T134:W134"/>
    <mergeCell ref="G135:X135"/>
    <mergeCell ref="G136:K136"/>
    <mergeCell ref="G146:X146"/>
    <mergeCell ref="G147:K147"/>
    <mergeCell ref="J148:X148"/>
    <mergeCell ref="G150:X150"/>
    <mergeCell ref="K151:N151"/>
    <mergeCell ref="S151:V151"/>
    <mergeCell ref="G142:X142"/>
    <mergeCell ref="H143:I143"/>
    <mergeCell ref="N143:P143"/>
    <mergeCell ref="T143:W143"/>
    <mergeCell ref="G144:X144"/>
    <mergeCell ref="G145:K145"/>
    <mergeCell ref="G161:V161"/>
    <mergeCell ref="G162:V162"/>
    <mergeCell ref="G163:V163"/>
    <mergeCell ref="H164:X164"/>
    <mergeCell ref="C165:X166"/>
    <mergeCell ref="G152:X152"/>
    <mergeCell ref="G153:K153"/>
    <mergeCell ref="G154:X154"/>
    <mergeCell ref="G155:K155"/>
    <mergeCell ref="G157:V157"/>
    <mergeCell ref="G158:V158"/>
  </mergeCells>
  <phoneticPr fontId="122"/>
  <dataValidations count="2">
    <dataValidation type="list" allowBlank="1" showInputMessage="1" sqref="P151 P65687 P131223 P196759 P262295 P327831 P393367 P458903 P524439 P589975 P655511 P721047 P786583 P852119 P917655 P983191 JL151 JL65687 JL131223 JL196759 JL262295 JL327831 JL393367 JL458903 JL524439 JL589975 JL655511 JL721047 JL786583 JL852119 JL917655 JL983191 TH151 TH65687 TH131223 TH196759 TH262295 TH327831 TH393367 TH458903 TH524439 TH589975 TH655511 TH721047 TH786583 TH852119 TH917655 TH983191 ADD151 ADD65687 ADD131223 ADD196759 ADD262295 ADD327831 ADD393367 ADD458903 ADD524439 ADD589975 ADD655511 ADD721047 ADD786583 ADD852119 ADD917655 ADD983191 AMZ151 AMZ65687 AMZ131223 AMZ196759 AMZ262295 AMZ327831 AMZ393367 AMZ458903 AMZ524439 AMZ589975 AMZ655511 AMZ721047 AMZ786583 AMZ852119 AMZ917655 AMZ983191 AWV151 AWV65687 AWV131223 AWV196759 AWV262295 AWV327831 AWV393367 AWV458903 AWV524439 AWV589975 AWV655511 AWV721047 AWV786583 AWV852119 AWV917655 AWV983191 BGR151 BGR65687 BGR131223 BGR196759 BGR262295 BGR327831 BGR393367 BGR458903 BGR524439 BGR589975 BGR655511 BGR721047 BGR786583 BGR852119 BGR917655 BGR983191 BQN151 BQN65687 BQN131223 BQN196759 BQN262295 BQN327831 BQN393367 BQN458903 BQN524439 BQN589975 BQN655511 BQN721047 BQN786583 BQN852119 BQN917655 BQN983191 CAJ151 CAJ65687 CAJ131223 CAJ196759 CAJ262295 CAJ327831 CAJ393367 CAJ458903 CAJ524439 CAJ589975 CAJ655511 CAJ721047 CAJ786583 CAJ852119 CAJ917655 CAJ983191 CKF151 CKF65687 CKF131223 CKF196759 CKF262295 CKF327831 CKF393367 CKF458903 CKF524439 CKF589975 CKF655511 CKF721047 CKF786583 CKF852119 CKF917655 CKF983191 CUB151 CUB65687 CUB131223 CUB196759 CUB262295 CUB327831 CUB393367 CUB458903 CUB524439 CUB589975 CUB655511 CUB721047 CUB786583 CUB852119 CUB917655 CUB983191 DDX151 DDX65687 DDX131223 DDX196759 DDX262295 DDX327831 DDX393367 DDX458903 DDX524439 DDX589975 DDX655511 DDX721047 DDX786583 DDX852119 DDX917655 DDX983191 DNT151 DNT65687 DNT131223 DNT196759 DNT262295 DNT327831 DNT393367 DNT458903 DNT524439 DNT589975 DNT655511 DNT721047 DNT786583 DNT852119 DNT917655 DNT983191 DXP151 DXP65687 DXP131223 DXP196759 DXP262295 DXP327831 DXP393367 DXP458903 DXP524439 DXP589975 DXP655511 DXP721047 DXP786583 DXP852119 DXP917655 DXP983191 EHL151 EHL65687 EHL131223 EHL196759 EHL262295 EHL327831 EHL393367 EHL458903 EHL524439 EHL589975 EHL655511 EHL721047 EHL786583 EHL852119 EHL917655 EHL983191 ERH151 ERH65687 ERH131223 ERH196759 ERH262295 ERH327831 ERH393367 ERH458903 ERH524439 ERH589975 ERH655511 ERH721047 ERH786583 ERH852119 ERH917655 ERH983191 FBD151 FBD65687 FBD131223 FBD196759 FBD262295 FBD327831 FBD393367 FBD458903 FBD524439 FBD589975 FBD655511 FBD721047 FBD786583 FBD852119 FBD917655 FBD983191 FKZ151 FKZ65687 FKZ131223 FKZ196759 FKZ262295 FKZ327831 FKZ393367 FKZ458903 FKZ524439 FKZ589975 FKZ655511 FKZ721047 FKZ786583 FKZ852119 FKZ917655 FKZ983191 FUV151 FUV65687 FUV131223 FUV196759 FUV262295 FUV327831 FUV393367 FUV458903 FUV524439 FUV589975 FUV655511 FUV721047 FUV786583 FUV852119 FUV917655 FUV983191 GER151 GER65687 GER131223 GER196759 GER262295 GER327831 GER393367 GER458903 GER524439 GER589975 GER655511 GER721047 GER786583 GER852119 GER917655 GER983191 GON151 GON65687 GON131223 GON196759 GON262295 GON327831 GON393367 GON458903 GON524439 GON589975 GON655511 GON721047 GON786583 GON852119 GON917655 GON983191 GYJ151 GYJ65687 GYJ131223 GYJ196759 GYJ262295 GYJ327831 GYJ393367 GYJ458903 GYJ524439 GYJ589975 GYJ655511 GYJ721047 GYJ786583 GYJ852119 GYJ917655 GYJ983191 HIF151 HIF65687 HIF131223 HIF196759 HIF262295 HIF327831 HIF393367 HIF458903 HIF524439 HIF589975 HIF655511 HIF721047 HIF786583 HIF852119 HIF917655 HIF983191 HSB151 HSB65687 HSB131223 HSB196759 HSB262295 HSB327831 HSB393367 HSB458903 HSB524439 HSB589975 HSB655511 HSB721047 HSB786583 HSB852119 HSB917655 HSB983191 IBX151 IBX65687 IBX131223 IBX196759 IBX262295 IBX327831 IBX393367 IBX458903 IBX524439 IBX589975 IBX655511 IBX721047 IBX786583 IBX852119 IBX917655 IBX983191 ILT151 ILT65687 ILT131223 ILT196759 ILT262295 ILT327831 ILT393367 ILT458903 ILT524439 ILT589975 ILT655511 ILT721047 ILT786583 ILT852119 ILT917655 ILT983191 IVP151 IVP65687 IVP131223 IVP196759 IVP262295 IVP327831 IVP393367 IVP458903 IVP524439 IVP589975 IVP655511 IVP721047 IVP786583 IVP852119 IVP917655 IVP983191 JFL151 JFL65687 JFL131223 JFL196759 JFL262295 JFL327831 JFL393367 JFL458903 JFL524439 JFL589975 JFL655511 JFL721047 JFL786583 JFL852119 JFL917655 JFL983191 JPH151 JPH65687 JPH131223 JPH196759 JPH262295 JPH327831 JPH393367 JPH458903 JPH524439 JPH589975 JPH655511 JPH721047 JPH786583 JPH852119 JPH917655 JPH983191 JZD151 JZD65687 JZD131223 JZD196759 JZD262295 JZD327831 JZD393367 JZD458903 JZD524439 JZD589975 JZD655511 JZD721047 JZD786583 JZD852119 JZD917655 JZD983191 KIZ151 KIZ65687 KIZ131223 KIZ196759 KIZ262295 KIZ327831 KIZ393367 KIZ458903 KIZ524439 KIZ589975 KIZ655511 KIZ721047 KIZ786583 KIZ852119 KIZ917655 KIZ983191 KSV151 KSV65687 KSV131223 KSV196759 KSV262295 KSV327831 KSV393367 KSV458903 KSV524439 KSV589975 KSV655511 KSV721047 KSV786583 KSV852119 KSV917655 KSV983191 LCR151 LCR65687 LCR131223 LCR196759 LCR262295 LCR327831 LCR393367 LCR458903 LCR524439 LCR589975 LCR655511 LCR721047 LCR786583 LCR852119 LCR917655 LCR983191 LMN151 LMN65687 LMN131223 LMN196759 LMN262295 LMN327831 LMN393367 LMN458903 LMN524439 LMN589975 LMN655511 LMN721047 LMN786583 LMN852119 LMN917655 LMN983191 LWJ151 LWJ65687 LWJ131223 LWJ196759 LWJ262295 LWJ327831 LWJ393367 LWJ458903 LWJ524439 LWJ589975 LWJ655511 LWJ721047 LWJ786583 LWJ852119 LWJ917655 LWJ983191 MGF151 MGF65687 MGF131223 MGF196759 MGF262295 MGF327831 MGF393367 MGF458903 MGF524439 MGF589975 MGF655511 MGF721047 MGF786583 MGF852119 MGF917655 MGF983191 MQB151 MQB65687 MQB131223 MQB196759 MQB262295 MQB327831 MQB393367 MQB458903 MQB524439 MQB589975 MQB655511 MQB721047 MQB786583 MQB852119 MQB917655 MQB983191 MZX151 MZX65687 MZX131223 MZX196759 MZX262295 MZX327831 MZX393367 MZX458903 MZX524439 MZX589975 MZX655511 MZX721047 MZX786583 MZX852119 MZX917655 MZX983191 NJT151 NJT65687 NJT131223 NJT196759 NJT262295 NJT327831 NJT393367 NJT458903 NJT524439 NJT589975 NJT655511 NJT721047 NJT786583 NJT852119 NJT917655 NJT983191 NTP151 NTP65687 NTP131223 NTP196759 NTP262295 NTP327831 NTP393367 NTP458903 NTP524439 NTP589975 NTP655511 NTP721047 NTP786583 NTP852119 NTP917655 NTP983191 ODL151 ODL65687 ODL131223 ODL196759 ODL262295 ODL327831 ODL393367 ODL458903 ODL524439 ODL589975 ODL655511 ODL721047 ODL786583 ODL852119 ODL917655 ODL983191 ONH151 ONH65687 ONH131223 ONH196759 ONH262295 ONH327831 ONH393367 ONH458903 ONH524439 ONH589975 ONH655511 ONH721047 ONH786583 ONH852119 ONH917655 ONH983191 OXD151 OXD65687 OXD131223 OXD196759 OXD262295 OXD327831 OXD393367 OXD458903 OXD524439 OXD589975 OXD655511 OXD721047 OXD786583 OXD852119 OXD917655 OXD983191 PGZ151 PGZ65687 PGZ131223 PGZ196759 PGZ262295 PGZ327831 PGZ393367 PGZ458903 PGZ524439 PGZ589975 PGZ655511 PGZ721047 PGZ786583 PGZ852119 PGZ917655 PGZ983191 PQV151 PQV65687 PQV131223 PQV196759 PQV262295 PQV327831 PQV393367 PQV458903 PQV524439 PQV589975 PQV655511 PQV721047 PQV786583 PQV852119 PQV917655 PQV983191 QAR151 QAR65687 QAR131223 QAR196759 QAR262295 QAR327831 QAR393367 QAR458903 QAR524439 QAR589975 QAR655511 QAR721047 QAR786583 QAR852119 QAR917655 QAR983191 QKN151 QKN65687 QKN131223 QKN196759 QKN262295 QKN327831 QKN393367 QKN458903 QKN524439 QKN589975 QKN655511 QKN721047 QKN786583 QKN852119 QKN917655 QKN983191 QUJ151 QUJ65687 QUJ131223 QUJ196759 QUJ262295 QUJ327831 QUJ393367 QUJ458903 QUJ524439 QUJ589975 QUJ655511 QUJ721047 QUJ786583 QUJ852119 QUJ917655 QUJ983191 REF151 REF65687 REF131223 REF196759 REF262295 REF327831 REF393367 REF458903 REF524439 REF589975 REF655511 REF721047 REF786583 REF852119 REF917655 REF983191 ROB151 ROB65687 ROB131223 ROB196759 ROB262295 ROB327831 ROB393367 ROB458903 ROB524439 ROB589975 ROB655511 ROB721047 ROB786583 ROB852119 ROB917655 ROB983191 RXX151 RXX65687 RXX131223 RXX196759 RXX262295 RXX327831 RXX393367 RXX458903 RXX524439 RXX589975 RXX655511 RXX721047 RXX786583 RXX852119 RXX917655 RXX983191 SHT151 SHT65687 SHT131223 SHT196759 SHT262295 SHT327831 SHT393367 SHT458903 SHT524439 SHT589975 SHT655511 SHT721047 SHT786583 SHT852119 SHT917655 SHT983191 SRP151 SRP65687 SRP131223 SRP196759 SRP262295 SRP327831 SRP393367 SRP458903 SRP524439 SRP589975 SRP655511 SRP721047 SRP786583 SRP852119 SRP917655 SRP983191 TBL151 TBL65687 TBL131223 TBL196759 TBL262295 TBL327831 TBL393367 TBL458903 TBL524439 TBL589975 TBL655511 TBL721047 TBL786583 TBL852119 TBL917655 TBL983191 TLH151 TLH65687 TLH131223 TLH196759 TLH262295 TLH327831 TLH393367 TLH458903 TLH524439 TLH589975 TLH655511 TLH721047 TLH786583 TLH852119 TLH917655 TLH983191 TVD151 TVD65687 TVD131223 TVD196759 TVD262295 TVD327831 TVD393367 TVD458903 TVD524439 TVD589975 TVD655511 TVD721047 TVD786583 TVD852119 TVD917655 TVD983191 UEZ151 UEZ65687 UEZ131223 UEZ196759 UEZ262295 UEZ327831 UEZ393367 UEZ458903 UEZ524439 UEZ589975 UEZ655511 UEZ721047 UEZ786583 UEZ852119 UEZ917655 UEZ983191 UOV151 UOV65687 UOV131223 UOV196759 UOV262295 UOV327831 UOV393367 UOV458903 UOV524439 UOV589975 UOV655511 UOV721047 UOV786583 UOV852119 UOV917655 UOV983191 UYR151 UYR65687 UYR131223 UYR196759 UYR262295 UYR327831 UYR393367 UYR458903 UYR524439 UYR589975 UYR655511 UYR721047 UYR786583 UYR852119 UYR917655 UYR983191 VIN151 VIN65687 VIN131223 VIN196759 VIN262295 VIN327831 VIN393367 VIN458903 VIN524439 VIN589975 VIN655511 VIN721047 VIN786583 VIN852119 VIN917655 VIN983191 VSJ151 VSJ65687 VSJ131223 VSJ196759 VSJ262295 VSJ327831 VSJ393367 VSJ458903 VSJ524439 VSJ589975 VSJ655511 VSJ721047 VSJ786583 VSJ852119 VSJ917655 VSJ983191 WCF151 WCF65687 WCF131223 WCF196759 WCF262295 WCF327831 WCF393367 WCF458903 WCF524439 WCF589975 WCF655511 WCF721047 WCF786583 WCF852119 WCF917655 WCF983191 WMB151 WMB65687 WMB131223 WMB196759 WMB262295 WMB327831 WMB393367 WMB458903 WMB524439 WMB589975 WMB655511 WMB721047 WMB786583 WMB852119 WMB917655 WMB983191 WVX151 WVX65687 WVX131223 WVX196759 WVX262295 WVX327831 WVX393367 WVX458903 WVX524439 WVX589975 WVX655511 WVX721047 WVX786583 WVX852119 WVX917655 WVX983191" xr:uid="{00000000-0002-0000-0B00-000000000000}">
      <formula1>はんとく</formula1>
    </dataValidation>
    <dataValidation type="list" allowBlank="1" showInputMessage="1" showErrorMessage="1" sqref="Q151 Q65687 Q131223 Q196759 Q262295 Q327831 Q393367 Q458903 Q524439 Q589975 Q655511 Q721047 Q786583 Q852119 Q917655 Q983191 JM151 JM65687 JM131223 JM196759 JM262295 JM327831 JM393367 JM458903 JM524439 JM589975 JM655511 JM721047 JM786583 JM852119 JM917655 JM983191 TI151 TI65687 TI131223 TI196759 TI262295 TI327831 TI393367 TI458903 TI524439 TI589975 TI655511 TI721047 TI786583 TI852119 TI917655 TI983191 ADE151 ADE65687 ADE131223 ADE196759 ADE262295 ADE327831 ADE393367 ADE458903 ADE524439 ADE589975 ADE655511 ADE721047 ADE786583 ADE852119 ADE917655 ADE983191 ANA151 ANA65687 ANA131223 ANA196759 ANA262295 ANA327831 ANA393367 ANA458903 ANA524439 ANA589975 ANA655511 ANA721047 ANA786583 ANA852119 ANA917655 ANA983191 AWW151 AWW65687 AWW131223 AWW196759 AWW262295 AWW327831 AWW393367 AWW458903 AWW524439 AWW589975 AWW655511 AWW721047 AWW786583 AWW852119 AWW917655 AWW983191 BGS151 BGS65687 BGS131223 BGS196759 BGS262295 BGS327831 BGS393367 BGS458903 BGS524439 BGS589975 BGS655511 BGS721047 BGS786583 BGS852119 BGS917655 BGS983191 BQO151 BQO65687 BQO131223 BQO196759 BQO262295 BQO327831 BQO393367 BQO458903 BQO524439 BQO589975 BQO655511 BQO721047 BQO786583 BQO852119 BQO917655 BQO983191 CAK151 CAK65687 CAK131223 CAK196759 CAK262295 CAK327831 CAK393367 CAK458903 CAK524439 CAK589975 CAK655511 CAK721047 CAK786583 CAK852119 CAK917655 CAK983191 CKG151 CKG65687 CKG131223 CKG196759 CKG262295 CKG327831 CKG393367 CKG458903 CKG524439 CKG589975 CKG655511 CKG721047 CKG786583 CKG852119 CKG917655 CKG983191 CUC151 CUC65687 CUC131223 CUC196759 CUC262295 CUC327831 CUC393367 CUC458903 CUC524439 CUC589975 CUC655511 CUC721047 CUC786583 CUC852119 CUC917655 CUC983191 DDY151 DDY65687 DDY131223 DDY196759 DDY262295 DDY327831 DDY393367 DDY458903 DDY524439 DDY589975 DDY655511 DDY721047 DDY786583 DDY852119 DDY917655 DDY983191 DNU151 DNU65687 DNU131223 DNU196759 DNU262295 DNU327831 DNU393367 DNU458903 DNU524439 DNU589975 DNU655511 DNU721047 DNU786583 DNU852119 DNU917655 DNU983191 DXQ151 DXQ65687 DXQ131223 DXQ196759 DXQ262295 DXQ327831 DXQ393367 DXQ458903 DXQ524439 DXQ589975 DXQ655511 DXQ721047 DXQ786583 DXQ852119 DXQ917655 DXQ983191 EHM151 EHM65687 EHM131223 EHM196759 EHM262295 EHM327831 EHM393367 EHM458903 EHM524439 EHM589975 EHM655511 EHM721047 EHM786583 EHM852119 EHM917655 EHM983191 ERI151 ERI65687 ERI131223 ERI196759 ERI262295 ERI327831 ERI393367 ERI458903 ERI524439 ERI589975 ERI655511 ERI721047 ERI786583 ERI852119 ERI917655 ERI983191 FBE151 FBE65687 FBE131223 FBE196759 FBE262295 FBE327831 FBE393367 FBE458903 FBE524439 FBE589975 FBE655511 FBE721047 FBE786583 FBE852119 FBE917655 FBE983191 FLA151 FLA65687 FLA131223 FLA196759 FLA262295 FLA327831 FLA393367 FLA458903 FLA524439 FLA589975 FLA655511 FLA721047 FLA786583 FLA852119 FLA917655 FLA983191 FUW151 FUW65687 FUW131223 FUW196759 FUW262295 FUW327831 FUW393367 FUW458903 FUW524439 FUW589975 FUW655511 FUW721047 FUW786583 FUW852119 FUW917655 FUW983191 GES151 GES65687 GES131223 GES196759 GES262295 GES327831 GES393367 GES458903 GES524439 GES589975 GES655511 GES721047 GES786583 GES852119 GES917655 GES983191 GOO151 GOO65687 GOO131223 GOO196759 GOO262295 GOO327831 GOO393367 GOO458903 GOO524439 GOO589975 GOO655511 GOO721047 GOO786583 GOO852119 GOO917655 GOO983191 GYK151 GYK65687 GYK131223 GYK196759 GYK262295 GYK327831 GYK393367 GYK458903 GYK524439 GYK589975 GYK655511 GYK721047 GYK786583 GYK852119 GYK917655 GYK983191 HIG151 HIG65687 HIG131223 HIG196759 HIG262295 HIG327831 HIG393367 HIG458903 HIG524439 HIG589975 HIG655511 HIG721047 HIG786583 HIG852119 HIG917655 HIG983191 HSC151 HSC65687 HSC131223 HSC196759 HSC262295 HSC327831 HSC393367 HSC458903 HSC524439 HSC589975 HSC655511 HSC721047 HSC786583 HSC852119 HSC917655 HSC983191 IBY151 IBY65687 IBY131223 IBY196759 IBY262295 IBY327831 IBY393367 IBY458903 IBY524439 IBY589975 IBY655511 IBY721047 IBY786583 IBY852119 IBY917655 IBY983191 ILU151 ILU65687 ILU131223 ILU196759 ILU262295 ILU327831 ILU393367 ILU458903 ILU524439 ILU589975 ILU655511 ILU721047 ILU786583 ILU852119 ILU917655 ILU983191 IVQ151 IVQ65687 IVQ131223 IVQ196759 IVQ262295 IVQ327831 IVQ393367 IVQ458903 IVQ524439 IVQ589975 IVQ655511 IVQ721047 IVQ786583 IVQ852119 IVQ917655 IVQ983191 JFM151 JFM65687 JFM131223 JFM196759 JFM262295 JFM327831 JFM393367 JFM458903 JFM524439 JFM589975 JFM655511 JFM721047 JFM786583 JFM852119 JFM917655 JFM983191 JPI151 JPI65687 JPI131223 JPI196759 JPI262295 JPI327831 JPI393367 JPI458903 JPI524439 JPI589975 JPI655511 JPI721047 JPI786583 JPI852119 JPI917655 JPI983191 JZE151 JZE65687 JZE131223 JZE196759 JZE262295 JZE327831 JZE393367 JZE458903 JZE524439 JZE589975 JZE655511 JZE721047 JZE786583 JZE852119 JZE917655 JZE983191 KJA151 KJA65687 KJA131223 KJA196759 KJA262295 KJA327831 KJA393367 KJA458903 KJA524439 KJA589975 KJA655511 KJA721047 KJA786583 KJA852119 KJA917655 KJA983191 KSW151 KSW65687 KSW131223 KSW196759 KSW262295 KSW327831 KSW393367 KSW458903 KSW524439 KSW589975 KSW655511 KSW721047 KSW786583 KSW852119 KSW917655 KSW983191 LCS151 LCS65687 LCS131223 LCS196759 LCS262295 LCS327831 LCS393367 LCS458903 LCS524439 LCS589975 LCS655511 LCS721047 LCS786583 LCS852119 LCS917655 LCS983191 LMO151 LMO65687 LMO131223 LMO196759 LMO262295 LMO327831 LMO393367 LMO458903 LMO524439 LMO589975 LMO655511 LMO721047 LMO786583 LMO852119 LMO917655 LMO983191 LWK151 LWK65687 LWK131223 LWK196759 LWK262295 LWK327831 LWK393367 LWK458903 LWK524439 LWK589975 LWK655511 LWK721047 LWK786583 LWK852119 LWK917655 LWK983191 MGG151 MGG65687 MGG131223 MGG196759 MGG262295 MGG327831 MGG393367 MGG458903 MGG524439 MGG589975 MGG655511 MGG721047 MGG786583 MGG852119 MGG917655 MGG983191 MQC151 MQC65687 MQC131223 MQC196759 MQC262295 MQC327831 MQC393367 MQC458903 MQC524439 MQC589975 MQC655511 MQC721047 MQC786583 MQC852119 MQC917655 MQC983191 MZY151 MZY65687 MZY131223 MZY196759 MZY262295 MZY327831 MZY393367 MZY458903 MZY524439 MZY589975 MZY655511 MZY721047 MZY786583 MZY852119 MZY917655 MZY983191 NJU151 NJU65687 NJU131223 NJU196759 NJU262295 NJU327831 NJU393367 NJU458903 NJU524439 NJU589975 NJU655511 NJU721047 NJU786583 NJU852119 NJU917655 NJU983191 NTQ151 NTQ65687 NTQ131223 NTQ196759 NTQ262295 NTQ327831 NTQ393367 NTQ458903 NTQ524439 NTQ589975 NTQ655511 NTQ721047 NTQ786583 NTQ852119 NTQ917655 NTQ983191 ODM151 ODM65687 ODM131223 ODM196759 ODM262295 ODM327831 ODM393367 ODM458903 ODM524439 ODM589975 ODM655511 ODM721047 ODM786583 ODM852119 ODM917655 ODM983191 ONI151 ONI65687 ONI131223 ONI196759 ONI262295 ONI327831 ONI393367 ONI458903 ONI524439 ONI589975 ONI655511 ONI721047 ONI786583 ONI852119 ONI917655 ONI983191 OXE151 OXE65687 OXE131223 OXE196759 OXE262295 OXE327831 OXE393367 OXE458903 OXE524439 OXE589975 OXE655511 OXE721047 OXE786583 OXE852119 OXE917655 OXE983191 PHA151 PHA65687 PHA131223 PHA196759 PHA262295 PHA327831 PHA393367 PHA458903 PHA524439 PHA589975 PHA655511 PHA721047 PHA786583 PHA852119 PHA917655 PHA983191 PQW151 PQW65687 PQW131223 PQW196759 PQW262295 PQW327831 PQW393367 PQW458903 PQW524439 PQW589975 PQW655511 PQW721047 PQW786583 PQW852119 PQW917655 PQW983191 QAS151 QAS65687 QAS131223 QAS196759 QAS262295 QAS327831 QAS393367 QAS458903 QAS524439 QAS589975 QAS655511 QAS721047 QAS786583 QAS852119 QAS917655 QAS983191 QKO151 QKO65687 QKO131223 QKO196759 QKO262295 QKO327831 QKO393367 QKO458903 QKO524439 QKO589975 QKO655511 QKO721047 QKO786583 QKO852119 QKO917655 QKO983191 QUK151 QUK65687 QUK131223 QUK196759 QUK262295 QUK327831 QUK393367 QUK458903 QUK524439 QUK589975 QUK655511 QUK721047 QUK786583 QUK852119 QUK917655 QUK983191 REG151 REG65687 REG131223 REG196759 REG262295 REG327831 REG393367 REG458903 REG524439 REG589975 REG655511 REG721047 REG786583 REG852119 REG917655 REG983191 ROC151 ROC65687 ROC131223 ROC196759 ROC262295 ROC327831 ROC393367 ROC458903 ROC524439 ROC589975 ROC655511 ROC721047 ROC786583 ROC852119 ROC917655 ROC983191 RXY151 RXY65687 RXY131223 RXY196759 RXY262295 RXY327831 RXY393367 RXY458903 RXY524439 RXY589975 RXY655511 RXY721047 RXY786583 RXY852119 RXY917655 RXY983191 SHU151 SHU65687 SHU131223 SHU196759 SHU262295 SHU327831 SHU393367 SHU458903 SHU524439 SHU589975 SHU655511 SHU721047 SHU786583 SHU852119 SHU917655 SHU983191 SRQ151 SRQ65687 SRQ131223 SRQ196759 SRQ262295 SRQ327831 SRQ393367 SRQ458903 SRQ524439 SRQ589975 SRQ655511 SRQ721047 SRQ786583 SRQ852119 SRQ917655 SRQ983191 TBM151 TBM65687 TBM131223 TBM196759 TBM262295 TBM327831 TBM393367 TBM458903 TBM524439 TBM589975 TBM655511 TBM721047 TBM786583 TBM852119 TBM917655 TBM983191 TLI151 TLI65687 TLI131223 TLI196759 TLI262295 TLI327831 TLI393367 TLI458903 TLI524439 TLI589975 TLI655511 TLI721047 TLI786583 TLI852119 TLI917655 TLI983191 TVE151 TVE65687 TVE131223 TVE196759 TVE262295 TVE327831 TVE393367 TVE458903 TVE524439 TVE589975 TVE655511 TVE721047 TVE786583 TVE852119 TVE917655 TVE983191 UFA151 UFA65687 UFA131223 UFA196759 UFA262295 UFA327831 UFA393367 UFA458903 UFA524439 UFA589975 UFA655511 UFA721047 UFA786583 UFA852119 UFA917655 UFA983191 UOW151 UOW65687 UOW131223 UOW196759 UOW262295 UOW327831 UOW393367 UOW458903 UOW524439 UOW589975 UOW655511 UOW721047 UOW786583 UOW852119 UOW917655 UOW983191 UYS151 UYS65687 UYS131223 UYS196759 UYS262295 UYS327831 UYS393367 UYS458903 UYS524439 UYS589975 UYS655511 UYS721047 UYS786583 UYS852119 UYS917655 UYS983191 VIO151 VIO65687 VIO131223 VIO196759 VIO262295 VIO327831 VIO393367 VIO458903 VIO524439 VIO589975 VIO655511 VIO721047 VIO786583 VIO852119 VIO917655 VIO983191 VSK151 VSK65687 VSK131223 VSK196759 VSK262295 VSK327831 VSK393367 VSK458903 VSK524439 VSK589975 VSK655511 VSK721047 VSK786583 VSK852119 VSK917655 VSK983191 WCG151 WCG65687 WCG131223 WCG196759 WCG262295 WCG327831 WCG393367 WCG458903 WCG524439 WCG589975 WCG655511 WCG721047 WCG786583 WCG852119 WCG917655 WCG983191 WMC151 WMC65687 WMC131223 WMC196759 WMC262295 WMC327831 WMC393367 WMC458903 WMC524439 WMC589975 WMC655511 WMC721047 WMC786583 WMC852119 WMC917655 WMC983191 WVY151 WVY65687 WVY131223 WVY196759 WVY262295 WVY327831 WVY393367 WVY458903 WVY524439 WVY589975 WVY655511 WVY721047 WVY786583 WVY852119 WVY917655 WVY983191" xr:uid="{00000000-0002-0000-0B00-000001000000}">
      <formula1>年度</formula1>
    </dataValidation>
  </dataValidations>
  <hyperlinks>
    <hyperlink ref="Y166" location="第二面!Y1" display="ページ上部へ" xr:uid="{00000000-0004-0000-0B00-000000000000}"/>
  </hyperlinks>
  <pageMargins left="0.70866141732283472" right="0.70866141732283472" top="0.59055118110236227" bottom="0.59055118110236227" header="0.31496062992125984" footer="0.31496062992125984"/>
  <pageSetup paperSize="9" fitToHeight="3"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S108"/>
  <sheetViews>
    <sheetView showGridLines="0" showZeros="0" zoomScaleNormal="100" zoomScaleSheetLayoutView="100" workbookViewId="0"/>
  </sheetViews>
  <sheetFormatPr defaultColWidth="9" defaultRowHeight="13.2"/>
  <cols>
    <col min="1" max="24" width="3.6640625" style="1183" customWidth="1"/>
    <col min="25" max="25" width="9" style="1183" customWidth="1"/>
    <col min="26" max="26" width="20.21875" style="1183" customWidth="1"/>
    <col min="27" max="27" width="19.33203125" style="1183" customWidth="1"/>
    <col min="28" max="28" width="20.6640625" style="1183" customWidth="1"/>
    <col min="29" max="256" width="9" style="1183" customWidth="1"/>
    <col min="257" max="280" width="3.6640625" style="1183" customWidth="1"/>
    <col min="281" max="281" width="9" style="1183" customWidth="1"/>
    <col min="282" max="282" width="20.21875" style="1183" customWidth="1"/>
    <col min="283" max="283" width="19.33203125" style="1183" customWidth="1"/>
    <col min="284" max="284" width="20.6640625" style="1183" customWidth="1"/>
    <col min="285" max="512" width="9" style="1183" customWidth="1"/>
    <col min="513" max="536" width="3.6640625" style="1183" customWidth="1"/>
    <col min="537" max="537" width="9" style="1183" customWidth="1"/>
    <col min="538" max="538" width="20.21875" style="1183" customWidth="1"/>
    <col min="539" max="539" width="19.33203125" style="1183" customWidth="1"/>
    <col min="540" max="540" width="20.6640625" style="1183" customWidth="1"/>
    <col min="541" max="768" width="9" style="1183" customWidth="1"/>
    <col min="769" max="792" width="3.6640625" style="1183" customWidth="1"/>
    <col min="793" max="793" width="9" style="1183" customWidth="1"/>
    <col min="794" max="794" width="20.21875" style="1183" customWidth="1"/>
    <col min="795" max="795" width="19.33203125" style="1183" customWidth="1"/>
    <col min="796" max="796" width="20.6640625" style="1183" customWidth="1"/>
    <col min="797" max="1024" width="9" style="1183" customWidth="1"/>
    <col min="1025" max="1048" width="3.6640625" style="1183" customWidth="1"/>
    <col min="1049" max="1049" width="9" style="1183" customWidth="1"/>
    <col min="1050" max="1050" width="20.21875" style="1183" customWidth="1"/>
    <col min="1051" max="1051" width="19.33203125" style="1183" customWidth="1"/>
    <col min="1052" max="1052" width="20.6640625" style="1183" customWidth="1"/>
    <col min="1053" max="1280" width="9" style="1183" customWidth="1"/>
    <col min="1281" max="1304" width="3.6640625" style="1183" customWidth="1"/>
    <col min="1305" max="1305" width="9" style="1183" customWidth="1"/>
    <col min="1306" max="1306" width="20.21875" style="1183" customWidth="1"/>
    <col min="1307" max="1307" width="19.33203125" style="1183" customWidth="1"/>
    <col min="1308" max="1308" width="20.6640625" style="1183" customWidth="1"/>
    <col min="1309" max="1536" width="9" style="1183" customWidth="1"/>
    <col min="1537" max="1560" width="3.6640625" style="1183" customWidth="1"/>
    <col min="1561" max="1561" width="9" style="1183" customWidth="1"/>
    <col min="1562" max="1562" width="20.21875" style="1183" customWidth="1"/>
    <col min="1563" max="1563" width="19.33203125" style="1183" customWidth="1"/>
    <col min="1564" max="1564" width="20.6640625" style="1183" customWidth="1"/>
    <col min="1565" max="1792" width="9" style="1183" customWidth="1"/>
    <col min="1793" max="1816" width="3.6640625" style="1183" customWidth="1"/>
    <col min="1817" max="1817" width="9" style="1183" customWidth="1"/>
    <col min="1818" max="1818" width="20.21875" style="1183" customWidth="1"/>
    <col min="1819" max="1819" width="19.33203125" style="1183" customWidth="1"/>
    <col min="1820" max="1820" width="20.6640625" style="1183" customWidth="1"/>
    <col min="1821" max="2048" width="9" style="1183" customWidth="1"/>
    <col min="2049" max="2072" width="3.6640625" style="1183" customWidth="1"/>
    <col min="2073" max="2073" width="9" style="1183" customWidth="1"/>
    <col min="2074" max="2074" width="20.21875" style="1183" customWidth="1"/>
    <col min="2075" max="2075" width="19.33203125" style="1183" customWidth="1"/>
    <col min="2076" max="2076" width="20.6640625" style="1183" customWidth="1"/>
    <col min="2077" max="2304" width="9" style="1183" customWidth="1"/>
    <col min="2305" max="2328" width="3.6640625" style="1183" customWidth="1"/>
    <col min="2329" max="2329" width="9" style="1183" customWidth="1"/>
    <col min="2330" max="2330" width="20.21875" style="1183" customWidth="1"/>
    <col min="2331" max="2331" width="19.33203125" style="1183" customWidth="1"/>
    <col min="2332" max="2332" width="20.6640625" style="1183" customWidth="1"/>
    <col min="2333" max="2560" width="9" style="1183" customWidth="1"/>
    <col min="2561" max="2584" width="3.6640625" style="1183" customWidth="1"/>
    <col min="2585" max="2585" width="9" style="1183" customWidth="1"/>
    <col min="2586" max="2586" width="20.21875" style="1183" customWidth="1"/>
    <col min="2587" max="2587" width="19.33203125" style="1183" customWidth="1"/>
    <col min="2588" max="2588" width="20.6640625" style="1183" customWidth="1"/>
    <col min="2589" max="2816" width="9" style="1183" customWidth="1"/>
    <col min="2817" max="2840" width="3.6640625" style="1183" customWidth="1"/>
    <col min="2841" max="2841" width="9" style="1183" customWidth="1"/>
    <col min="2842" max="2842" width="20.21875" style="1183" customWidth="1"/>
    <col min="2843" max="2843" width="19.33203125" style="1183" customWidth="1"/>
    <col min="2844" max="2844" width="20.6640625" style="1183" customWidth="1"/>
    <col min="2845" max="3072" width="9" style="1183" customWidth="1"/>
    <col min="3073" max="3096" width="3.6640625" style="1183" customWidth="1"/>
    <col min="3097" max="3097" width="9" style="1183" customWidth="1"/>
    <col min="3098" max="3098" width="20.21875" style="1183" customWidth="1"/>
    <col min="3099" max="3099" width="19.33203125" style="1183" customWidth="1"/>
    <col min="3100" max="3100" width="20.6640625" style="1183" customWidth="1"/>
    <col min="3101" max="3328" width="9" style="1183" customWidth="1"/>
    <col min="3329" max="3352" width="3.6640625" style="1183" customWidth="1"/>
    <col min="3353" max="3353" width="9" style="1183" customWidth="1"/>
    <col min="3354" max="3354" width="20.21875" style="1183" customWidth="1"/>
    <col min="3355" max="3355" width="19.33203125" style="1183" customWidth="1"/>
    <col min="3356" max="3356" width="20.6640625" style="1183" customWidth="1"/>
    <col min="3357" max="3584" width="9" style="1183" customWidth="1"/>
    <col min="3585" max="3608" width="3.6640625" style="1183" customWidth="1"/>
    <col min="3609" max="3609" width="9" style="1183" customWidth="1"/>
    <col min="3610" max="3610" width="20.21875" style="1183" customWidth="1"/>
    <col min="3611" max="3611" width="19.33203125" style="1183" customWidth="1"/>
    <col min="3612" max="3612" width="20.6640625" style="1183" customWidth="1"/>
    <col min="3613" max="3840" width="9" style="1183" customWidth="1"/>
    <col min="3841" max="3864" width="3.6640625" style="1183" customWidth="1"/>
    <col min="3865" max="3865" width="9" style="1183" customWidth="1"/>
    <col min="3866" max="3866" width="20.21875" style="1183" customWidth="1"/>
    <col min="3867" max="3867" width="19.33203125" style="1183" customWidth="1"/>
    <col min="3868" max="3868" width="20.6640625" style="1183" customWidth="1"/>
    <col min="3869" max="4096" width="9" style="1183" customWidth="1"/>
    <col min="4097" max="4120" width="3.6640625" style="1183" customWidth="1"/>
    <col min="4121" max="4121" width="9" style="1183" customWidth="1"/>
    <col min="4122" max="4122" width="20.21875" style="1183" customWidth="1"/>
    <col min="4123" max="4123" width="19.33203125" style="1183" customWidth="1"/>
    <col min="4124" max="4124" width="20.6640625" style="1183" customWidth="1"/>
    <col min="4125" max="4352" width="9" style="1183" customWidth="1"/>
    <col min="4353" max="4376" width="3.6640625" style="1183" customWidth="1"/>
    <col min="4377" max="4377" width="9" style="1183" customWidth="1"/>
    <col min="4378" max="4378" width="20.21875" style="1183" customWidth="1"/>
    <col min="4379" max="4379" width="19.33203125" style="1183" customWidth="1"/>
    <col min="4380" max="4380" width="20.6640625" style="1183" customWidth="1"/>
    <col min="4381" max="4608" width="9" style="1183" customWidth="1"/>
    <col min="4609" max="4632" width="3.6640625" style="1183" customWidth="1"/>
    <col min="4633" max="4633" width="9" style="1183" customWidth="1"/>
    <col min="4634" max="4634" width="20.21875" style="1183" customWidth="1"/>
    <col min="4635" max="4635" width="19.33203125" style="1183" customWidth="1"/>
    <col min="4636" max="4636" width="20.6640625" style="1183" customWidth="1"/>
    <col min="4637" max="4864" width="9" style="1183" customWidth="1"/>
    <col min="4865" max="4888" width="3.6640625" style="1183" customWidth="1"/>
    <col min="4889" max="4889" width="9" style="1183" customWidth="1"/>
    <col min="4890" max="4890" width="20.21875" style="1183" customWidth="1"/>
    <col min="4891" max="4891" width="19.33203125" style="1183" customWidth="1"/>
    <col min="4892" max="4892" width="20.6640625" style="1183" customWidth="1"/>
    <col min="4893" max="5120" width="9" style="1183" customWidth="1"/>
    <col min="5121" max="5144" width="3.6640625" style="1183" customWidth="1"/>
    <col min="5145" max="5145" width="9" style="1183" customWidth="1"/>
    <col min="5146" max="5146" width="20.21875" style="1183" customWidth="1"/>
    <col min="5147" max="5147" width="19.33203125" style="1183" customWidth="1"/>
    <col min="5148" max="5148" width="20.6640625" style="1183" customWidth="1"/>
    <col min="5149" max="5376" width="9" style="1183" customWidth="1"/>
    <col min="5377" max="5400" width="3.6640625" style="1183" customWidth="1"/>
    <col min="5401" max="5401" width="9" style="1183" customWidth="1"/>
    <col min="5402" max="5402" width="20.21875" style="1183" customWidth="1"/>
    <col min="5403" max="5403" width="19.33203125" style="1183" customWidth="1"/>
    <col min="5404" max="5404" width="20.6640625" style="1183" customWidth="1"/>
    <col min="5405" max="5632" width="9" style="1183" customWidth="1"/>
    <col min="5633" max="5656" width="3.6640625" style="1183" customWidth="1"/>
    <col min="5657" max="5657" width="9" style="1183" customWidth="1"/>
    <col min="5658" max="5658" width="20.21875" style="1183" customWidth="1"/>
    <col min="5659" max="5659" width="19.33203125" style="1183" customWidth="1"/>
    <col min="5660" max="5660" width="20.6640625" style="1183" customWidth="1"/>
    <col min="5661" max="5888" width="9" style="1183" customWidth="1"/>
    <col min="5889" max="5912" width="3.6640625" style="1183" customWidth="1"/>
    <col min="5913" max="5913" width="9" style="1183" customWidth="1"/>
    <col min="5914" max="5914" width="20.21875" style="1183" customWidth="1"/>
    <col min="5915" max="5915" width="19.33203125" style="1183" customWidth="1"/>
    <col min="5916" max="5916" width="20.6640625" style="1183" customWidth="1"/>
    <col min="5917" max="6144" width="9" style="1183" customWidth="1"/>
    <col min="6145" max="6168" width="3.6640625" style="1183" customWidth="1"/>
    <col min="6169" max="6169" width="9" style="1183" customWidth="1"/>
    <col min="6170" max="6170" width="20.21875" style="1183" customWidth="1"/>
    <col min="6171" max="6171" width="19.33203125" style="1183" customWidth="1"/>
    <col min="6172" max="6172" width="20.6640625" style="1183" customWidth="1"/>
    <col min="6173" max="6400" width="9" style="1183" customWidth="1"/>
    <col min="6401" max="6424" width="3.6640625" style="1183" customWidth="1"/>
    <col min="6425" max="6425" width="9" style="1183" customWidth="1"/>
    <col min="6426" max="6426" width="20.21875" style="1183" customWidth="1"/>
    <col min="6427" max="6427" width="19.33203125" style="1183" customWidth="1"/>
    <col min="6428" max="6428" width="20.6640625" style="1183" customWidth="1"/>
    <col min="6429" max="6656" width="9" style="1183" customWidth="1"/>
    <col min="6657" max="6680" width="3.6640625" style="1183" customWidth="1"/>
    <col min="6681" max="6681" width="9" style="1183" customWidth="1"/>
    <col min="6682" max="6682" width="20.21875" style="1183" customWidth="1"/>
    <col min="6683" max="6683" width="19.33203125" style="1183" customWidth="1"/>
    <col min="6684" max="6684" width="20.6640625" style="1183" customWidth="1"/>
    <col min="6685" max="6912" width="9" style="1183" customWidth="1"/>
    <col min="6913" max="6936" width="3.6640625" style="1183" customWidth="1"/>
    <col min="6937" max="6937" width="9" style="1183" customWidth="1"/>
    <col min="6938" max="6938" width="20.21875" style="1183" customWidth="1"/>
    <col min="6939" max="6939" width="19.33203125" style="1183" customWidth="1"/>
    <col min="6940" max="6940" width="20.6640625" style="1183" customWidth="1"/>
    <col min="6941" max="7168" width="9" style="1183" customWidth="1"/>
    <col min="7169" max="7192" width="3.6640625" style="1183" customWidth="1"/>
    <col min="7193" max="7193" width="9" style="1183" customWidth="1"/>
    <col min="7194" max="7194" width="20.21875" style="1183" customWidth="1"/>
    <col min="7195" max="7195" width="19.33203125" style="1183" customWidth="1"/>
    <col min="7196" max="7196" width="20.6640625" style="1183" customWidth="1"/>
    <col min="7197" max="7424" width="9" style="1183" customWidth="1"/>
    <col min="7425" max="7448" width="3.6640625" style="1183" customWidth="1"/>
    <col min="7449" max="7449" width="9" style="1183" customWidth="1"/>
    <col min="7450" max="7450" width="20.21875" style="1183" customWidth="1"/>
    <col min="7451" max="7451" width="19.33203125" style="1183" customWidth="1"/>
    <col min="7452" max="7452" width="20.6640625" style="1183" customWidth="1"/>
    <col min="7453" max="7680" width="9" style="1183" customWidth="1"/>
    <col min="7681" max="7704" width="3.6640625" style="1183" customWidth="1"/>
    <col min="7705" max="7705" width="9" style="1183" customWidth="1"/>
    <col min="7706" max="7706" width="20.21875" style="1183" customWidth="1"/>
    <col min="7707" max="7707" width="19.33203125" style="1183" customWidth="1"/>
    <col min="7708" max="7708" width="20.6640625" style="1183" customWidth="1"/>
    <col min="7709" max="7936" width="9" style="1183" customWidth="1"/>
    <col min="7937" max="7960" width="3.6640625" style="1183" customWidth="1"/>
    <col min="7961" max="7961" width="9" style="1183" customWidth="1"/>
    <col min="7962" max="7962" width="20.21875" style="1183" customWidth="1"/>
    <col min="7963" max="7963" width="19.33203125" style="1183" customWidth="1"/>
    <col min="7964" max="7964" width="20.6640625" style="1183" customWidth="1"/>
    <col min="7965" max="8192" width="9" style="1183" customWidth="1"/>
    <col min="8193" max="8216" width="3.6640625" style="1183" customWidth="1"/>
    <col min="8217" max="8217" width="9" style="1183" customWidth="1"/>
    <col min="8218" max="8218" width="20.21875" style="1183" customWidth="1"/>
    <col min="8219" max="8219" width="19.33203125" style="1183" customWidth="1"/>
    <col min="8220" max="8220" width="20.6640625" style="1183" customWidth="1"/>
    <col min="8221" max="8448" width="9" style="1183" customWidth="1"/>
    <col min="8449" max="8472" width="3.6640625" style="1183" customWidth="1"/>
    <col min="8473" max="8473" width="9" style="1183" customWidth="1"/>
    <col min="8474" max="8474" width="20.21875" style="1183" customWidth="1"/>
    <col min="8475" max="8475" width="19.33203125" style="1183" customWidth="1"/>
    <col min="8476" max="8476" width="20.6640625" style="1183" customWidth="1"/>
    <col min="8477" max="8704" width="9" style="1183" customWidth="1"/>
    <col min="8705" max="8728" width="3.6640625" style="1183" customWidth="1"/>
    <col min="8729" max="8729" width="9" style="1183" customWidth="1"/>
    <col min="8730" max="8730" width="20.21875" style="1183" customWidth="1"/>
    <col min="8731" max="8731" width="19.33203125" style="1183" customWidth="1"/>
    <col min="8732" max="8732" width="20.6640625" style="1183" customWidth="1"/>
    <col min="8733" max="8960" width="9" style="1183" customWidth="1"/>
    <col min="8961" max="8984" width="3.6640625" style="1183" customWidth="1"/>
    <col min="8985" max="8985" width="9" style="1183" customWidth="1"/>
    <col min="8986" max="8986" width="20.21875" style="1183" customWidth="1"/>
    <col min="8987" max="8987" width="19.33203125" style="1183" customWidth="1"/>
    <col min="8988" max="8988" width="20.6640625" style="1183" customWidth="1"/>
    <col min="8989" max="9216" width="9" style="1183" customWidth="1"/>
    <col min="9217" max="9240" width="3.6640625" style="1183" customWidth="1"/>
    <col min="9241" max="9241" width="9" style="1183" customWidth="1"/>
    <col min="9242" max="9242" width="20.21875" style="1183" customWidth="1"/>
    <col min="9243" max="9243" width="19.33203125" style="1183" customWidth="1"/>
    <col min="9244" max="9244" width="20.6640625" style="1183" customWidth="1"/>
    <col min="9245" max="9472" width="9" style="1183" customWidth="1"/>
    <col min="9473" max="9496" width="3.6640625" style="1183" customWidth="1"/>
    <col min="9497" max="9497" width="9" style="1183" customWidth="1"/>
    <col min="9498" max="9498" width="20.21875" style="1183" customWidth="1"/>
    <col min="9499" max="9499" width="19.33203125" style="1183" customWidth="1"/>
    <col min="9500" max="9500" width="20.6640625" style="1183" customWidth="1"/>
    <col min="9501" max="9728" width="9" style="1183" customWidth="1"/>
    <col min="9729" max="9752" width="3.6640625" style="1183" customWidth="1"/>
    <col min="9753" max="9753" width="9" style="1183" customWidth="1"/>
    <col min="9754" max="9754" width="20.21875" style="1183" customWidth="1"/>
    <col min="9755" max="9755" width="19.33203125" style="1183" customWidth="1"/>
    <col min="9756" max="9756" width="20.6640625" style="1183" customWidth="1"/>
    <col min="9757" max="9984" width="9" style="1183" customWidth="1"/>
    <col min="9985" max="10008" width="3.6640625" style="1183" customWidth="1"/>
    <col min="10009" max="10009" width="9" style="1183" customWidth="1"/>
    <col min="10010" max="10010" width="20.21875" style="1183" customWidth="1"/>
    <col min="10011" max="10011" width="19.33203125" style="1183" customWidth="1"/>
    <col min="10012" max="10012" width="20.6640625" style="1183" customWidth="1"/>
    <col min="10013" max="10240" width="9" style="1183" customWidth="1"/>
    <col min="10241" max="10264" width="3.6640625" style="1183" customWidth="1"/>
    <col min="10265" max="10265" width="9" style="1183" customWidth="1"/>
    <col min="10266" max="10266" width="20.21875" style="1183" customWidth="1"/>
    <col min="10267" max="10267" width="19.33203125" style="1183" customWidth="1"/>
    <col min="10268" max="10268" width="20.6640625" style="1183" customWidth="1"/>
    <col min="10269" max="10496" width="9" style="1183" customWidth="1"/>
    <col min="10497" max="10520" width="3.6640625" style="1183" customWidth="1"/>
    <col min="10521" max="10521" width="9" style="1183" customWidth="1"/>
    <col min="10522" max="10522" width="20.21875" style="1183" customWidth="1"/>
    <col min="10523" max="10523" width="19.33203125" style="1183" customWidth="1"/>
    <col min="10524" max="10524" width="20.6640625" style="1183" customWidth="1"/>
    <col min="10525" max="10752" width="9" style="1183" customWidth="1"/>
    <col min="10753" max="10776" width="3.6640625" style="1183" customWidth="1"/>
    <col min="10777" max="10777" width="9" style="1183" customWidth="1"/>
    <col min="10778" max="10778" width="20.21875" style="1183" customWidth="1"/>
    <col min="10779" max="10779" width="19.33203125" style="1183" customWidth="1"/>
    <col min="10780" max="10780" width="20.6640625" style="1183" customWidth="1"/>
    <col min="10781" max="11008" width="9" style="1183" customWidth="1"/>
    <col min="11009" max="11032" width="3.6640625" style="1183" customWidth="1"/>
    <col min="11033" max="11033" width="9" style="1183" customWidth="1"/>
    <col min="11034" max="11034" width="20.21875" style="1183" customWidth="1"/>
    <col min="11035" max="11035" width="19.33203125" style="1183" customWidth="1"/>
    <col min="11036" max="11036" width="20.6640625" style="1183" customWidth="1"/>
    <col min="11037" max="11264" width="9" style="1183" customWidth="1"/>
    <col min="11265" max="11288" width="3.6640625" style="1183" customWidth="1"/>
    <col min="11289" max="11289" width="9" style="1183" customWidth="1"/>
    <col min="11290" max="11290" width="20.21875" style="1183" customWidth="1"/>
    <col min="11291" max="11291" width="19.33203125" style="1183" customWidth="1"/>
    <col min="11292" max="11292" width="20.6640625" style="1183" customWidth="1"/>
    <col min="11293" max="11520" width="9" style="1183" customWidth="1"/>
    <col min="11521" max="11544" width="3.6640625" style="1183" customWidth="1"/>
    <col min="11545" max="11545" width="9" style="1183" customWidth="1"/>
    <col min="11546" max="11546" width="20.21875" style="1183" customWidth="1"/>
    <col min="11547" max="11547" width="19.33203125" style="1183" customWidth="1"/>
    <col min="11548" max="11548" width="20.6640625" style="1183" customWidth="1"/>
    <col min="11549" max="11776" width="9" style="1183" customWidth="1"/>
    <col min="11777" max="11800" width="3.6640625" style="1183" customWidth="1"/>
    <col min="11801" max="11801" width="9" style="1183" customWidth="1"/>
    <col min="11802" max="11802" width="20.21875" style="1183" customWidth="1"/>
    <col min="11803" max="11803" width="19.33203125" style="1183" customWidth="1"/>
    <col min="11804" max="11804" width="20.6640625" style="1183" customWidth="1"/>
    <col min="11805" max="12032" width="9" style="1183" customWidth="1"/>
    <col min="12033" max="12056" width="3.6640625" style="1183" customWidth="1"/>
    <col min="12057" max="12057" width="9" style="1183" customWidth="1"/>
    <col min="12058" max="12058" width="20.21875" style="1183" customWidth="1"/>
    <col min="12059" max="12059" width="19.33203125" style="1183" customWidth="1"/>
    <col min="12060" max="12060" width="20.6640625" style="1183" customWidth="1"/>
    <col min="12061" max="12288" width="9" style="1183" customWidth="1"/>
    <col min="12289" max="12312" width="3.6640625" style="1183" customWidth="1"/>
    <col min="12313" max="12313" width="9" style="1183" customWidth="1"/>
    <col min="12314" max="12314" width="20.21875" style="1183" customWidth="1"/>
    <col min="12315" max="12315" width="19.33203125" style="1183" customWidth="1"/>
    <col min="12316" max="12316" width="20.6640625" style="1183" customWidth="1"/>
    <col min="12317" max="12544" width="9" style="1183" customWidth="1"/>
    <col min="12545" max="12568" width="3.6640625" style="1183" customWidth="1"/>
    <col min="12569" max="12569" width="9" style="1183" customWidth="1"/>
    <col min="12570" max="12570" width="20.21875" style="1183" customWidth="1"/>
    <col min="12571" max="12571" width="19.33203125" style="1183" customWidth="1"/>
    <col min="12572" max="12572" width="20.6640625" style="1183" customWidth="1"/>
    <col min="12573" max="12800" width="9" style="1183" customWidth="1"/>
    <col min="12801" max="12824" width="3.6640625" style="1183" customWidth="1"/>
    <col min="12825" max="12825" width="9" style="1183" customWidth="1"/>
    <col min="12826" max="12826" width="20.21875" style="1183" customWidth="1"/>
    <col min="12827" max="12827" width="19.33203125" style="1183" customWidth="1"/>
    <col min="12828" max="12828" width="20.6640625" style="1183" customWidth="1"/>
    <col min="12829" max="13056" width="9" style="1183" customWidth="1"/>
    <col min="13057" max="13080" width="3.6640625" style="1183" customWidth="1"/>
    <col min="13081" max="13081" width="9" style="1183" customWidth="1"/>
    <col min="13082" max="13082" width="20.21875" style="1183" customWidth="1"/>
    <col min="13083" max="13083" width="19.33203125" style="1183" customWidth="1"/>
    <col min="13084" max="13084" width="20.6640625" style="1183" customWidth="1"/>
    <col min="13085" max="13312" width="9" style="1183" customWidth="1"/>
    <col min="13313" max="13336" width="3.6640625" style="1183" customWidth="1"/>
    <col min="13337" max="13337" width="9" style="1183" customWidth="1"/>
    <col min="13338" max="13338" width="20.21875" style="1183" customWidth="1"/>
    <col min="13339" max="13339" width="19.33203125" style="1183" customWidth="1"/>
    <col min="13340" max="13340" width="20.6640625" style="1183" customWidth="1"/>
    <col min="13341" max="13568" width="9" style="1183" customWidth="1"/>
    <col min="13569" max="13592" width="3.6640625" style="1183" customWidth="1"/>
    <col min="13593" max="13593" width="9" style="1183" customWidth="1"/>
    <col min="13594" max="13594" width="20.21875" style="1183" customWidth="1"/>
    <col min="13595" max="13595" width="19.33203125" style="1183" customWidth="1"/>
    <col min="13596" max="13596" width="20.6640625" style="1183" customWidth="1"/>
    <col min="13597" max="13824" width="9" style="1183" customWidth="1"/>
    <col min="13825" max="13848" width="3.6640625" style="1183" customWidth="1"/>
    <col min="13849" max="13849" width="9" style="1183" customWidth="1"/>
    <col min="13850" max="13850" width="20.21875" style="1183" customWidth="1"/>
    <col min="13851" max="13851" width="19.33203125" style="1183" customWidth="1"/>
    <col min="13852" max="13852" width="20.6640625" style="1183" customWidth="1"/>
    <col min="13853" max="14080" width="9" style="1183" customWidth="1"/>
    <col min="14081" max="14104" width="3.6640625" style="1183" customWidth="1"/>
    <col min="14105" max="14105" width="9" style="1183" customWidth="1"/>
    <col min="14106" max="14106" width="20.21875" style="1183" customWidth="1"/>
    <col min="14107" max="14107" width="19.33203125" style="1183" customWidth="1"/>
    <col min="14108" max="14108" width="20.6640625" style="1183" customWidth="1"/>
    <col min="14109" max="14336" width="9" style="1183" customWidth="1"/>
    <col min="14337" max="14360" width="3.6640625" style="1183" customWidth="1"/>
    <col min="14361" max="14361" width="9" style="1183" customWidth="1"/>
    <col min="14362" max="14362" width="20.21875" style="1183" customWidth="1"/>
    <col min="14363" max="14363" width="19.33203125" style="1183" customWidth="1"/>
    <col min="14364" max="14364" width="20.6640625" style="1183" customWidth="1"/>
    <col min="14365" max="14592" width="9" style="1183" customWidth="1"/>
    <col min="14593" max="14616" width="3.6640625" style="1183" customWidth="1"/>
    <col min="14617" max="14617" width="9" style="1183" customWidth="1"/>
    <col min="14618" max="14618" width="20.21875" style="1183" customWidth="1"/>
    <col min="14619" max="14619" width="19.33203125" style="1183" customWidth="1"/>
    <col min="14620" max="14620" width="20.6640625" style="1183" customWidth="1"/>
    <col min="14621" max="14848" width="9" style="1183" customWidth="1"/>
    <col min="14849" max="14872" width="3.6640625" style="1183" customWidth="1"/>
    <col min="14873" max="14873" width="9" style="1183" customWidth="1"/>
    <col min="14874" max="14874" width="20.21875" style="1183" customWidth="1"/>
    <col min="14875" max="14875" width="19.33203125" style="1183" customWidth="1"/>
    <col min="14876" max="14876" width="20.6640625" style="1183" customWidth="1"/>
    <col min="14877" max="15104" width="9" style="1183" customWidth="1"/>
    <col min="15105" max="15128" width="3.6640625" style="1183" customWidth="1"/>
    <col min="15129" max="15129" width="9" style="1183" customWidth="1"/>
    <col min="15130" max="15130" width="20.21875" style="1183" customWidth="1"/>
    <col min="15131" max="15131" width="19.33203125" style="1183" customWidth="1"/>
    <col min="15132" max="15132" width="20.6640625" style="1183" customWidth="1"/>
    <col min="15133" max="15360" width="9" style="1183" customWidth="1"/>
    <col min="15361" max="15384" width="3.6640625" style="1183" customWidth="1"/>
    <col min="15385" max="15385" width="9" style="1183" customWidth="1"/>
    <col min="15386" max="15386" width="20.21875" style="1183" customWidth="1"/>
    <col min="15387" max="15387" width="19.33203125" style="1183" customWidth="1"/>
    <col min="15388" max="15388" width="20.6640625" style="1183" customWidth="1"/>
    <col min="15389" max="15616" width="9" style="1183" customWidth="1"/>
    <col min="15617" max="15640" width="3.6640625" style="1183" customWidth="1"/>
    <col min="15641" max="15641" width="9" style="1183" customWidth="1"/>
    <col min="15642" max="15642" width="20.21875" style="1183" customWidth="1"/>
    <col min="15643" max="15643" width="19.33203125" style="1183" customWidth="1"/>
    <col min="15644" max="15644" width="20.6640625" style="1183" customWidth="1"/>
    <col min="15645" max="15872" width="9" style="1183" customWidth="1"/>
    <col min="15873" max="15896" width="3.6640625" style="1183" customWidth="1"/>
    <col min="15897" max="15897" width="9" style="1183" customWidth="1"/>
    <col min="15898" max="15898" width="20.21875" style="1183" customWidth="1"/>
    <col min="15899" max="15899" width="19.33203125" style="1183" customWidth="1"/>
    <col min="15900" max="15900" width="20.6640625" style="1183" customWidth="1"/>
    <col min="15901" max="16128" width="9" style="1183" customWidth="1"/>
    <col min="16129" max="16152" width="3.6640625" style="1183" customWidth="1"/>
    <col min="16153" max="16153" width="9" style="1183" customWidth="1"/>
    <col min="16154" max="16154" width="20.21875" style="1183" customWidth="1"/>
    <col min="16155" max="16155" width="19.33203125" style="1183" customWidth="1"/>
    <col min="16156" max="16156" width="20.6640625" style="1183" customWidth="1"/>
    <col min="16157" max="16384" width="9" style="1183" customWidth="1"/>
  </cols>
  <sheetData>
    <row r="1" spans="1:45" s="1131" customFormat="1" ht="15" customHeight="1">
      <c r="A1" s="1378" t="s">
        <v>16</v>
      </c>
      <c r="B1" s="1378"/>
      <c r="C1" s="1378"/>
      <c r="D1" s="1378"/>
      <c r="E1" s="1378"/>
      <c r="F1" s="1378"/>
      <c r="G1" s="1378"/>
      <c r="H1" s="1378"/>
      <c r="I1" s="1378"/>
      <c r="J1" s="1378"/>
      <c r="K1" s="1378"/>
      <c r="L1" s="1378"/>
      <c r="M1" s="1378"/>
      <c r="N1" s="1378"/>
      <c r="O1" s="1378"/>
      <c r="P1" s="1378"/>
      <c r="Q1" s="1378"/>
      <c r="R1" s="1378"/>
      <c r="S1" s="1378"/>
      <c r="T1" s="1378"/>
      <c r="U1" s="1378"/>
      <c r="V1" s="1378"/>
      <c r="W1" s="1378"/>
      <c r="X1" s="1378"/>
    </row>
    <row r="2" spans="1:45" s="1131" customFormat="1" ht="15" customHeight="1">
      <c r="A2" s="1131" t="s">
        <v>3812</v>
      </c>
    </row>
    <row r="3" spans="1:45" s="1131" customFormat="1" ht="20.100000000000001" customHeight="1">
      <c r="A3" s="1132" t="s">
        <v>3813</v>
      </c>
      <c r="B3" s="1133"/>
      <c r="C3" s="1133"/>
      <c r="D3" s="1133"/>
      <c r="E3" s="1379" t="str">
        <f>cst_wskakunin_BUILD__address</f>
        <v>東京都港区虎ノ門１－１－１</v>
      </c>
      <c r="F3" s="1380"/>
      <c r="G3" s="1380"/>
      <c r="H3" s="1380"/>
      <c r="I3" s="1380"/>
      <c r="J3" s="1380"/>
      <c r="K3" s="1380"/>
      <c r="L3" s="1380"/>
      <c r="M3" s="1380"/>
      <c r="N3" s="1380"/>
      <c r="O3" s="1380"/>
      <c r="P3" s="1380"/>
      <c r="Q3" s="1380"/>
      <c r="R3" s="1380"/>
      <c r="S3" s="1380"/>
      <c r="T3" s="1380"/>
      <c r="U3" s="1380"/>
      <c r="V3" s="1380"/>
      <c r="W3" s="1380"/>
      <c r="X3" s="1380"/>
    </row>
    <row r="4" spans="1:45" s="1131" customFormat="1" ht="20.100000000000001" customHeight="1">
      <c r="A4" s="1132" t="s">
        <v>3814</v>
      </c>
      <c r="B4" s="1133"/>
      <c r="C4" s="1133"/>
      <c r="D4" s="1133"/>
      <c r="E4" s="1379" t="str">
        <f>cst_wskakunin_BUILD_JYUKYO__address</f>
        <v/>
      </c>
      <c r="F4" s="1380"/>
      <c r="G4" s="1380"/>
      <c r="H4" s="1380"/>
      <c r="I4" s="1380"/>
      <c r="J4" s="1380"/>
      <c r="K4" s="1380"/>
      <c r="L4" s="1380"/>
      <c r="M4" s="1380"/>
      <c r="N4" s="1380"/>
      <c r="O4" s="1380"/>
      <c r="P4" s="1380"/>
      <c r="Q4" s="1380"/>
      <c r="R4" s="1380"/>
      <c r="S4" s="1380"/>
      <c r="T4" s="1380"/>
      <c r="U4" s="1380"/>
      <c r="V4" s="1380"/>
      <c r="W4" s="1380"/>
      <c r="X4" s="1380"/>
    </row>
    <row r="5" spans="1:45" s="1131" customFormat="1" ht="15" customHeight="1">
      <c r="A5" s="1134" t="s">
        <v>3815</v>
      </c>
    </row>
    <row r="6" spans="1:45" s="1131" customFormat="1" ht="15" customHeight="1">
      <c r="B6" s="1135" t="str">
        <f>cst_wskakunin_KUIKI_TOSI</f>
        <v>□</v>
      </c>
      <c r="C6" s="1136" t="s">
        <v>366</v>
      </c>
      <c r="G6" s="1137" t="s">
        <v>2</v>
      </c>
      <c r="H6" s="1135" t="str">
        <f>cst_wskakunin_KUIKI_SIGAIKA</f>
        <v>□</v>
      </c>
      <c r="I6" s="1134" t="s">
        <v>370</v>
      </c>
      <c r="L6" s="1135" t="str">
        <f>cst_wskakunin_KUIKI_TYOSEI</f>
        <v>□</v>
      </c>
      <c r="M6" s="1134" t="s">
        <v>371</v>
      </c>
      <c r="Q6" s="1135" t="str">
        <f>cst_wskakunin_KUIKI_HISETTEI</f>
        <v>□</v>
      </c>
      <c r="R6" s="1134" t="s">
        <v>372</v>
      </c>
      <c r="W6" s="1131" t="s">
        <v>3</v>
      </c>
    </row>
    <row r="7" spans="1:45" s="1131" customFormat="1" ht="15" customHeight="1">
      <c r="B7" s="1135" t="str">
        <f>cst_wskakunin_KUIKI_JYUN_TOSHI</f>
        <v>□</v>
      </c>
      <c r="C7" s="1134" t="s">
        <v>3816</v>
      </c>
      <c r="H7" s="1135" t="str">
        <f>cst_wskakunin_KUIKI_KUIKIGAI</f>
        <v>□</v>
      </c>
      <c r="I7" s="1134" t="s">
        <v>3817</v>
      </c>
    </row>
    <row r="8" spans="1:45" s="1131" customFormat="1" ht="20.100000000000001" customHeight="1">
      <c r="A8" s="1132" t="s">
        <v>3818</v>
      </c>
      <c r="B8" s="1133"/>
      <c r="C8" s="1133"/>
      <c r="D8" s="1133"/>
      <c r="E8" s="1138" t="str">
        <f>cst_wskakunin_BOUKA_BOUKA</f>
        <v>□</v>
      </c>
      <c r="F8" s="1132" t="s">
        <v>373</v>
      </c>
      <c r="G8" s="1133"/>
      <c r="H8" s="1133"/>
      <c r="I8" s="1138" t="str">
        <f>cst_wskakunin_BOUKA_JYUN_BOUKA</f>
        <v>□</v>
      </c>
      <c r="J8" s="1132" t="s">
        <v>374</v>
      </c>
      <c r="K8" s="1133"/>
      <c r="L8" s="1133"/>
      <c r="M8" s="1133"/>
      <c r="N8" s="1138" t="str">
        <f>cst_wskakunin_BOUKA_NASI</f>
        <v>□</v>
      </c>
      <c r="O8" s="1132" t="s">
        <v>134</v>
      </c>
      <c r="P8" s="1133"/>
      <c r="Q8" s="1139"/>
      <c r="R8" s="1133"/>
      <c r="S8" s="1133"/>
      <c r="T8" s="1133"/>
      <c r="U8" s="1140"/>
      <c r="V8" s="1133"/>
      <c r="W8" s="1133"/>
      <c r="X8" s="1133"/>
    </row>
    <row r="9" spans="1:45" s="1131" customFormat="1" ht="15" customHeight="1">
      <c r="A9" s="1134" t="s">
        <v>3819</v>
      </c>
      <c r="L9" s="1141"/>
      <c r="R9" s="1141"/>
      <c r="V9" s="1381"/>
      <c r="W9" s="1381"/>
    </row>
    <row r="10" spans="1:45" s="1131" customFormat="1" ht="15" customHeight="1">
      <c r="B10" s="1356" t="str">
        <f>cst_wskakunin_wskakunin_SONOTA_KUIKI</f>
        <v/>
      </c>
      <c r="C10" s="1356"/>
      <c r="D10" s="1356"/>
      <c r="E10" s="1356"/>
      <c r="F10" s="1356"/>
      <c r="G10" s="1356"/>
      <c r="H10" s="1356"/>
      <c r="I10" s="1356"/>
      <c r="J10" s="1356"/>
      <c r="K10" s="1356"/>
      <c r="L10" s="1356"/>
      <c r="M10" s="1356"/>
      <c r="N10" s="1356"/>
      <c r="O10" s="1356"/>
      <c r="P10" s="1356"/>
      <c r="Q10" s="1356"/>
      <c r="R10" s="1356"/>
      <c r="S10" s="1356"/>
      <c r="T10" s="1356"/>
      <c r="U10" s="1356"/>
      <c r="V10" s="1356"/>
      <c r="W10" s="1356"/>
      <c r="X10" s="1356"/>
      <c r="Z10" s="1142"/>
      <c r="AA10" s="1142"/>
      <c r="AB10" s="1142"/>
      <c r="AC10" s="1142"/>
      <c r="AD10" s="1142"/>
      <c r="AE10" s="1142"/>
      <c r="AF10" s="1142"/>
      <c r="AG10" s="1142"/>
      <c r="AH10" s="1142"/>
      <c r="AI10" s="1142"/>
      <c r="AJ10" s="1142"/>
      <c r="AK10" s="1142"/>
      <c r="AL10" s="1142"/>
      <c r="AM10" s="1142"/>
      <c r="AN10" s="1142"/>
      <c r="AO10" s="1142"/>
      <c r="AP10" s="1142"/>
      <c r="AQ10" s="1142"/>
      <c r="AR10" s="1142"/>
      <c r="AS10" s="1142"/>
    </row>
    <row r="11" spans="1:45" s="1131" customFormat="1" ht="15" customHeight="1">
      <c r="B11" s="1356"/>
      <c r="C11" s="1356"/>
      <c r="D11" s="1356"/>
      <c r="E11" s="1356"/>
      <c r="F11" s="1356"/>
      <c r="G11" s="1356"/>
      <c r="H11" s="1356"/>
      <c r="I11" s="1356"/>
      <c r="J11" s="1356"/>
      <c r="K11" s="1356"/>
      <c r="L11" s="1356"/>
      <c r="M11" s="1356"/>
      <c r="N11" s="1356"/>
      <c r="O11" s="1356"/>
      <c r="P11" s="1356"/>
      <c r="Q11" s="1356"/>
      <c r="R11" s="1356"/>
      <c r="S11" s="1356"/>
      <c r="T11" s="1356"/>
      <c r="U11" s="1356"/>
      <c r="V11" s="1356"/>
      <c r="W11" s="1356"/>
      <c r="X11" s="1356"/>
    </row>
    <row r="12" spans="1:45" s="1131" customFormat="1" ht="15" customHeight="1">
      <c r="B12" s="1356"/>
      <c r="C12" s="1356"/>
      <c r="D12" s="1356"/>
      <c r="E12" s="1356"/>
      <c r="F12" s="1356"/>
      <c r="G12" s="1356"/>
      <c r="H12" s="1356"/>
      <c r="I12" s="1356"/>
      <c r="J12" s="1356"/>
      <c r="K12" s="1356"/>
      <c r="L12" s="1356"/>
      <c r="M12" s="1356"/>
      <c r="N12" s="1356"/>
      <c r="O12" s="1356"/>
      <c r="P12" s="1356"/>
      <c r="Q12" s="1356"/>
      <c r="R12" s="1356"/>
      <c r="S12" s="1356"/>
      <c r="T12" s="1356"/>
      <c r="U12" s="1356"/>
      <c r="V12" s="1356"/>
      <c r="W12" s="1356"/>
      <c r="X12" s="1356"/>
    </row>
    <row r="13" spans="1:45" s="1131" customFormat="1" ht="15" customHeight="1">
      <c r="B13" s="1382"/>
      <c r="C13" s="1382"/>
      <c r="D13" s="1382"/>
      <c r="E13" s="1382"/>
      <c r="F13" s="1382"/>
      <c r="G13" s="1382"/>
      <c r="H13" s="1382"/>
      <c r="I13" s="1382"/>
      <c r="J13" s="1382"/>
      <c r="K13" s="1382"/>
      <c r="L13" s="1382"/>
      <c r="M13" s="1382"/>
      <c r="N13" s="1382"/>
      <c r="O13" s="1382"/>
      <c r="P13" s="1382"/>
      <c r="Q13" s="1382"/>
      <c r="R13" s="1382"/>
      <c r="S13" s="1382"/>
      <c r="T13" s="1382"/>
      <c r="U13" s="1382"/>
      <c r="V13" s="1382"/>
      <c r="W13" s="1382"/>
      <c r="X13" s="1382"/>
    </row>
    <row r="14" spans="1:45" s="1131" customFormat="1" ht="15" customHeight="1">
      <c r="A14" s="1143" t="s">
        <v>3820</v>
      </c>
      <c r="B14" s="1144"/>
      <c r="C14" s="1144"/>
      <c r="D14" s="1144"/>
      <c r="E14" s="1144"/>
      <c r="F14" s="1144"/>
      <c r="G14" s="1144"/>
      <c r="H14" s="1144"/>
      <c r="I14" s="1144"/>
      <c r="J14" s="1144"/>
      <c r="K14" s="1144"/>
      <c r="L14" s="1144"/>
      <c r="M14" s="1144"/>
      <c r="N14" s="1144"/>
      <c r="O14" s="1144"/>
      <c r="P14" s="1144"/>
      <c r="Q14" s="1144"/>
      <c r="R14" s="1144"/>
      <c r="S14" s="1144"/>
      <c r="T14" s="1144"/>
      <c r="U14" s="1144"/>
      <c r="V14" s="1144"/>
      <c r="W14" s="1144"/>
      <c r="X14" s="1144"/>
    </row>
    <row r="15" spans="1:45" s="1131" customFormat="1" ht="15" customHeight="1">
      <c r="B15" s="1134" t="s">
        <v>3821</v>
      </c>
      <c r="L15" s="1383" t="str">
        <f>cst_wskakunin_DOURO_FUKUIN</f>
        <v/>
      </c>
      <c r="M15" s="1383"/>
      <c r="N15" s="1383"/>
      <c r="O15" s="1131" t="s">
        <v>3822</v>
      </c>
    </row>
    <row r="16" spans="1:45" s="1131" customFormat="1" ht="15" customHeight="1">
      <c r="A16" s="1145"/>
      <c r="B16" s="1146" t="s">
        <v>3823</v>
      </c>
      <c r="C16" s="1145"/>
      <c r="D16" s="1145"/>
      <c r="E16" s="1145"/>
      <c r="F16" s="1145"/>
      <c r="G16" s="1145"/>
      <c r="H16" s="1145"/>
      <c r="I16" s="1145"/>
      <c r="J16" s="1145"/>
      <c r="K16" s="1145"/>
      <c r="L16" s="1376" t="str">
        <f>cst_wskakunin_DOURO_NAGASA</f>
        <v/>
      </c>
      <c r="M16" s="1376"/>
      <c r="N16" s="1376"/>
      <c r="O16" s="1145" t="s">
        <v>3822</v>
      </c>
      <c r="P16" s="1145"/>
      <c r="Q16" s="1145"/>
      <c r="R16" s="1145"/>
      <c r="S16" s="1145"/>
      <c r="T16" s="1145"/>
      <c r="U16" s="1145"/>
      <c r="V16" s="1145"/>
      <c r="W16" s="1145"/>
      <c r="X16" s="1145"/>
    </row>
    <row r="17" spans="1:25" s="1131" customFormat="1" ht="15" customHeight="1">
      <c r="A17" s="1143" t="s">
        <v>3824</v>
      </c>
      <c r="B17" s="1144"/>
      <c r="C17" s="1144"/>
      <c r="D17" s="1144"/>
      <c r="E17" s="1144"/>
      <c r="F17" s="1144"/>
      <c r="G17" s="1144"/>
      <c r="H17" s="1144"/>
      <c r="I17" s="1144"/>
      <c r="J17" s="1144"/>
      <c r="K17" s="1144"/>
      <c r="L17" s="1144"/>
      <c r="M17" s="1144"/>
      <c r="N17" s="1144"/>
      <c r="O17" s="1144"/>
      <c r="P17" s="1144"/>
      <c r="Q17" s="1144"/>
      <c r="R17" s="1144"/>
      <c r="S17" s="1144"/>
      <c r="T17" s="1144"/>
      <c r="U17" s="1144"/>
      <c r="V17" s="1144"/>
      <c r="W17" s="1144"/>
      <c r="X17" s="1144"/>
    </row>
    <row r="18" spans="1:25" s="1131" customFormat="1" ht="15" customHeight="1">
      <c r="B18" s="1134" t="s">
        <v>3825</v>
      </c>
      <c r="G18" s="1374" t="str">
        <f>cst_wskakunin_SHIKITI_MENSEKI_1A</f>
        <v/>
      </c>
      <c r="H18" s="1374"/>
      <c r="I18" s="1374"/>
      <c r="J18" s="1374"/>
      <c r="K18" s="1373" t="s">
        <v>3826</v>
      </c>
      <c r="L18" s="1373"/>
      <c r="M18" s="1377" t="str">
        <f>cst_wskakunin_SHIKITI_MENSEKI_1B</f>
        <v/>
      </c>
      <c r="N18" s="1377"/>
      <c r="O18" s="1377"/>
      <c r="P18" s="1377"/>
      <c r="Q18" s="1373" t="s">
        <v>3826</v>
      </c>
      <c r="R18" s="1373"/>
      <c r="S18" s="1377" t="str">
        <f>cst_wskakunin_SHIKITI_MENSEKI_1C</f>
        <v/>
      </c>
      <c r="T18" s="1377"/>
      <c r="U18" s="1377"/>
      <c r="V18" s="1377"/>
      <c r="W18" s="1136" t="s">
        <v>3827</v>
      </c>
      <c r="X18" s="1130"/>
    </row>
    <row r="19" spans="1:25" s="1131" customFormat="1" ht="15" customHeight="1">
      <c r="B19" s="1134" t="s">
        <v>3828</v>
      </c>
      <c r="G19" s="1374" t="str">
        <f>cst_wskakunin_SHIKITI_MENSEKI_2A</f>
        <v/>
      </c>
      <c r="H19" s="1374"/>
      <c r="I19" s="1374"/>
      <c r="J19" s="1374"/>
      <c r="K19" s="1373" t="s">
        <v>3826</v>
      </c>
      <c r="L19" s="1373"/>
      <c r="M19" s="1374" t="str">
        <f>cst_wskakunin_SHIKITI_MENSEKI_2B</f>
        <v/>
      </c>
      <c r="N19" s="1374"/>
      <c r="O19" s="1374"/>
      <c r="P19" s="1374"/>
      <c r="Q19" s="1373" t="s">
        <v>3826</v>
      </c>
      <c r="R19" s="1373"/>
      <c r="S19" s="1374" t="str">
        <f>cst_wskakunin_SHIKITI_MENSEKI_2C</f>
        <v/>
      </c>
      <c r="T19" s="1374"/>
      <c r="U19" s="1374"/>
      <c r="V19" s="1374"/>
      <c r="W19" s="1136" t="s">
        <v>3827</v>
      </c>
    </row>
    <row r="20" spans="1:25" s="1131" customFormat="1" ht="15" customHeight="1">
      <c r="B20" s="1134" t="s">
        <v>3829</v>
      </c>
      <c r="F20" s="1141"/>
      <c r="G20" s="1351" t="str">
        <f>cst_wskakunin_YOUTO_TIIKI_A</f>
        <v/>
      </c>
      <c r="H20" s="1351"/>
      <c r="I20" s="1351"/>
      <c r="J20" s="1351"/>
      <c r="K20" s="1375" t="s">
        <v>3830</v>
      </c>
      <c r="L20" s="1375"/>
      <c r="M20" s="1351" t="str">
        <f>cst_wskakunin_YOUTO_TIIKI_B</f>
        <v/>
      </c>
      <c r="N20" s="1351"/>
      <c r="O20" s="1351"/>
      <c r="P20" s="1351"/>
      <c r="Q20" s="1375" t="s">
        <v>3830</v>
      </c>
      <c r="R20" s="1375"/>
      <c r="S20" s="1351" t="str">
        <f>cst_wskakunin_YOUTO_TIIKI_C</f>
        <v/>
      </c>
      <c r="T20" s="1351"/>
      <c r="U20" s="1351"/>
      <c r="V20" s="1351"/>
      <c r="W20" s="1136" t="s">
        <v>3831</v>
      </c>
    </row>
    <row r="21" spans="1:25" s="1131" customFormat="1" ht="15" customHeight="1">
      <c r="B21" s="1134" t="s">
        <v>3832</v>
      </c>
      <c r="K21" s="1134"/>
      <c r="L21" s="1134"/>
      <c r="Q21" s="1134"/>
      <c r="R21" s="1134"/>
      <c r="W21" s="1134"/>
      <c r="X21" s="1147"/>
    </row>
    <row r="22" spans="1:25" s="1131" customFormat="1" ht="15" customHeight="1">
      <c r="B22" s="1131" t="s">
        <v>3833</v>
      </c>
      <c r="F22" s="1141"/>
      <c r="G22" s="1371" t="str">
        <f>cst_wskakunin_YOUSEKI_RITU_A</f>
        <v/>
      </c>
      <c r="H22" s="1371"/>
      <c r="I22" s="1371"/>
      <c r="J22" s="1371"/>
      <c r="K22" s="1373" t="s">
        <v>3834</v>
      </c>
      <c r="L22" s="1373"/>
      <c r="M22" s="1371" t="str">
        <f>cst_wskakunin_YOUSEKI_RITU_B</f>
        <v/>
      </c>
      <c r="N22" s="1371"/>
      <c r="O22" s="1371"/>
      <c r="P22" s="1371"/>
      <c r="Q22" s="1373" t="s">
        <v>3834</v>
      </c>
      <c r="R22" s="1373"/>
      <c r="S22" s="1371" t="str">
        <f>cst_wskakunin_YOUSEKI_RITU_C</f>
        <v/>
      </c>
      <c r="T22" s="1371"/>
      <c r="U22" s="1371"/>
      <c r="V22" s="1371"/>
      <c r="W22" s="1136" t="s">
        <v>3835</v>
      </c>
      <c r="Y22" s="1130"/>
    </row>
    <row r="23" spans="1:25" s="1131" customFormat="1" ht="15" customHeight="1">
      <c r="B23" s="1134" t="s">
        <v>3836</v>
      </c>
      <c r="K23" s="1134"/>
      <c r="L23" s="1134"/>
      <c r="Q23" s="1134"/>
      <c r="R23" s="1134"/>
      <c r="W23" s="1134"/>
    </row>
    <row r="24" spans="1:25" s="1131" customFormat="1" ht="15" customHeight="1">
      <c r="B24" s="1131" t="s">
        <v>3833</v>
      </c>
      <c r="E24" s="1130"/>
      <c r="F24" s="1141"/>
      <c r="G24" s="1371" t="str">
        <f>cst_wskakunin_KENPEI_RITU_A</f>
        <v/>
      </c>
      <c r="H24" s="1371"/>
      <c r="I24" s="1371"/>
      <c r="J24" s="1371"/>
      <c r="K24" s="1373" t="s">
        <v>3834</v>
      </c>
      <c r="L24" s="1373"/>
      <c r="M24" s="1371" t="str">
        <f>cst_wskakunin_KENPEI_RITU_B</f>
        <v/>
      </c>
      <c r="N24" s="1371"/>
      <c r="O24" s="1371"/>
      <c r="P24" s="1371"/>
      <c r="Q24" s="1373" t="s">
        <v>3834</v>
      </c>
      <c r="R24" s="1373"/>
      <c r="S24" s="1371" t="str">
        <f>cst_wskakunin_KENPEI_RITU_C</f>
        <v/>
      </c>
      <c r="T24" s="1371"/>
      <c r="U24" s="1371"/>
      <c r="V24" s="1371"/>
      <c r="W24" s="1136" t="s">
        <v>3835</v>
      </c>
    </row>
    <row r="25" spans="1:25" s="1131" customFormat="1" ht="15" customHeight="1">
      <c r="B25" s="1134" t="s">
        <v>3837</v>
      </c>
      <c r="G25" s="1131" t="s">
        <v>3838</v>
      </c>
      <c r="H25" s="1370" t="str">
        <f>cst_wskakunin_SHIKITI_MENSEKI_1_TOTAL</f>
        <v/>
      </c>
      <c r="I25" s="1370"/>
      <c r="J25" s="1370"/>
      <c r="K25" s="1131" t="s">
        <v>24</v>
      </c>
    </row>
    <row r="26" spans="1:25" s="1131" customFormat="1" ht="15" customHeight="1">
      <c r="G26" s="1131" t="s">
        <v>3839</v>
      </c>
      <c r="H26" s="1370" t="str">
        <f>cst_wskakunin_SHIKITI_MENSEKI_2_TOTAL</f>
        <v/>
      </c>
      <c r="I26" s="1370"/>
      <c r="J26" s="1370"/>
      <c r="K26" s="1131" t="s">
        <v>24</v>
      </c>
    </row>
    <row r="27" spans="1:25" s="1131" customFormat="1" ht="15" customHeight="1">
      <c r="B27" s="1134" t="s">
        <v>3840</v>
      </c>
      <c r="P27" s="1371" t="str">
        <f>cst_wskakunin_LIMIT_YOUSEKI_RITU</f>
        <v/>
      </c>
      <c r="Q27" s="1371"/>
      <c r="R27" s="1371"/>
      <c r="S27" s="1131" t="s">
        <v>3841</v>
      </c>
    </row>
    <row r="28" spans="1:25" s="1131" customFormat="1" ht="15" customHeight="1">
      <c r="B28" s="1134" t="s">
        <v>3842</v>
      </c>
      <c r="P28" s="1371" t="str">
        <f>cst_wskakunin_LIMIT_KENPEI_RITU</f>
        <v/>
      </c>
      <c r="Q28" s="1371"/>
      <c r="R28" s="1371"/>
      <c r="S28" s="1131" t="s">
        <v>3841</v>
      </c>
    </row>
    <row r="29" spans="1:25" s="1131" customFormat="1" ht="15" customHeight="1">
      <c r="A29" s="1145"/>
      <c r="B29" s="1146" t="s">
        <v>3843</v>
      </c>
      <c r="C29" s="1145"/>
      <c r="D29" s="1145"/>
      <c r="E29" s="1372" t="str">
        <f>cst_wskakunin_SHIKITI_MENSEKI_BIKOU</f>
        <v/>
      </c>
      <c r="F29" s="1372"/>
      <c r="G29" s="1372"/>
      <c r="H29" s="1372"/>
      <c r="I29" s="1372"/>
      <c r="J29" s="1372"/>
      <c r="K29" s="1372"/>
      <c r="L29" s="1372"/>
      <c r="M29" s="1372"/>
      <c r="N29" s="1372"/>
      <c r="O29" s="1372"/>
      <c r="P29" s="1372"/>
      <c r="Q29" s="1372"/>
      <c r="R29" s="1372"/>
      <c r="S29" s="1372"/>
      <c r="T29" s="1372"/>
      <c r="U29" s="1372"/>
      <c r="V29" s="1372"/>
      <c r="W29" s="1372"/>
      <c r="X29" s="1372"/>
    </row>
    <row r="30" spans="1:25" s="1131" customFormat="1" ht="15" customHeight="1">
      <c r="A30" s="1134" t="s">
        <v>3844</v>
      </c>
      <c r="E30" s="1134" t="s">
        <v>3845</v>
      </c>
      <c r="G30" s="1358" t="str">
        <f>cst_wskakunin_YOUTO_CODE</f>
        <v/>
      </c>
      <c r="H30" s="1358"/>
      <c r="I30" s="1131" t="s">
        <v>3</v>
      </c>
      <c r="J30" s="1359" t="str">
        <f>cst_wskakunin_YOUTO</f>
        <v/>
      </c>
      <c r="K30" s="1359"/>
      <c r="L30" s="1359"/>
      <c r="M30" s="1359"/>
      <c r="N30" s="1359"/>
      <c r="O30" s="1359"/>
      <c r="P30" s="1359"/>
      <c r="Q30" s="1359"/>
      <c r="R30" s="1359"/>
      <c r="S30" s="1359"/>
      <c r="T30" s="1359"/>
      <c r="U30" s="1359"/>
      <c r="V30" s="1359"/>
      <c r="X30" s="1131" t="str">
        <f>IF(OR(J30="共同住宅",J30="長屋"),"戸","")</f>
        <v/>
      </c>
      <c r="Y30" s="1149"/>
    </row>
    <row r="31" spans="1:25" s="1131" customFormat="1" ht="15" customHeight="1">
      <c r="A31" s="1145"/>
      <c r="B31" s="1145"/>
      <c r="C31" s="1145"/>
      <c r="D31" s="1145"/>
      <c r="E31" s="1145"/>
      <c r="F31" s="1145"/>
      <c r="G31" s="1150"/>
      <c r="H31" s="1150"/>
      <c r="I31" s="1145"/>
      <c r="J31" s="1367"/>
      <c r="K31" s="1367"/>
      <c r="L31" s="1367"/>
      <c r="M31" s="1367"/>
      <c r="N31" s="1367"/>
      <c r="O31" s="1367"/>
      <c r="P31" s="1367"/>
      <c r="Q31" s="1367"/>
      <c r="R31" s="1367"/>
      <c r="S31" s="1367"/>
      <c r="T31" s="1367"/>
      <c r="U31" s="1367"/>
      <c r="V31" s="1367"/>
      <c r="W31" s="1145"/>
      <c r="X31" s="1145"/>
      <c r="Y31" s="1149"/>
    </row>
    <row r="32" spans="1:25" s="1131" customFormat="1" ht="15" customHeight="1">
      <c r="A32" s="1136" t="s">
        <v>3846</v>
      </c>
      <c r="B32" s="1147"/>
      <c r="C32" s="1147"/>
      <c r="D32" s="1147"/>
      <c r="E32" s="1135" t="str">
        <f>cst_wskakunin_KOUJI_SINTIKU_box</f>
        <v>■</v>
      </c>
      <c r="F32" s="1134" t="s">
        <v>376</v>
      </c>
      <c r="G32" s="1147"/>
      <c r="H32" s="1135" t="str">
        <f>cst_wskakunin_KOUJI_ZOUTIKU_box</f>
        <v>□</v>
      </c>
      <c r="I32" s="1134" t="s">
        <v>377</v>
      </c>
      <c r="K32" s="1135" t="str">
        <f>cst_wskakunin_KOUJI_KAITIKU_box</f>
        <v>□</v>
      </c>
      <c r="L32" s="1134" t="s">
        <v>378</v>
      </c>
      <c r="N32" s="1135" t="str">
        <f>cst_wskakunin_KOUJI_ITEN_box</f>
        <v>□</v>
      </c>
      <c r="O32" s="1134" t="s">
        <v>379</v>
      </c>
      <c r="Q32" s="1135" t="str">
        <f>cst_wskakunin_KOUJI_YOUTOHENKOU_box</f>
        <v>□</v>
      </c>
      <c r="R32" s="1134" t="s">
        <v>519</v>
      </c>
    </row>
    <row r="33" spans="1:24" s="1131" customFormat="1" ht="15" customHeight="1">
      <c r="E33" s="1135" t="str">
        <f>cst_wskakunin_KOUJI_DAI_SYUUZEN_box</f>
        <v>□</v>
      </c>
      <c r="F33" s="1134" t="s">
        <v>1057</v>
      </c>
      <c r="K33" s="1135" t="str">
        <f>cst_wskakunin_KOUJI_DAI_MOYOUGAE_box</f>
        <v>□</v>
      </c>
      <c r="L33" s="1134" t="s">
        <v>1059</v>
      </c>
    </row>
    <row r="34" spans="1:24" s="1131" customFormat="1" ht="15" customHeight="1">
      <c r="A34" s="1143" t="s">
        <v>3847</v>
      </c>
      <c r="B34" s="1144"/>
      <c r="C34" s="1144"/>
      <c r="D34" s="1144"/>
      <c r="E34" s="1144"/>
      <c r="F34" s="1144"/>
      <c r="G34" s="1144"/>
      <c r="H34" s="1144"/>
      <c r="I34" s="1151"/>
      <c r="J34" s="1143" t="s">
        <v>3848</v>
      </c>
      <c r="K34" s="1143"/>
      <c r="L34" s="1143"/>
      <c r="M34" s="1143" t="s">
        <v>3849</v>
      </c>
      <c r="N34" s="1143"/>
      <c r="O34" s="1143"/>
      <c r="P34" s="1143"/>
      <c r="Q34" s="1143"/>
      <c r="R34" s="1143" t="s">
        <v>3850</v>
      </c>
      <c r="S34" s="1143"/>
      <c r="T34" s="1143" t="s">
        <v>3851</v>
      </c>
      <c r="U34" s="1143"/>
      <c r="V34" s="1143"/>
      <c r="W34" s="1143" t="s">
        <v>3852</v>
      </c>
      <c r="X34" s="1144"/>
    </row>
    <row r="35" spans="1:24" s="1131" customFormat="1" ht="15" customHeight="1">
      <c r="B35" s="1118" t="s">
        <v>3853</v>
      </c>
      <c r="I35" s="1141"/>
      <c r="J35" s="1368" t="str">
        <f>cst_wskakunin_KENTIKU_MENSEKI_ZENTAI_SHINSEI</f>
        <v/>
      </c>
      <c r="K35" s="1368"/>
      <c r="L35" s="1368"/>
      <c r="M35" s="1134" t="s">
        <v>3854</v>
      </c>
      <c r="O35" s="1368" t="str">
        <f>cst_wskakunin_KENTIKU_MENSEKI_ZENTAI_IGAI</f>
        <v/>
      </c>
      <c r="P35" s="1368"/>
      <c r="Q35" s="1368"/>
      <c r="R35" s="1134" t="s">
        <v>3855</v>
      </c>
      <c r="T35" s="1369" t="str">
        <f>cst_wskakunin_KENTIKU_MENSEKI_ZENTAI_TOTAL</f>
        <v/>
      </c>
      <c r="U35" s="1369"/>
      <c r="V35" s="1369"/>
      <c r="W35" s="1134" t="s">
        <v>3856</v>
      </c>
    </row>
    <row r="36" spans="1:24" s="1131" customFormat="1" ht="15" customHeight="1">
      <c r="B36" s="1118" t="s">
        <v>3857</v>
      </c>
      <c r="I36" s="1141"/>
      <c r="J36" s="1152"/>
      <c r="K36" s="1152"/>
      <c r="L36" s="1152"/>
      <c r="M36" s="1134"/>
      <c r="O36" s="1152"/>
      <c r="P36" s="1152"/>
      <c r="Q36" s="1152"/>
      <c r="R36" s="1134"/>
      <c r="T36" s="1153"/>
      <c r="U36" s="1153"/>
      <c r="V36" s="1153"/>
      <c r="W36" s="1134"/>
    </row>
    <row r="37" spans="1:24" s="1131" customFormat="1" ht="15" customHeight="1">
      <c r="B37" s="1134"/>
      <c r="I37" s="1141"/>
      <c r="J37" s="1368" t="str">
        <f>cst_wskakunin_KENTIKU_MENSEKI_SHINSEI</f>
        <v/>
      </c>
      <c r="K37" s="1368"/>
      <c r="L37" s="1368"/>
      <c r="M37" s="1134" t="s">
        <v>3854</v>
      </c>
      <c r="O37" s="1368" t="str">
        <f>cst_wskakunin_KENTIKU_MENSEKI_IGAI</f>
        <v/>
      </c>
      <c r="P37" s="1368"/>
      <c r="Q37" s="1368"/>
      <c r="R37" s="1134" t="s">
        <v>3855</v>
      </c>
      <c r="T37" s="1369" t="str">
        <f>cst_wskakunin_KENTIKU_MENSEKI_TOTAL</f>
        <v/>
      </c>
      <c r="U37" s="1369"/>
      <c r="V37" s="1369"/>
      <c r="W37" s="1134" t="s">
        <v>3856</v>
      </c>
    </row>
    <row r="38" spans="1:24" s="1131" customFormat="1" ht="15" customHeight="1">
      <c r="B38" s="1134" t="s">
        <v>3858</v>
      </c>
      <c r="J38" s="1366" t="str">
        <f>cst_wskakunin_KENPEI_RITU</f>
        <v/>
      </c>
      <c r="K38" s="1366"/>
      <c r="L38" s="1366"/>
      <c r="M38" s="1154" t="s">
        <v>3841</v>
      </c>
      <c r="O38" s="1145"/>
      <c r="T38" s="1134"/>
      <c r="U38" s="1134"/>
      <c r="V38" s="1134"/>
    </row>
    <row r="39" spans="1:24" s="1131" customFormat="1" ht="15" customHeight="1">
      <c r="A39" s="1143" t="s">
        <v>3859</v>
      </c>
      <c r="B39" s="1144"/>
      <c r="C39" s="1144"/>
      <c r="D39" s="1144"/>
      <c r="E39" s="1144"/>
      <c r="F39" s="1144"/>
      <c r="G39" s="1144"/>
      <c r="H39" s="1144"/>
      <c r="I39" s="1144"/>
      <c r="J39" s="1134" t="s">
        <v>3848</v>
      </c>
      <c r="K39" s="1143"/>
      <c r="L39" s="1143"/>
      <c r="M39" s="1143" t="s">
        <v>3849</v>
      </c>
      <c r="N39" s="1143"/>
      <c r="O39" s="1143"/>
      <c r="P39" s="1143"/>
      <c r="Q39" s="1143"/>
      <c r="R39" s="1143" t="s">
        <v>3850</v>
      </c>
      <c r="S39" s="1143"/>
      <c r="T39" s="1143" t="s">
        <v>3851</v>
      </c>
      <c r="U39" s="1143"/>
      <c r="V39" s="1143"/>
      <c r="W39" s="1143" t="s">
        <v>3852</v>
      </c>
      <c r="X39" s="1144"/>
    </row>
    <row r="40" spans="1:24" s="1131" customFormat="1" ht="15" customHeight="1">
      <c r="B40" s="1134" t="s">
        <v>3860</v>
      </c>
      <c r="J40" s="1360" t="str">
        <f>cst_wskakunin_NOBE_MENSEKI_BUILD_SHINSEI</f>
        <v/>
      </c>
      <c r="K40" s="1360"/>
      <c r="L40" s="1360"/>
      <c r="M40" s="1134" t="s">
        <v>3854</v>
      </c>
      <c r="O40" s="1360" t="str">
        <f>cst_wskakunin_NOBE_MENSEKI_BUILD_IGAI</f>
        <v/>
      </c>
      <c r="P40" s="1360"/>
      <c r="Q40" s="1360"/>
      <c r="R40" s="1134" t="s">
        <v>3855</v>
      </c>
      <c r="T40" s="1364" t="str">
        <f>cst_wskakunin_NOBE_MENSEKI_BUILD_TOTAL</f>
        <v/>
      </c>
      <c r="U40" s="1364"/>
      <c r="V40" s="1364"/>
      <c r="W40" s="1134" t="s">
        <v>3856</v>
      </c>
    </row>
    <row r="41" spans="1:24" s="1131" customFormat="1" ht="15" customHeight="1">
      <c r="B41" s="1134" t="s">
        <v>3861</v>
      </c>
      <c r="M41" s="1134"/>
      <c r="R41" s="1134"/>
      <c r="T41" s="1134"/>
      <c r="U41" s="1134"/>
      <c r="V41" s="1155"/>
      <c r="W41" s="1134"/>
    </row>
    <row r="42" spans="1:24" s="1131" customFormat="1" ht="15" customHeight="1">
      <c r="B42" s="1134" t="s">
        <v>3862</v>
      </c>
      <c r="J42" s="1360" t="str">
        <f>cst_wskakunin_NOBE_MENSEKI_TIKAI_SHINSEI</f>
        <v/>
      </c>
      <c r="K42" s="1360"/>
      <c r="L42" s="1360"/>
      <c r="M42" s="1134" t="s">
        <v>3854</v>
      </c>
      <c r="O42" s="1360" t="str">
        <f>cst_wskakunin_NOBE_MENSEKI_TIKAI_IGAI</f>
        <v/>
      </c>
      <c r="P42" s="1360"/>
      <c r="Q42" s="1360"/>
      <c r="R42" s="1134" t="s">
        <v>3855</v>
      </c>
      <c r="T42" s="1364" t="str">
        <f>cst_wskakunin_NOBE_MENSEKI_TIKAI_TOTAL</f>
        <v/>
      </c>
      <c r="U42" s="1364"/>
      <c r="V42" s="1364"/>
      <c r="W42" s="1134" t="s">
        <v>3856</v>
      </c>
    </row>
    <row r="43" spans="1:24" s="1131" customFormat="1" ht="15" customHeight="1">
      <c r="B43" s="1134" t="s">
        <v>3863</v>
      </c>
      <c r="M43" s="1134"/>
      <c r="R43" s="1134"/>
      <c r="T43" s="1134"/>
      <c r="U43" s="1134"/>
      <c r="V43" s="1134"/>
      <c r="W43" s="1134"/>
    </row>
    <row r="44" spans="1:24" s="1131" customFormat="1" ht="15" customHeight="1">
      <c r="B44" s="1134" t="s">
        <v>3862</v>
      </c>
      <c r="J44" s="1360" t="str">
        <f>cst_wskakunin_NOBE_MENSEKI_SYOUKOURO_SHINSEI</f>
        <v/>
      </c>
      <c r="K44" s="1360"/>
      <c r="L44" s="1360"/>
      <c r="M44" s="1134" t="s">
        <v>3854</v>
      </c>
      <c r="O44" s="1360" t="str">
        <f>cst_wskakunin_NOBE_MENSEKI_SYOUKOURO_IGAI</f>
        <v/>
      </c>
      <c r="P44" s="1360"/>
      <c r="Q44" s="1360"/>
      <c r="R44" s="1134" t="s">
        <v>3855</v>
      </c>
      <c r="T44" s="1364" t="str">
        <f>cst_wskakunin_NOBE_MENSEKI_SYOUKOURO_TOTAL</f>
        <v/>
      </c>
      <c r="U44" s="1364"/>
      <c r="V44" s="1364"/>
      <c r="W44" s="1134" t="s">
        <v>3856</v>
      </c>
    </row>
    <row r="45" spans="1:24" s="1131" customFormat="1" ht="15" customHeight="1">
      <c r="B45" s="1134" t="s">
        <v>3864</v>
      </c>
      <c r="M45" s="1134"/>
      <c r="R45" s="1134"/>
      <c r="T45" s="1134"/>
      <c r="U45" s="1134"/>
      <c r="V45" s="1134"/>
      <c r="W45" s="1134"/>
    </row>
    <row r="46" spans="1:24" s="1131" customFormat="1" ht="15" customHeight="1">
      <c r="B46" s="1134" t="s">
        <v>3862</v>
      </c>
      <c r="J46" s="1360" t="str">
        <f>cst_wskakunin_NOBE_MENSEKI_KYOYOU_SHINSEI</f>
        <v/>
      </c>
      <c r="K46" s="1360"/>
      <c r="L46" s="1360"/>
      <c r="M46" s="1134" t="s">
        <v>3854</v>
      </c>
      <c r="O46" s="1360" t="str">
        <f>cst_wskakunin_NOBE_MENSEKI_KYOYOU_IGAI</f>
        <v/>
      </c>
      <c r="P46" s="1360"/>
      <c r="Q46" s="1360"/>
      <c r="R46" s="1134" t="s">
        <v>3855</v>
      </c>
      <c r="T46" s="1364" t="str">
        <f>cst_wskakunin_NOBE_MENSEKI_KYOYOU_TOTAL</f>
        <v/>
      </c>
      <c r="U46" s="1364"/>
      <c r="V46" s="1364"/>
      <c r="W46" s="1134" t="s">
        <v>3856</v>
      </c>
    </row>
    <row r="47" spans="1:24" s="1131" customFormat="1" ht="15" customHeight="1">
      <c r="B47" s="1156" t="s">
        <v>3865</v>
      </c>
      <c r="I47" s="1131" t="s">
        <v>2</v>
      </c>
      <c r="J47" s="1360" t="str">
        <f>cst_wskakunin_NOBE_MENSEKI_KIKAI_SHINSEI</f>
        <v/>
      </c>
      <c r="K47" s="1360"/>
      <c r="L47" s="1360"/>
      <c r="M47" s="1134" t="s">
        <v>3854</v>
      </c>
      <c r="O47" s="1360" t="str">
        <f>cst_wskakunin_NOBE_MENSEKI_KIKAI_IGAI</f>
        <v/>
      </c>
      <c r="P47" s="1360"/>
      <c r="Q47" s="1360"/>
      <c r="R47" s="1134" t="s">
        <v>3855</v>
      </c>
      <c r="T47" s="1364" t="str">
        <f>cst_wskakunin_NOBE_MENSEKI_KIKAI_TOTAL</f>
        <v/>
      </c>
      <c r="U47" s="1364"/>
      <c r="V47" s="1364"/>
      <c r="W47" s="1134" t="s">
        <v>3856</v>
      </c>
    </row>
    <row r="48" spans="1:24" s="1131" customFormat="1" ht="15" customHeight="1">
      <c r="B48" s="1156" t="s">
        <v>3866</v>
      </c>
      <c r="I48" s="1131" t="s">
        <v>2</v>
      </c>
      <c r="J48" s="1360" t="str">
        <f>cst_wskakunin_NOBE_MENSEKI_SYAKO_SHINSEI</f>
        <v/>
      </c>
      <c r="K48" s="1360"/>
      <c r="L48" s="1360"/>
      <c r="M48" s="1134" t="s">
        <v>3854</v>
      </c>
      <c r="O48" s="1360" t="str">
        <f>cst_wskakunin_NOBE_MENSEKI_SYAKO_IGAI</f>
        <v/>
      </c>
      <c r="P48" s="1360"/>
      <c r="Q48" s="1360"/>
      <c r="R48" s="1134" t="s">
        <v>3855</v>
      </c>
      <c r="T48" s="1364" t="str">
        <f>cst_wskakunin_NOBE_MENSEKI_SYAKO_TOTAL</f>
        <v/>
      </c>
      <c r="U48" s="1364"/>
      <c r="V48" s="1364"/>
      <c r="W48" s="1134" t="s">
        <v>3856</v>
      </c>
    </row>
    <row r="49" spans="1:24" s="1131" customFormat="1" ht="15" customHeight="1">
      <c r="B49" s="1156" t="s">
        <v>3867</v>
      </c>
      <c r="I49" s="1131" t="s">
        <v>2</v>
      </c>
      <c r="J49" s="1360" t="str">
        <f>cst_wskakunin_NOBE_MENSEKI_BITIKUSOUKO_SHINSEI</f>
        <v/>
      </c>
      <c r="K49" s="1360"/>
      <c r="L49" s="1360"/>
      <c r="M49" s="1134" t="s">
        <v>3854</v>
      </c>
      <c r="O49" s="1360" t="str">
        <f>cst_wskakunin_NOBE_MENSEKI_BITIKUSOUKO_IGAI</f>
        <v/>
      </c>
      <c r="P49" s="1360"/>
      <c r="Q49" s="1360"/>
      <c r="R49" s="1134" t="s">
        <v>3855</v>
      </c>
      <c r="T49" s="1364" t="str">
        <f>cst_wskakunin_NOBE_MENSEKI_BITIKUSOUKO_TOTAL</f>
        <v/>
      </c>
      <c r="U49" s="1364"/>
      <c r="V49" s="1364"/>
      <c r="W49" s="1134" t="s">
        <v>3856</v>
      </c>
    </row>
    <row r="50" spans="1:24" s="1131" customFormat="1" ht="15" customHeight="1">
      <c r="B50" s="1156" t="s">
        <v>3868</v>
      </c>
      <c r="I50" s="1131" t="s">
        <v>2</v>
      </c>
      <c r="J50" s="1360" t="str">
        <f>cst_wskakunin_NOBE_MENSEKI_TIKUDENTI_SHINSEI</f>
        <v/>
      </c>
      <c r="K50" s="1360"/>
      <c r="L50" s="1360"/>
      <c r="M50" s="1134" t="s">
        <v>3854</v>
      </c>
      <c r="O50" s="1360" t="str">
        <f>cst_wskakunin_NOBE_MENSEKI_TIKUDENTI_IGAI</f>
        <v/>
      </c>
      <c r="P50" s="1360"/>
      <c r="Q50" s="1360"/>
      <c r="R50" s="1134" t="s">
        <v>3855</v>
      </c>
      <c r="T50" s="1364" t="str">
        <f>cst_wskakunin_NOBE_MENSEKI_TIKUDENTI_TOTAL</f>
        <v/>
      </c>
      <c r="U50" s="1364"/>
      <c r="V50" s="1364"/>
      <c r="W50" s="1134" t="s">
        <v>3856</v>
      </c>
    </row>
    <row r="51" spans="1:24" s="1131" customFormat="1" ht="15" customHeight="1">
      <c r="B51" s="1365" t="s">
        <v>3869</v>
      </c>
      <c r="C51" s="1365"/>
      <c r="D51" s="1365"/>
      <c r="E51" s="1365"/>
      <c r="F51" s="1365"/>
      <c r="G51" s="1365"/>
      <c r="H51" s="1365"/>
      <c r="I51" s="1131" t="s">
        <v>2</v>
      </c>
      <c r="J51" s="1360" t="str">
        <f>cst_wskakunin_NOBE_MENSEKI_JIKAHATUDEN_SHINSEI</f>
        <v/>
      </c>
      <c r="K51" s="1360"/>
      <c r="L51" s="1360"/>
      <c r="M51" s="1134" t="s">
        <v>3854</v>
      </c>
      <c r="O51" s="1360" t="str">
        <f>cst_wskakunin_NOBE_MENSEKI_JIKAHATUDEN_IGAI</f>
        <v/>
      </c>
      <c r="P51" s="1360"/>
      <c r="Q51" s="1360"/>
      <c r="R51" s="1134" t="s">
        <v>3855</v>
      </c>
      <c r="T51" s="1364" t="str">
        <f>cst_wskakunin_NOBE_MENSEKI_JIKAHATUDEN_TOTAL</f>
        <v/>
      </c>
      <c r="U51" s="1364"/>
      <c r="V51" s="1364"/>
      <c r="W51" s="1134" t="s">
        <v>3856</v>
      </c>
    </row>
    <row r="52" spans="1:24" s="1131" customFormat="1" ht="15" customHeight="1">
      <c r="B52" s="1156" t="s">
        <v>3870</v>
      </c>
      <c r="I52" s="1131" t="s">
        <v>2</v>
      </c>
      <c r="J52" s="1360" t="str">
        <f>cst_wskakunin_NOBE_MENSEKI_CHOSUISOU_SHINSEI</f>
        <v/>
      </c>
      <c r="K52" s="1360"/>
      <c r="L52" s="1360"/>
      <c r="M52" s="1134" t="s">
        <v>3854</v>
      </c>
      <c r="O52" s="1360" t="str">
        <f>cst_wskakunin_NOBE_MENSEKI_CHOSUISOU_IGAI</f>
        <v/>
      </c>
      <c r="P52" s="1360"/>
      <c r="Q52" s="1360"/>
      <c r="R52" s="1134" t="s">
        <v>3855</v>
      </c>
      <c r="T52" s="1364" t="str">
        <f>cst_wskakunin_NOBE_MENSEKI_CHOSUISOU_TOTAL</f>
        <v/>
      </c>
      <c r="U52" s="1364"/>
      <c r="V52" s="1364"/>
      <c r="W52" s="1134" t="s">
        <v>3856</v>
      </c>
    </row>
    <row r="53" spans="1:24" s="1131" customFormat="1" ht="15" customHeight="1">
      <c r="B53" s="1365" t="s">
        <v>3871</v>
      </c>
      <c r="C53" s="1365"/>
      <c r="D53" s="1365"/>
      <c r="E53" s="1365"/>
      <c r="F53" s="1365"/>
      <c r="G53" s="1365"/>
      <c r="H53" s="1365"/>
      <c r="I53" s="1131" t="s">
        <v>2</v>
      </c>
      <c r="J53" s="1360" t="str">
        <f>cst_wskakunin_NOBE_MENSEKI_TAKUHAI_SHINSEI</f>
        <v/>
      </c>
      <c r="K53" s="1360"/>
      <c r="L53" s="1360"/>
      <c r="M53" s="1134" t="s">
        <v>3854</v>
      </c>
      <c r="O53" s="1360" t="str">
        <f>cst_wskakunin_NOBE_MENSEKI_TAKUHAI_IGAI</f>
        <v/>
      </c>
      <c r="P53" s="1360"/>
      <c r="Q53" s="1360"/>
      <c r="R53" s="1134" t="s">
        <v>3855</v>
      </c>
      <c r="T53" s="1364" t="str">
        <f>cst_wskakunin_NOBE_MENSEKI_TAKUHAI_TOTAL</f>
        <v/>
      </c>
      <c r="U53" s="1364"/>
      <c r="V53" s="1364"/>
      <c r="W53" s="1134" t="s">
        <v>3856</v>
      </c>
    </row>
    <row r="54" spans="1:24" s="1131" customFormat="1" ht="15" customHeight="1">
      <c r="B54" s="1156" t="s">
        <v>3872</v>
      </c>
      <c r="I54" s="1131" t="s">
        <v>2</v>
      </c>
      <c r="J54" s="1360" t="str">
        <f>cst_wskakunin_NOBE_MENSEKI_FUSANNYU_SHINSEI</f>
        <v/>
      </c>
      <c r="K54" s="1360"/>
      <c r="L54" s="1360"/>
      <c r="M54" s="1134" t="s">
        <v>3854</v>
      </c>
      <c r="O54" s="1360" t="str">
        <f>cst_wskakunin_NOBE_MENSEKI_FUSANNYU_IGAI</f>
        <v/>
      </c>
      <c r="P54" s="1360"/>
      <c r="Q54" s="1360"/>
      <c r="R54" s="1134" t="s">
        <v>3855</v>
      </c>
      <c r="T54" s="1364" t="str">
        <f>cst_wskakunin_NOBE_MENSEKI_FUSANNYU_TOTAL</f>
        <v/>
      </c>
      <c r="U54" s="1364"/>
      <c r="V54" s="1364"/>
      <c r="W54" s="1134" t="s">
        <v>3856</v>
      </c>
    </row>
    <row r="55" spans="1:24" s="1131" customFormat="1" ht="15" customHeight="1">
      <c r="B55" s="1156" t="s">
        <v>3873</v>
      </c>
      <c r="I55" s="1131" t="s">
        <v>2</v>
      </c>
      <c r="J55" s="1360" t="str">
        <f>cst_wskakunin_NOBE_MENSEKI_JYUTAKU_SHINSEI</f>
        <v/>
      </c>
      <c r="K55" s="1360"/>
      <c r="L55" s="1360"/>
      <c r="M55" s="1134" t="s">
        <v>3854</v>
      </c>
      <c r="O55" s="1360" t="str">
        <f>cst_wskakunin_NOBE_MENSEKI_JYUTAKU_IGAI</f>
        <v/>
      </c>
      <c r="P55" s="1360"/>
      <c r="Q55" s="1360"/>
      <c r="R55" s="1134" t="s">
        <v>3855</v>
      </c>
      <c r="T55" s="1364" t="str">
        <f>cst_wskakunin_NOBE_MENSEKI_JYUTAKU_TOTAL</f>
        <v/>
      </c>
      <c r="U55" s="1364"/>
      <c r="V55" s="1364"/>
      <c r="W55" s="1134" t="s">
        <v>3856</v>
      </c>
    </row>
    <row r="56" spans="1:24" s="1131" customFormat="1" ht="15" customHeight="1">
      <c r="B56" s="1156" t="s">
        <v>3874</v>
      </c>
      <c r="I56" s="1131" t="s">
        <v>2</v>
      </c>
      <c r="J56" s="1360" t="str">
        <f>cst_wskakunin_NOBE_MENSEKI_ROUJIN_SHINSEI</f>
        <v/>
      </c>
      <c r="K56" s="1360"/>
      <c r="L56" s="1360"/>
      <c r="M56" s="1134" t="s">
        <v>3854</v>
      </c>
      <c r="O56" s="1360" t="str">
        <f>cst_wskakunin_NOBE_MENSEKI_ROUJIN_IGAI</f>
        <v/>
      </c>
      <c r="P56" s="1360"/>
      <c r="Q56" s="1360"/>
      <c r="R56" s="1134" t="s">
        <v>3855</v>
      </c>
      <c r="T56" s="1364" t="str">
        <f>cst_wskakunin_NOBE_MENSEKI_ROUJIN_TOTAL</f>
        <v/>
      </c>
      <c r="U56" s="1364"/>
      <c r="V56" s="1364"/>
      <c r="W56" s="1134" t="s">
        <v>3856</v>
      </c>
    </row>
    <row r="57" spans="1:24" s="1131" customFormat="1" ht="15" customHeight="1">
      <c r="B57" s="1156" t="s">
        <v>3875</v>
      </c>
      <c r="J57" s="1360" t="str">
        <f>cst_wskakunin_NOBE_MENSEKI</f>
        <v/>
      </c>
      <c r="K57" s="1360"/>
      <c r="L57" s="1360"/>
      <c r="M57" s="1137" t="s">
        <v>24</v>
      </c>
      <c r="R57" s="1134"/>
      <c r="T57" s="1134"/>
      <c r="U57" s="1134"/>
      <c r="V57" s="1134"/>
    </row>
    <row r="58" spans="1:24" s="1131" customFormat="1" ht="15" customHeight="1">
      <c r="A58" s="1145"/>
      <c r="B58" s="1157" t="s">
        <v>3876</v>
      </c>
      <c r="C58" s="1145"/>
      <c r="D58" s="1145"/>
      <c r="E58" s="1145"/>
      <c r="F58" s="1145"/>
      <c r="G58" s="1145"/>
      <c r="H58" s="1145"/>
      <c r="I58" s="1145"/>
      <c r="J58" s="1361" t="str">
        <f>cst_wskakunin_YOUSEKI_RITU</f>
        <v/>
      </c>
      <c r="K58" s="1361"/>
      <c r="L58" s="1361"/>
      <c r="M58" s="1154" t="s">
        <v>3841</v>
      </c>
      <c r="N58" s="1145"/>
      <c r="O58" s="1145"/>
      <c r="P58" s="1145"/>
      <c r="Q58" s="1145"/>
      <c r="R58" s="1145"/>
      <c r="S58" s="1145"/>
      <c r="T58" s="1145"/>
      <c r="U58" s="1145"/>
      <c r="V58" s="1145"/>
      <c r="W58" s="1145"/>
      <c r="X58" s="1145"/>
    </row>
    <row r="59" spans="1:24" s="1131" customFormat="1" ht="15" customHeight="1">
      <c r="A59" s="1134" t="s">
        <v>3877</v>
      </c>
    </row>
    <row r="60" spans="1:24" s="1131" customFormat="1" ht="15" customHeight="1">
      <c r="B60" s="1134" t="s">
        <v>3878</v>
      </c>
      <c r="K60" s="1135" t="str">
        <f>cst_wskakunin_BUILD_SHINSEI_COUNT</f>
        <v/>
      </c>
      <c r="N60" s="1141"/>
      <c r="Q60" s="1141"/>
      <c r="T60" s="1141"/>
      <c r="U60" s="1362"/>
      <c r="V60" s="1362"/>
    </row>
    <row r="61" spans="1:24" s="1131" customFormat="1" ht="15" customHeight="1">
      <c r="B61" s="1134" t="s">
        <v>3879</v>
      </c>
      <c r="K61" s="1135" t="str">
        <f>cst_wskakunin_BUILD_SONOTA_COUNT</f>
        <v/>
      </c>
      <c r="N61" s="1141"/>
      <c r="Q61" s="1141"/>
      <c r="T61" s="1141"/>
      <c r="U61" s="1362"/>
      <c r="V61" s="1362"/>
    </row>
    <row r="62" spans="1:24" s="1131" customFormat="1" ht="15" customHeight="1">
      <c r="A62" s="1143" t="s">
        <v>3880</v>
      </c>
      <c r="B62" s="1143"/>
      <c r="C62" s="1143"/>
      <c r="D62" s="1143"/>
      <c r="E62" s="1143"/>
      <c r="F62" s="1143"/>
      <c r="G62" s="1143"/>
      <c r="H62" s="1143" t="s">
        <v>3881</v>
      </c>
      <c r="I62" s="1143"/>
      <c r="J62" s="1143"/>
      <c r="K62" s="1143"/>
      <c r="L62" s="1143"/>
      <c r="M62" s="1143" t="s">
        <v>3882</v>
      </c>
      <c r="N62" s="1143"/>
      <c r="O62" s="1143"/>
      <c r="P62" s="1143"/>
      <c r="Q62" s="1143" t="s">
        <v>3852</v>
      </c>
      <c r="R62" s="1144"/>
      <c r="S62" s="1144"/>
      <c r="T62" s="1144"/>
      <c r="U62" s="1144"/>
      <c r="V62" s="1144"/>
      <c r="W62" s="1144"/>
      <c r="X62" s="1144"/>
    </row>
    <row r="63" spans="1:24" s="1131" customFormat="1" ht="15" customHeight="1">
      <c r="B63" s="1134" t="s">
        <v>3883</v>
      </c>
      <c r="H63" s="1134" t="s">
        <v>3783</v>
      </c>
      <c r="I63" s="1363" t="str">
        <f>cst_wskakunin_TAKASA_MAX_SHINSEI</f>
        <v/>
      </c>
      <c r="J63" s="1363"/>
      <c r="K63" s="1363"/>
      <c r="L63" s="1134" t="s">
        <v>3884</v>
      </c>
      <c r="M63" s="1134" t="s">
        <v>3783</v>
      </c>
      <c r="N63" s="1363" t="str">
        <f>cst_wskakunin_TAKASA_MAX_SONOTA</f>
        <v/>
      </c>
      <c r="O63" s="1363"/>
      <c r="P63" s="1363"/>
      <c r="Q63" s="1134" t="s">
        <v>3884</v>
      </c>
    </row>
    <row r="64" spans="1:24" s="1131" customFormat="1" ht="15" customHeight="1">
      <c r="B64" s="1134" t="s">
        <v>3885</v>
      </c>
      <c r="F64" s="1134" t="s">
        <v>3886</v>
      </c>
      <c r="H64" s="1134" t="s">
        <v>3783</v>
      </c>
      <c r="I64" s="1358" t="str">
        <f>cst_wskakunin_KAISU_TIJYOU_SHINSEI</f>
        <v/>
      </c>
      <c r="J64" s="1358"/>
      <c r="K64" s="1358"/>
      <c r="L64" s="1134" t="s">
        <v>3852</v>
      </c>
      <c r="M64" s="1134" t="s">
        <v>3783</v>
      </c>
      <c r="N64" s="1358" t="str">
        <f>cst_wskakunin_KAISU_TIJYOU_SONOTA</f>
        <v/>
      </c>
      <c r="O64" s="1358"/>
      <c r="P64" s="1358"/>
      <c r="Q64" s="1134" t="s">
        <v>3852</v>
      </c>
    </row>
    <row r="65" spans="1:29" s="1131" customFormat="1" ht="15" customHeight="1">
      <c r="F65" s="1134" t="s">
        <v>3113</v>
      </c>
      <c r="H65" s="1134" t="s">
        <v>3783</v>
      </c>
      <c r="I65" s="1358">
        <f>cst_wskakunin_KAISU_TIKA_SHINSEI__zero</f>
        <v>0</v>
      </c>
      <c r="J65" s="1358"/>
      <c r="K65" s="1358"/>
      <c r="L65" s="1134" t="s">
        <v>3852</v>
      </c>
      <c r="M65" s="1134" t="s">
        <v>3783</v>
      </c>
      <c r="N65" s="1358" t="str">
        <f>cst_wskakunin_KAISU_TIKA_SONOTA</f>
        <v/>
      </c>
      <c r="O65" s="1358"/>
      <c r="P65" s="1358"/>
      <c r="Q65" s="1134" t="s">
        <v>3852</v>
      </c>
    </row>
    <row r="66" spans="1:29" s="1131" customFormat="1" ht="15" customHeight="1">
      <c r="B66" s="1134" t="s">
        <v>3887</v>
      </c>
    </row>
    <row r="67" spans="1:29" s="1131" customFormat="1" ht="15" customHeight="1">
      <c r="D67" s="1141"/>
      <c r="F67" s="1359" t="str">
        <f>cst_wskakunin_KOUZOU1</f>
        <v/>
      </c>
      <c r="G67" s="1359"/>
      <c r="H67" s="1359"/>
      <c r="I67" s="1359"/>
      <c r="J67" s="1359"/>
      <c r="K67" s="1359"/>
      <c r="L67" s="1359"/>
      <c r="M67" s="1359"/>
      <c r="N67" s="1359"/>
      <c r="O67" s="1359"/>
      <c r="P67" s="1359"/>
      <c r="Q67" s="1359"/>
      <c r="R67" s="1359"/>
      <c r="S67" s="1359"/>
      <c r="T67" s="1359"/>
      <c r="U67" s="1359"/>
      <c r="V67" s="1359"/>
      <c r="W67" s="1359"/>
      <c r="X67" s="1359"/>
    </row>
    <row r="68" spans="1:29" s="1131" customFormat="1" ht="15" customHeight="1">
      <c r="D68" s="1141"/>
      <c r="F68" s="1359" t="str">
        <f>IF(cst_wskakunin_KOUZOU2&lt;&gt;"","一部  "&amp;cst_wskakunin_KOUZOU2,cst_wskakunin_KOUZOU2)</f>
        <v/>
      </c>
      <c r="G68" s="1359"/>
      <c r="H68" s="1359"/>
      <c r="I68" s="1359"/>
      <c r="J68" s="1359"/>
      <c r="K68" s="1359"/>
      <c r="L68" s="1359"/>
      <c r="M68" s="1359"/>
      <c r="N68" s="1359"/>
      <c r="O68" s="1359"/>
      <c r="P68" s="1359"/>
      <c r="Q68" s="1359"/>
      <c r="R68" s="1359"/>
      <c r="S68" s="1359"/>
      <c r="T68" s="1359"/>
      <c r="U68" s="1359"/>
      <c r="V68" s="1359"/>
      <c r="W68" s="1359"/>
      <c r="X68" s="1359"/>
    </row>
    <row r="69" spans="1:29" s="1131" customFormat="1" ht="15" customHeight="1">
      <c r="B69" s="1134" t="s">
        <v>3888</v>
      </c>
      <c r="R69" s="1135" t="str">
        <f>cst_wskakunin_TOKUREI_TAKASA_box_on</f>
        <v>□</v>
      </c>
      <c r="S69" s="1134" t="s">
        <v>3889</v>
      </c>
      <c r="T69" s="1135" t="str">
        <f>cst_wskakunin_TOKUREI_TAKASA_box_off</f>
        <v>□</v>
      </c>
      <c r="U69" s="1134" t="s">
        <v>3890</v>
      </c>
    </row>
    <row r="70" spans="1:29" s="1131" customFormat="1" ht="15" customHeight="1">
      <c r="B70" s="1134" t="s">
        <v>3891</v>
      </c>
    </row>
    <row r="71" spans="1:29" s="1131" customFormat="1" ht="15" customHeight="1">
      <c r="A71" s="1145"/>
      <c r="B71" s="1145"/>
      <c r="C71" s="1158" t="str">
        <f>cst_wskakunin_TOKUREI_TAKASA_DOURO</f>
        <v>□</v>
      </c>
      <c r="D71" s="1146" t="s">
        <v>3892</v>
      </c>
      <c r="E71" s="1145"/>
      <c r="F71" s="1145"/>
      <c r="G71" s="1145"/>
      <c r="H71" s="1145"/>
      <c r="I71" s="1145"/>
      <c r="J71" s="1158" t="str">
        <f>cst_wskakunin_TOKUREI_TAKASA_RINTI</f>
        <v>□</v>
      </c>
      <c r="K71" s="1146" t="s">
        <v>1171</v>
      </c>
      <c r="L71" s="1145"/>
      <c r="M71" s="1145"/>
      <c r="N71" s="1145"/>
      <c r="O71" s="1145"/>
      <c r="P71" s="1145"/>
      <c r="Q71" s="1158" t="str">
        <f>cst_wskakunin_TOKUREI_TAKASA_KITA</f>
        <v>□</v>
      </c>
      <c r="R71" s="1146" t="s">
        <v>1174</v>
      </c>
      <c r="S71" s="1145"/>
      <c r="T71" s="1145"/>
      <c r="U71" s="1145"/>
      <c r="V71" s="1145"/>
      <c r="W71" s="1145"/>
      <c r="X71" s="1145"/>
    </row>
    <row r="72" spans="1:29" s="1131" customFormat="1" ht="15" customHeight="1">
      <c r="A72" s="1131" t="s">
        <v>3893</v>
      </c>
      <c r="Z72" s="1159" t="s">
        <v>3894</v>
      </c>
      <c r="AA72" s="1159" t="s">
        <v>458</v>
      </c>
      <c r="AB72" s="1159" t="s">
        <v>443</v>
      </c>
      <c r="AC72" s="1159" t="s">
        <v>424</v>
      </c>
    </row>
    <row r="73" spans="1:29" s="1131" customFormat="1" ht="15" customHeight="1">
      <c r="B73" s="1356" t="str">
        <f>cst_wskakunin_kyoka_HOUREI_all</f>
        <v/>
      </c>
      <c r="C73" s="1356"/>
      <c r="D73" s="1356"/>
      <c r="E73" s="1356"/>
      <c r="F73" s="1356"/>
      <c r="G73" s="1356"/>
      <c r="H73" s="1356"/>
      <c r="I73" s="1356"/>
      <c r="J73" s="1356"/>
      <c r="K73" s="1356"/>
      <c r="L73" s="1356"/>
      <c r="M73" s="1356"/>
      <c r="N73" s="1356"/>
      <c r="O73" s="1356"/>
      <c r="P73" s="1356"/>
      <c r="Q73" s="1356"/>
      <c r="R73" s="1356"/>
      <c r="S73" s="1356"/>
      <c r="T73" s="1356"/>
      <c r="U73" s="1356"/>
      <c r="V73" s="1356"/>
      <c r="W73" s="1356"/>
      <c r="X73" s="1356"/>
      <c r="Z73" s="1160" t="s">
        <v>3895</v>
      </c>
      <c r="AA73" s="1159" t="s">
        <v>432</v>
      </c>
      <c r="AB73" s="1159" t="s">
        <v>428</v>
      </c>
      <c r="AC73" s="1159" t="s">
        <v>423</v>
      </c>
    </row>
    <row r="74" spans="1:29" s="1131" customFormat="1" ht="15" customHeight="1">
      <c r="B74" s="1356"/>
      <c r="C74" s="1356"/>
      <c r="D74" s="1356"/>
      <c r="E74" s="1356"/>
      <c r="F74" s="1356"/>
      <c r="G74" s="1356"/>
      <c r="H74" s="1356"/>
      <c r="I74" s="1356"/>
      <c r="J74" s="1356"/>
      <c r="K74" s="1356"/>
      <c r="L74" s="1356"/>
      <c r="M74" s="1356"/>
      <c r="N74" s="1356"/>
      <c r="O74" s="1356"/>
      <c r="P74" s="1356"/>
      <c r="Q74" s="1356"/>
      <c r="R74" s="1356"/>
      <c r="S74" s="1356"/>
      <c r="T74" s="1356"/>
      <c r="U74" s="1356"/>
      <c r="V74" s="1356"/>
      <c r="W74" s="1356"/>
      <c r="X74" s="1356"/>
      <c r="Z74" s="1159" t="s">
        <v>480</v>
      </c>
      <c r="AA74" s="1159" t="s">
        <v>431</v>
      </c>
      <c r="AB74" s="1159" t="s">
        <v>441</v>
      </c>
    </row>
    <row r="75" spans="1:29" s="1131" customFormat="1" ht="15" customHeight="1">
      <c r="B75" s="1356"/>
      <c r="C75" s="1356"/>
      <c r="D75" s="1356"/>
      <c r="E75" s="1356"/>
      <c r="F75" s="1356"/>
      <c r="G75" s="1356"/>
      <c r="H75" s="1356"/>
      <c r="I75" s="1356"/>
      <c r="J75" s="1356"/>
      <c r="K75" s="1356"/>
      <c r="L75" s="1356"/>
      <c r="M75" s="1356"/>
      <c r="N75" s="1356"/>
      <c r="O75" s="1356"/>
      <c r="P75" s="1356"/>
      <c r="Q75" s="1356"/>
      <c r="R75" s="1356"/>
      <c r="S75" s="1356"/>
      <c r="T75" s="1356"/>
      <c r="U75" s="1356"/>
      <c r="V75" s="1356"/>
      <c r="W75" s="1356"/>
      <c r="X75" s="1356"/>
      <c r="Z75" s="1159" t="s">
        <v>435</v>
      </c>
      <c r="AA75" s="1159" t="s">
        <v>451</v>
      </c>
      <c r="AB75" s="1159" t="s">
        <v>427</v>
      </c>
    </row>
    <row r="76" spans="1:29" s="1131" customFormat="1" ht="15" customHeight="1">
      <c r="B76" s="1356"/>
      <c r="C76" s="1356"/>
      <c r="D76" s="1356"/>
      <c r="E76" s="1356"/>
      <c r="F76" s="1356"/>
      <c r="G76" s="1356"/>
      <c r="H76" s="1356"/>
      <c r="I76" s="1356"/>
      <c r="J76" s="1356"/>
      <c r="K76" s="1356"/>
      <c r="L76" s="1356"/>
      <c r="M76" s="1356"/>
      <c r="N76" s="1356"/>
      <c r="O76" s="1356"/>
      <c r="P76" s="1356"/>
      <c r="Q76" s="1356"/>
      <c r="R76" s="1356"/>
      <c r="S76" s="1356"/>
      <c r="T76" s="1356"/>
      <c r="U76" s="1356"/>
      <c r="V76" s="1356"/>
      <c r="W76" s="1356"/>
      <c r="X76" s="1356"/>
      <c r="Z76" s="1159" t="s">
        <v>434</v>
      </c>
      <c r="AA76" s="1159" t="s">
        <v>429</v>
      </c>
      <c r="AB76" s="1159" t="s">
        <v>426</v>
      </c>
    </row>
    <row r="77" spans="1:29" s="1131" customFormat="1" ht="15" customHeight="1">
      <c r="B77" s="1356"/>
      <c r="C77" s="1356"/>
      <c r="D77" s="1356"/>
      <c r="E77" s="1356"/>
      <c r="F77" s="1356"/>
      <c r="G77" s="1356"/>
      <c r="H77" s="1356"/>
      <c r="I77" s="1356"/>
      <c r="J77" s="1356"/>
      <c r="K77" s="1356"/>
      <c r="L77" s="1356"/>
      <c r="M77" s="1356"/>
      <c r="N77" s="1356"/>
      <c r="O77" s="1356"/>
      <c r="P77" s="1356"/>
      <c r="Q77" s="1356"/>
      <c r="R77" s="1356"/>
      <c r="S77" s="1356"/>
      <c r="T77" s="1356"/>
      <c r="U77" s="1356"/>
      <c r="V77" s="1356"/>
      <c r="W77" s="1356"/>
      <c r="X77" s="1356"/>
      <c r="Z77" s="1159" t="s">
        <v>433</v>
      </c>
      <c r="AA77" s="1159" t="s">
        <v>446</v>
      </c>
      <c r="AB77" s="1159" t="s">
        <v>425</v>
      </c>
    </row>
    <row r="78" spans="1:29" s="1131" customFormat="1" ht="20.100000000000001" customHeight="1">
      <c r="A78" s="1143" t="s">
        <v>3896</v>
      </c>
      <c r="B78" s="1144"/>
      <c r="C78" s="1144"/>
      <c r="D78" s="1144"/>
      <c r="E78" s="1144"/>
      <c r="F78" s="1144"/>
      <c r="G78" s="1144"/>
      <c r="H78" s="1144"/>
      <c r="I78" s="1357" t="str">
        <f>IF(cst_wskakunin_KOUJI_TYAKUSYU_YOTEI_DATE="","令和",cst_wskakunin_KOUJI_TYAKUSYU_YOTEI_DATE)</f>
        <v>令和</v>
      </c>
      <c r="J78" s="1357"/>
      <c r="K78" s="1161" t="str">
        <f>cst_wskakunin_KOUJI_TYAKUSYU_YOTEI_DATE</f>
        <v/>
      </c>
      <c r="L78" s="1143" t="s">
        <v>380</v>
      </c>
      <c r="M78" s="1162" t="str">
        <f>cst_wskakunin_KOUJI_TYAKUSYU_YOTEI_DATE</f>
        <v/>
      </c>
      <c r="N78" s="1143" t="s">
        <v>0</v>
      </c>
      <c r="O78" s="1163" t="str">
        <f>cst_wskakunin_KOUJI_TYAKUSYU_YOTEI_DATE</f>
        <v/>
      </c>
      <c r="P78" s="1143" t="s">
        <v>3057</v>
      </c>
      <c r="Q78" s="1144"/>
      <c r="R78" s="1144"/>
      <c r="S78" s="1144"/>
      <c r="T78" s="1144"/>
      <c r="U78" s="1144"/>
      <c r="V78" s="1144"/>
      <c r="W78" s="1144"/>
      <c r="X78" s="1144"/>
      <c r="AA78" s="1159"/>
    </row>
    <row r="79" spans="1:29" s="1131" customFormat="1" ht="20.100000000000001" customHeight="1">
      <c r="A79" s="1132" t="s">
        <v>3897</v>
      </c>
      <c r="B79" s="1133"/>
      <c r="C79" s="1133"/>
      <c r="D79" s="1133"/>
      <c r="E79" s="1133"/>
      <c r="F79" s="1133"/>
      <c r="G79" s="1133"/>
      <c r="H79" s="1133"/>
      <c r="I79" s="1357" t="str">
        <f>IF(cst_wskakunin_KOUJI_KANRYOU_YOTEI_DATE="","令和",cst_wskakunin_KOUJI_KANRYOU_YOTEI_DATE)</f>
        <v>令和</v>
      </c>
      <c r="J79" s="1357"/>
      <c r="K79" s="1161" t="str">
        <f>cst_wskakunin_KOUJI_KANRYOU_YOTEI_DATE</f>
        <v/>
      </c>
      <c r="L79" s="1132" t="s">
        <v>380</v>
      </c>
      <c r="M79" s="1164" t="str">
        <f>cst_wskakunin_KOUJI_KANRYOU_YOTEI_DATE</f>
        <v/>
      </c>
      <c r="N79" s="1132" t="s">
        <v>0</v>
      </c>
      <c r="O79" s="1165" t="str">
        <f>cst_wskakunin_KOUJI_KANRYOU_YOTEI_DATE</f>
        <v/>
      </c>
      <c r="P79" s="1132" t="s">
        <v>3057</v>
      </c>
      <c r="Q79" s="1133"/>
      <c r="R79" s="1133"/>
      <c r="S79" s="1133"/>
      <c r="T79" s="1133"/>
      <c r="U79" s="1133"/>
      <c r="V79" s="1133"/>
      <c r="W79" s="1133"/>
      <c r="X79" s="1133"/>
      <c r="AA79" s="1159"/>
    </row>
    <row r="80" spans="1:29" s="1131" customFormat="1" ht="20.100000000000001" customHeight="1">
      <c r="A80" s="1143" t="s">
        <v>3898</v>
      </c>
      <c r="B80" s="1144"/>
      <c r="C80" s="1144"/>
      <c r="D80" s="1144"/>
      <c r="E80" s="1144"/>
      <c r="F80" s="1144"/>
      <c r="G80" s="1144"/>
      <c r="H80" s="1144"/>
      <c r="I80" s="1144"/>
      <c r="J80" s="1144"/>
      <c r="L80" s="1144"/>
      <c r="M80" s="1144"/>
      <c r="N80" s="1144"/>
      <c r="O80" s="1144"/>
      <c r="P80" s="1144"/>
      <c r="Q80" s="1144"/>
      <c r="R80" s="1144"/>
      <c r="S80" s="1144"/>
      <c r="T80" s="1144"/>
      <c r="U80" s="1144"/>
      <c r="V80" s="1144"/>
      <c r="W80" s="1144"/>
      <c r="X80" s="1144"/>
      <c r="AA80" s="1159"/>
    </row>
    <row r="81" spans="1:27" s="1131" customFormat="1" ht="15" customHeight="1">
      <c r="B81" s="1155" t="s">
        <v>3899</v>
      </c>
      <c r="C81" s="1148" t="str">
        <f>cst_wskakunin_koutei01_KOUTEI_KAISUU</f>
        <v/>
      </c>
      <c r="D81" s="1134" t="s">
        <v>3900</v>
      </c>
      <c r="E81" s="1350" t="str">
        <f>IF(cst_wskakunin_koutei01_KOUTEI_DATE="","令和",cst_wskakunin_koutei01_KOUTEI_DATE)</f>
        <v>令和</v>
      </c>
      <c r="F81" s="1350"/>
      <c r="G81" s="1166" t="str">
        <f>cst_wskakunin_koutei01_KOUTEI_DATE</f>
        <v/>
      </c>
      <c r="H81" s="1134" t="s">
        <v>380</v>
      </c>
      <c r="I81" s="1167" t="str">
        <f>cst_wskakunin_koutei01_KOUTEI_DATE</f>
        <v/>
      </c>
      <c r="J81" s="1134" t="s">
        <v>0</v>
      </c>
      <c r="K81" s="1165" t="str">
        <f>cst_wskakunin_koutei01_KOUTEI_DATE</f>
        <v/>
      </c>
      <c r="L81" s="1134" t="s">
        <v>3057</v>
      </c>
      <c r="M81" s="1155" t="s">
        <v>3783</v>
      </c>
      <c r="N81" s="1351" t="str">
        <f>cst_wskakunin_koutei01_KOUTEI_TEXT</f>
        <v/>
      </c>
      <c r="O81" s="1352"/>
      <c r="P81" s="1352"/>
      <c r="Q81" s="1352"/>
      <c r="R81" s="1352"/>
      <c r="S81" s="1352"/>
      <c r="T81" s="1352"/>
      <c r="U81" s="1352"/>
      <c r="V81" s="1352"/>
      <c r="W81" s="1352"/>
      <c r="X81" s="1134" t="s">
        <v>3</v>
      </c>
      <c r="AA81" s="1159"/>
    </row>
    <row r="82" spans="1:27" s="1131" customFormat="1" ht="15" customHeight="1">
      <c r="B82" s="1155" t="s">
        <v>3899</v>
      </c>
      <c r="C82" s="1148" t="str">
        <f>cst_wskakunin_koutei02_KOUTEI_KAISUU</f>
        <v/>
      </c>
      <c r="D82" s="1134" t="s">
        <v>3900</v>
      </c>
      <c r="E82" s="1350" t="str">
        <f>IF(cst_wskakunin_koutei02_KOUTEI_DATE="","令和",cst_wskakunin_koutei02_KOUTEI_DATE)</f>
        <v>令和</v>
      </c>
      <c r="F82" s="1350"/>
      <c r="G82" s="1166" t="str">
        <f>cst_wskakunin_koutei02_KOUTEI_DATE</f>
        <v/>
      </c>
      <c r="H82" s="1134" t="s">
        <v>380</v>
      </c>
      <c r="I82" s="1167" t="str">
        <f>cst_wskakunin_koutei02_KOUTEI_DATE</f>
        <v/>
      </c>
      <c r="J82" s="1134" t="s">
        <v>0</v>
      </c>
      <c r="K82" s="1165" t="str">
        <f>cst_wskakunin_koutei02_KOUTEI_DATE</f>
        <v/>
      </c>
      <c r="L82" s="1134" t="s">
        <v>3057</v>
      </c>
      <c r="M82" s="1155" t="s">
        <v>3783</v>
      </c>
      <c r="N82" s="1351" t="str">
        <f>cst_wskakunin_koutei02_KOUTEI_TEXT</f>
        <v/>
      </c>
      <c r="O82" s="1352"/>
      <c r="P82" s="1352"/>
      <c r="Q82" s="1352"/>
      <c r="R82" s="1352"/>
      <c r="S82" s="1352"/>
      <c r="T82" s="1352"/>
      <c r="U82" s="1352"/>
      <c r="V82" s="1352"/>
      <c r="W82" s="1352"/>
      <c r="X82" s="1134" t="s">
        <v>3</v>
      </c>
      <c r="AA82" s="1159"/>
    </row>
    <row r="83" spans="1:27" s="1131" customFormat="1" ht="15" customHeight="1">
      <c r="B83" s="1155" t="s">
        <v>3899</v>
      </c>
      <c r="C83" s="1148" t="str">
        <f>cst_wskakunin_koutei03_KOUTEI_KAISUU</f>
        <v/>
      </c>
      <c r="D83" s="1134" t="s">
        <v>3900</v>
      </c>
      <c r="E83" s="1350" t="str">
        <f>IF(cst_wskakunin_koutei03_KOUTEI_DATE="","令和",cst_wskakunin_koutei03_KOUTEI_DATE)</f>
        <v>令和</v>
      </c>
      <c r="F83" s="1350"/>
      <c r="G83" s="1166" t="str">
        <f>cst_wskakunin_koutei03_KOUTEI_DATE</f>
        <v/>
      </c>
      <c r="H83" s="1134" t="s">
        <v>380</v>
      </c>
      <c r="I83" s="1167" t="str">
        <f>cst_wskakunin_koutei03_KOUTEI_DATE</f>
        <v/>
      </c>
      <c r="J83" s="1134" t="s">
        <v>0</v>
      </c>
      <c r="K83" s="1165" t="str">
        <f>cst_wskakunin_koutei03_KOUTEI_DATE</f>
        <v/>
      </c>
      <c r="L83" s="1134" t="s">
        <v>3057</v>
      </c>
      <c r="M83" s="1155" t="s">
        <v>3783</v>
      </c>
      <c r="N83" s="1351" t="str">
        <f>cst_wskakunin_koutei03_KOUTEI_TEXT</f>
        <v/>
      </c>
      <c r="O83" s="1352"/>
      <c r="P83" s="1352"/>
      <c r="Q83" s="1352"/>
      <c r="R83" s="1352"/>
      <c r="S83" s="1352"/>
      <c r="T83" s="1352"/>
      <c r="U83" s="1352"/>
      <c r="V83" s="1352"/>
      <c r="W83" s="1352"/>
      <c r="X83" s="1134" t="s">
        <v>3</v>
      </c>
      <c r="AA83" s="1159"/>
    </row>
    <row r="84" spans="1:27" s="1131" customFormat="1" ht="15" customHeight="1">
      <c r="A84" s="1168" t="s">
        <v>3901</v>
      </c>
      <c r="B84" s="1169"/>
      <c r="C84" s="1169"/>
      <c r="D84" s="1169"/>
      <c r="E84" s="1170"/>
      <c r="F84" s="1170"/>
      <c r="G84" s="1171"/>
      <c r="H84" s="1171"/>
      <c r="I84" s="1171"/>
      <c r="J84" s="1171"/>
      <c r="K84" s="1171"/>
      <c r="L84" s="1171"/>
      <c r="M84" s="1169"/>
      <c r="N84" s="1170"/>
      <c r="O84" s="1170"/>
      <c r="P84" s="1170"/>
      <c r="Q84" s="1170"/>
      <c r="R84" s="1170"/>
      <c r="S84" s="1170"/>
      <c r="T84" s="1170"/>
      <c r="U84" s="1170"/>
      <c r="V84" s="1170"/>
      <c r="W84" s="1170"/>
      <c r="X84" s="1143"/>
      <c r="AA84" s="1159"/>
    </row>
    <row r="85" spans="1:27" s="1131" customFormat="1" ht="15" customHeight="1">
      <c r="A85" s="1156"/>
      <c r="B85" s="1172" t="s">
        <v>3902</v>
      </c>
      <c r="C85" s="1173"/>
      <c r="D85" s="1173"/>
      <c r="E85" s="1172"/>
      <c r="F85" s="1172"/>
      <c r="G85" s="1174"/>
      <c r="H85" s="1175" t="str">
        <f>cst_wskakunin_MOKUZOU_KEIKA_FLAG_ari</f>
        <v>□</v>
      </c>
      <c r="I85" s="1174" t="s">
        <v>3889</v>
      </c>
      <c r="J85" s="1174"/>
      <c r="K85" s="1175" t="str">
        <f>cst_wskakunin_MOKUZOU_KEIKA_FLAG_nashi</f>
        <v>□</v>
      </c>
      <c r="L85" s="1174" t="s">
        <v>3890</v>
      </c>
      <c r="M85" s="1173"/>
      <c r="N85" s="1172"/>
      <c r="O85" s="1172"/>
      <c r="P85" s="1172"/>
      <c r="Q85" s="1172"/>
      <c r="R85" s="1172"/>
      <c r="S85" s="1172"/>
      <c r="T85" s="1172"/>
      <c r="U85" s="1172"/>
      <c r="V85" s="1172"/>
      <c r="W85" s="1172"/>
      <c r="X85" s="1134"/>
      <c r="AA85" s="1176"/>
    </row>
    <row r="86" spans="1:27" s="1131" customFormat="1" ht="15" customHeight="1">
      <c r="A86" s="1156"/>
      <c r="B86" s="1172" t="s">
        <v>3903</v>
      </c>
      <c r="C86" s="1173"/>
      <c r="D86" s="1173"/>
      <c r="E86" s="1172"/>
      <c r="F86" s="1172"/>
      <c r="G86" s="1174"/>
      <c r="H86" s="1174"/>
      <c r="I86" s="1174"/>
      <c r="J86" s="1174"/>
      <c r="K86" s="1174"/>
      <c r="L86" s="1174"/>
      <c r="M86" s="1173"/>
      <c r="N86" s="1172"/>
      <c r="O86" s="1172"/>
      <c r="P86" s="1172"/>
      <c r="Q86" s="1172"/>
      <c r="R86" s="1172"/>
      <c r="S86" s="1172"/>
      <c r="T86" s="1172"/>
      <c r="U86" s="1172"/>
      <c r="V86" s="1172"/>
      <c r="W86" s="1172"/>
      <c r="X86" s="1134"/>
      <c r="AA86" s="1176"/>
    </row>
    <row r="87" spans="1:27" s="1131" customFormat="1" ht="15" customHeight="1">
      <c r="A87" s="1156"/>
      <c r="B87" s="1173"/>
      <c r="C87" s="1177" t="str">
        <f>cst_wskakunin_MOKUZOU_KEIKA_HASIRA_FLAG</f>
        <v>□</v>
      </c>
      <c r="D87" s="1172" t="s">
        <v>3904</v>
      </c>
      <c r="E87" s="1172"/>
      <c r="F87" s="1172"/>
      <c r="G87" s="1174"/>
      <c r="H87" s="1174"/>
      <c r="I87" s="1174"/>
      <c r="J87" s="1174"/>
      <c r="K87" s="1174"/>
      <c r="L87" s="1174"/>
      <c r="M87" s="1173"/>
      <c r="N87" s="1172"/>
      <c r="O87" s="1172"/>
      <c r="P87" s="1172"/>
      <c r="Q87" s="1172"/>
      <c r="R87" s="1172"/>
      <c r="S87" s="1172"/>
      <c r="T87" s="1172"/>
      <c r="U87" s="1172"/>
      <c r="V87" s="1172"/>
      <c r="W87" s="1172"/>
      <c r="X87" s="1134"/>
      <c r="AA87" s="1176"/>
    </row>
    <row r="88" spans="1:27" s="1131" customFormat="1" ht="15" customHeight="1">
      <c r="A88" s="1157"/>
      <c r="B88" s="1178"/>
      <c r="C88" s="1179" t="str">
        <f>cst_wskakunin_MOKUZOU_KEIKA_ETC_FLAG</f>
        <v>□</v>
      </c>
      <c r="D88" s="1180" t="s">
        <v>1</v>
      </c>
      <c r="E88" s="1180"/>
      <c r="F88" s="1180"/>
      <c r="G88" s="1181"/>
      <c r="H88" s="1181"/>
      <c r="I88" s="1181"/>
      <c r="J88" s="1181"/>
      <c r="K88" s="1181"/>
      <c r="L88" s="1181"/>
      <c r="M88" s="1178"/>
      <c r="N88" s="1180"/>
      <c r="O88" s="1180"/>
      <c r="P88" s="1180"/>
      <c r="Q88" s="1180"/>
      <c r="R88" s="1180"/>
      <c r="S88" s="1180"/>
      <c r="T88" s="1180"/>
      <c r="U88" s="1180"/>
      <c r="V88" s="1180"/>
      <c r="W88" s="1180"/>
      <c r="X88" s="1146"/>
      <c r="AA88" s="1176"/>
    </row>
    <row r="89" spans="1:27" s="1131" customFormat="1" ht="15" customHeight="1">
      <c r="A89" s="1134" t="s">
        <v>3905</v>
      </c>
      <c r="AA89" s="1159"/>
    </row>
    <row r="90" spans="1:27" s="1131" customFormat="1" ht="15" customHeight="1">
      <c r="B90" s="1353" t="str">
        <f>cst_wskakunin_P3_SONOTA</f>
        <v/>
      </c>
      <c r="C90" s="1354"/>
      <c r="D90" s="1354"/>
      <c r="E90" s="1354"/>
      <c r="F90" s="1354"/>
      <c r="G90" s="1354"/>
      <c r="H90" s="1354"/>
      <c r="I90" s="1354"/>
      <c r="J90" s="1354"/>
      <c r="K90" s="1354"/>
      <c r="L90" s="1354"/>
      <c r="M90" s="1354"/>
      <c r="N90" s="1354"/>
      <c r="O90" s="1354"/>
      <c r="P90" s="1354"/>
      <c r="Q90" s="1354"/>
      <c r="R90" s="1354"/>
      <c r="S90" s="1354"/>
      <c r="T90" s="1354"/>
      <c r="U90" s="1354"/>
      <c r="V90" s="1354"/>
      <c r="W90" s="1354"/>
      <c r="X90" s="1354"/>
    </row>
    <row r="91" spans="1:27" s="1131" customFormat="1" ht="15" customHeight="1">
      <c r="B91" s="1355"/>
      <c r="C91" s="1355"/>
      <c r="D91" s="1355"/>
      <c r="E91" s="1355"/>
      <c r="F91" s="1355"/>
      <c r="G91" s="1355"/>
      <c r="H91" s="1355"/>
      <c r="I91" s="1355"/>
      <c r="J91" s="1355"/>
      <c r="K91" s="1355"/>
      <c r="L91" s="1355"/>
      <c r="M91" s="1355"/>
      <c r="N91" s="1355"/>
      <c r="O91" s="1355"/>
      <c r="P91" s="1355"/>
      <c r="Q91" s="1355"/>
      <c r="R91" s="1355"/>
      <c r="S91" s="1355"/>
      <c r="T91" s="1355"/>
      <c r="U91" s="1355"/>
      <c r="V91" s="1355"/>
      <c r="W91" s="1355"/>
      <c r="X91" s="1355"/>
    </row>
    <row r="92" spans="1:27" s="1131" customFormat="1" ht="15" customHeight="1">
      <c r="A92" s="1143" t="s">
        <v>3906</v>
      </c>
      <c r="B92" s="1144"/>
      <c r="C92" s="1144"/>
      <c r="D92" s="1144"/>
      <c r="E92" s="1144"/>
      <c r="F92" s="1144"/>
      <c r="G92" s="1144"/>
      <c r="H92" s="1144"/>
      <c r="I92" s="1144"/>
      <c r="J92" s="1144"/>
      <c r="K92" s="1144"/>
      <c r="L92" s="1144"/>
      <c r="M92" s="1144"/>
      <c r="N92" s="1144"/>
      <c r="O92" s="1144"/>
      <c r="P92" s="1144"/>
      <c r="Q92" s="1144"/>
      <c r="R92" s="1144"/>
      <c r="S92" s="1144"/>
      <c r="T92" s="1144"/>
      <c r="U92" s="1144"/>
      <c r="V92" s="1144"/>
      <c r="W92" s="1144"/>
      <c r="X92" s="1144"/>
    </row>
    <row r="93" spans="1:27" s="1131" customFormat="1" ht="15" customHeight="1">
      <c r="B93" s="1353" t="str">
        <f>cst_wskakunin_P3_BIKOU</f>
        <v/>
      </c>
      <c r="C93" s="1354"/>
      <c r="D93" s="1354"/>
      <c r="E93" s="1354"/>
      <c r="F93" s="1354"/>
      <c r="G93" s="1354"/>
      <c r="H93" s="1354"/>
      <c r="I93" s="1354"/>
      <c r="J93" s="1354"/>
      <c r="K93" s="1354"/>
      <c r="L93" s="1354"/>
      <c r="M93" s="1354"/>
      <c r="N93" s="1354"/>
      <c r="O93" s="1354"/>
      <c r="P93" s="1354"/>
      <c r="Q93" s="1354"/>
      <c r="R93" s="1354"/>
      <c r="S93" s="1354"/>
      <c r="T93" s="1354"/>
      <c r="U93" s="1354"/>
      <c r="V93" s="1354"/>
      <c r="W93" s="1354"/>
      <c r="X93" s="1354"/>
    </row>
    <row r="94" spans="1:27" s="1131" customFormat="1" ht="15" customHeight="1">
      <c r="B94" s="1354"/>
      <c r="C94" s="1354"/>
      <c r="D94" s="1354"/>
      <c r="E94" s="1354"/>
      <c r="F94" s="1354"/>
      <c r="G94" s="1354"/>
      <c r="H94" s="1354"/>
      <c r="I94" s="1354"/>
      <c r="J94" s="1354"/>
      <c r="K94" s="1354"/>
      <c r="L94" s="1354"/>
      <c r="M94" s="1354"/>
      <c r="N94" s="1354"/>
      <c r="O94" s="1354"/>
      <c r="P94" s="1354"/>
      <c r="Q94" s="1354"/>
      <c r="R94" s="1354"/>
      <c r="S94" s="1354"/>
      <c r="T94" s="1354"/>
      <c r="U94" s="1354"/>
      <c r="V94" s="1354"/>
      <c r="W94" s="1354"/>
      <c r="X94" s="1354"/>
    </row>
    <row r="95" spans="1:27" s="1131" customFormat="1" ht="15" customHeight="1">
      <c r="A95" s="1145"/>
      <c r="B95" s="1355"/>
      <c r="C95" s="1355"/>
      <c r="D95" s="1355"/>
      <c r="E95" s="1355"/>
      <c r="F95" s="1355"/>
      <c r="G95" s="1355"/>
      <c r="H95" s="1355"/>
      <c r="I95" s="1355"/>
      <c r="J95" s="1355"/>
      <c r="K95" s="1355"/>
      <c r="L95" s="1355"/>
      <c r="M95" s="1355"/>
      <c r="N95" s="1355"/>
      <c r="O95" s="1355"/>
      <c r="P95" s="1355"/>
      <c r="Q95" s="1355"/>
      <c r="R95" s="1355"/>
      <c r="S95" s="1355"/>
      <c r="T95" s="1355"/>
      <c r="U95" s="1355"/>
      <c r="V95" s="1355"/>
      <c r="W95" s="1355"/>
      <c r="X95" s="1355"/>
      <c r="Y95" s="1182" t="s">
        <v>3811</v>
      </c>
    </row>
    <row r="96" spans="1:27" s="1131" customFormat="1" ht="15" customHeight="1"/>
    <row r="97" spans="1:27" s="1131" customFormat="1" ht="15" customHeight="1"/>
    <row r="98" spans="1:27" s="1131" customFormat="1" ht="15" customHeight="1"/>
    <row r="99" spans="1:27" s="1131" customFormat="1" ht="15" customHeight="1"/>
    <row r="100" spans="1:27" s="1131" customFormat="1" ht="15" customHeight="1"/>
    <row r="101" spans="1:27" s="1131" customFormat="1" ht="15" customHeight="1"/>
    <row r="102" spans="1:27" s="1131" customFormat="1" ht="15" customHeight="1"/>
    <row r="103" spans="1:27" s="1131" customFormat="1" ht="15" customHeight="1"/>
    <row r="104" spans="1:27" s="1131" customFormat="1" ht="15" customHeight="1">
      <c r="Z104" s="1183"/>
      <c r="AA104" s="1183"/>
    </row>
    <row r="105" spans="1:27" s="1131" customFormat="1" ht="15" customHeight="1">
      <c r="Z105" s="1183"/>
      <c r="AA105" s="1183"/>
    </row>
    <row r="106" spans="1:27">
      <c r="A106" s="1184"/>
      <c r="B106" s="1184"/>
      <c r="C106" s="1184"/>
      <c r="D106" s="1184"/>
      <c r="E106" s="1184"/>
      <c r="F106" s="1184"/>
      <c r="G106" s="1184"/>
      <c r="H106" s="1184"/>
      <c r="I106" s="1184"/>
      <c r="J106" s="1184"/>
      <c r="K106" s="1184"/>
      <c r="L106" s="1184"/>
      <c r="M106" s="1184"/>
      <c r="N106" s="1184"/>
      <c r="O106" s="1184"/>
      <c r="P106" s="1184"/>
      <c r="Q106" s="1184"/>
      <c r="R106" s="1184"/>
      <c r="S106" s="1184"/>
      <c r="T106" s="1184"/>
      <c r="U106" s="1184"/>
      <c r="V106" s="1184"/>
      <c r="W106" s="1184"/>
      <c r="X106" s="1184"/>
    </row>
    <row r="107" spans="1:27">
      <c r="A107" s="1184"/>
      <c r="B107" s="1184"/>
      <c r="C107" s="1184"/>
      <c r="D107" s="1184"/>
      <c r="E107" s="1184"/>
      <c r="F107" s="1184"/>
      <c r="G107" s="1184"/>
      <c r="H107" s="1184"/>
      <c r="I107" s="1184"/>
      <c r="J107" s="1184"/>
      <c r="K107" s="1184"/>
      <c r="L107" s="1184"/>
      <c r="M107" s="1184"/>
      <c r="N107" s="1184"/>
      <c r="O107" s="1184"/>
      <c r="P107" s="1184"/>
      <c r="Q107" s="1184"/>
      <c r="R107" s="1184"/>
      <c r="S107" s="1184"/>
      <c r="T107" s="1184"/>
      <c r="U107" s="1184"/>
      <c r="V107" s="1184"/>
      <c r="W107" s="1184"/>
      <c r="X107" s="1184"/>
    </row>
    <row r="108" spans="1:27">
      <c r="A108" s="1184"/>
      <c r="B108" s="1184"/>
      <c r="C108" s="1184"/>
      <c r="D108" s="1184"/>
      <c r="E108" s="1184"/>
      <c r="F108" s="1184"/>
      <c r="G108" s="1184"/>
      <c r="H108" s="1184"/>
      <c r="I108" s="1184"/>
      <c r="J108" s="1184"/>
      <c r="K108" s="1184"/>
      <c r="L108" s="1184"/>
      <c r="M108" s="1184"/>
      <c r="N108" s="1184"/>
      <c r="O108" s="1184"/>
      <c r="P108" s="1184"/>
      <c r="Q108" s="1184"/>
      <c r="R108" s="1184"/>
      <c r="S108" s="1184"/>
      <c r="T108" s="1184"/>
      <c r="U108" s="1184"/>
      <c r="V108" s="1184"/>
      <c r="W108" s="1184"/>
      <c r="X108" s="1184"/>
    </row>
  </sheetData>
  <sheetProtection formatCells="0"/>
  <mergeCells count="114">
    <mergeCell ref="L16:N16"/>
    <mergeCell ref="G18:J18"/>
    <mergeCell ref="K18:L18"/>
    <mergeCell ref="M18:P18"/>
    <mergeCell ref="Q18:R18"/>
    <mergeCell ref="S18:V18"/>
    <mergeCell ref="A1:X1"/>
    <mergeCell ref="E3:X3"/>
    <mergeCell ref="E4:X4"/>
    <mergeCell ref="V9:W9"/>
    <mergeCell ref="B10:X13"/>
    <mergeCell ref="L15:N15"/>
    <mergeCell ref="G19:J19"/>
    <mergeCell ref="K19:L19"/>
    <mergeCell ref="M19:P19"/>
    <mergeCell ref="Q19:R19"/>
    <mergeCell ref="S19:V19"/>
    <mergeCell ref="G20:J20"/>
    <mergeCell ref="K20:L20"/>
    <mergeCell ref="M20:P20"/>
    <mergeCell ref="Q20:R20"/>
    <mergeCell ref="S20:V20"/>
    <mergeCell ref="H25:J25"/>
    <mergeCell ref="H26:J26"/>
    <mergeCell ref="P27:R27"/>
    <mergeCell ref="P28:R28"/>
    <mergeCell ref="E29:X29"/>
    <mergeCell ref="G30:H30"/>
    <mergeCell ref="J30:V30"/>
    <mergeCell ref="G22:J22"/>
    <mergeCell ref="K22:L22"/>
    <mergeCell ref="M22:P22"/>
    <mergeCell ref="Q22:R22"/>
    <mergeCell ref="S22:V22"/>
    <mergeCell ref="G24:J24"/>
    <mergeCell ref="K24:L24"/>
    <mergeCell ref="M24:P24"/>
    <mergeCell ref="Q24:R24"/>
    <mergeCell ref="S24:V24"/>
    <mergeCell ref="J38:L38"/>
    <mergeCell ref="J40:L40"/>
    <mergeCell ref="O40:Q40"/>
    <mergeCell ref="T40:V40"/>
    <mergeCell ref="J42:L42"/>
    <mergeCell ref="O42:Q42"/>
    <mergeCell ref="T42:V42"/>
    <mergeCell ref="J31:V31"/>
    <mergeCell ref="J35:L35"/>
    <mergeCell ref="O35:Q35"/>
    <mergeCell ref="T35:V35"/>
    <mergeCell ref="J37:L37"/>
    <mergeCell ref="O37:Q37"/>
    <mergeCell ref="T37:V37"/>
    <mergeCell ref="J47:L47"/>
    <mergeCell ref="O47:Q47"/>
    <mergeCell ref="T47:V47"/>
    <mergeCell ref="J48:L48"/>
    <mergeCell ref="O48:Q48"/>
    <mergeCell ref="T48:V48"/>
    <mergeCell ref="J44:L44"/>
    <mergeCell ref="O44:Q44"/>
    <mergeCell ref="T44:V44"/>
    <mergeCell ref="J46:L46"/>
    <mergeCell ref="O46:Q46"/>
    <mergeCell ref="T46:V46"/>
    <mergeCell ref="B51:H51"/>
    <mergeCell ref="J51:L51"/>
    <mergeCell ref="O51:Q51"/>
    <mergeCell ref="T51:V51"/>
    <mergeCell ref="J52:L52"/>
    <mergeCell ref="O52:Q52"/>
    <mergeCell ref="T52:V52"/>
    <mergeCell ref="J49:L49"/>
    <mergeCell ref="O49:Q49"/>
    <mergeCell ref="T49:V49"/>
    <mergeCell ref="J50:L50"/>
    <mergeCell ref="O50:Q50"/>
    <mergeCell ref="T50:V50"/>
    <mergeCell ref="J55:L55"/>
    <mergeCell ref="O55:Q55"/>
    <mergeCell ref="T55:V55"/>
    <mergeCell ref="J56:L56"/>
    <mergeCell ref="O56:Q56"/>
    <mergeCell ref="T56:V56"/>
    <mergeCell ref="B53:H53"/>
    <mergeCell ref="J53:L53"/>
    <mergeCell ref="O53:Q53"/>
    <mergeCell ref="T53:V53"/>
    <mergeCell ref="J54:L54"/>
    <mergeCell ref="O54:Q54"/>
    <mergeCell ref="T54:V54"/>
    <mergeCell ref="I64:K64"/>
    <mergeCell ref="N64:P64"/>
    <mergeCell ref="I65:K65"/>
    <mergeCell ref="N65:P65"/>
    <mergeCell ref="F67:X67"/>
    <mergeCell ref="F68:X68"/>
    <mergeCell ref="J57:L57"/>
    <mergeCell ref="J58:L58"/>
    <mergeCell ref="U60:V60"/>
    <mergeCell ref="U61:V61"/>
    <mergeCell ref="I63:K63"/>
    <mergeCell ref="N63:P63"/>
    <mergeCell ref="E83:F83"/>
    <mergeCell ref="N83:W83"/>
    <mergeCell ref="B90:X91"/>
    <mergeCell ref="B93:X95"/>
    <mergeCell ref="B73:X77"/>
    <mergeCell ref="I78:J78"/>
    <mergeCell ref="I79:J79"/>
    <mergeCell ref="E81:F81"/>
    <mergeCell ref="N81:W81"/>
    <mergeCell ref="E82:F82"/>
    <mergeCell ref="N82:W82"/>
  </mergeCells>
  <phoneticPr fontId="122"/>
  <dataValidations count="6">
    <dataValidation type="list" allowBlank="1" showInputMessage="1" sqref="M20:P20 M65556:P65556 M131092:P131092 M196628:P196628 M262164:P262164 M327700:P327700 M393236:P393236 M458772:P458772 M524308:P524308 M589844:P589844 M655380:P655380 M720916:P720916 M786452:P786452 M851988:P851988 M917524:P917524 M983060:P983060 S20:V20 S65556:V65556 S131092:V131092 S196628:V196628 S262164:V262164 S327700:V327700 S393236:V393236 S458772:V458772 S524308:V524308 S589844:V589844 S655380:V655380 S720916:V720916 S786452:V786452 S851988:V851988 S917524:V917524 S983060:V983060 JI20:JL20 JI65556:JL65556 JI131092:JL131092 JI196628:JL196628 JI262164:JL262164 JI327700:JL327700 JI393236:JL393236 JI458772:JL458772 JI524308:JL524308 JI589844:JL589844 JI655380:JL655380 JI720916:JL720916 JI786452:JL786452 JI851988:JL851988 JI917524:JL917524 JI983060:JL983060 JO20:JR20 JO65556:JR65556 JO131092:JR131092 JO196628:JR196628 JO262164:JR262164 JO327700:JR327700 JO393236:JR393236 JO458772:JR458772 JO524308:JR524308 JO589844:JR589844 JO655380:JR655380 JO720916:JR720916 JO786452:JR786452 JO851988:JR851988 JO917524:JR917524 JO983060:JR983060 TE20:TH20 TE65556:TH65556 TE131092:TH131092 TE196628:TH196628 TE262164:TH262164 TE327700:TH327700 TE393236:TH393236 TE458772:TH458772 TE524308:TH524308 TE589844:TH589844 TE655380:TH655380 TE720916:TH720916 TE786452:TH786452 TE851988:TH851988 TE917524:TH917524 TE983060:TH983060 TK20:TN20 TK65556:TN65556 TK131092:TN131092 TK196628:TN196628 TK262164:TN262164 TK327700:TN327700 TK393236:TN393236 TK458772:TN458772 TK524308:TN524308 TK589844:TN589844 TK655380:TN655380 TK720916:TN720916 TK786452:TN786452 TK851988:TN851988 TK917524:TN917524 TK983060:TN983060 ADA20:ADD20 ADA65556:ADD65556 ADA131092:ADD131092 ADA196628:ADD196628 ADA262164:ADD262164 ADA327700:ADD327700 ADA393236:ADD393236 ADA458772:ADD458772 ADA524308:ADD524308 ADA589844:ADD589844 ADA655380:ADD655380 ADA720916:ADD720916 ADA786452:ADD786452 ADA851988:ADD851988 ADA917524:ADD917524 ADA983060:ADD983060 ADG20:ADJ20 ADG65556:ADJ65556 ADG131092:ADJ131092 ADG196628:ADJ196628 ADG262164:ADJ262164 ADG327700:ADJ327700 ADG393236:ADJ393236 ADG458772:ADJ458772 ADG524308:ADJ524308 ADG589844:ADJ589844 ADG655380:ADJ655380 ADG720916:ADJ720916 ADG786452:ADJ786452 ADG851988:ADJ851988 ADG917524:ADJ917524 ADG983060:ADJ983060 AMW20:AMZ20 AMW65556:AMZ65556 AMW131092:AMZ131092 AMW196628:AMZ196628 AMW262164:AMZ262164 AMW327700:AMZ327700 AMW393236:AMZ393236 AMW458772:AMZ458772 AMW524308:AMZ524308 AMW589844:AMZ589844 AMW655380:AMZ655380 AMW720916:AMZ720916 AMW786452:AMZ786452 AMW851988:AMZ851988 AMW917524:AMZ917524 AMW983060:AMZ983060 ANC20:ANF20 ANC65556:ANF65556 ANC131092:ANF131092 ANC196628:ANF196628 ANC262164:ANF262164 ANC327700:ANF327700 ANC393236:ANF393236 ANC458772:ANF458772 ANC524308:ANF524308 ANC589844:ANF589844 ANC655380:ANF655380 ANC720916:ANF720916 ANC786452:ANF786452 ANC851988:ANF851988 ANC917524:ANF917524 ANC983060:ANF983060 AWS20:AWV20 AWS65556:AWV65556 AWS131092:AWV131092 AWS196628:AWV196628 AWS262164:AWV262164 AWS327700:AWV327700 AWS393236:AWV393236 AWS458772:AWV458772 AWS524308:AWV524308 AWS589844:AWV589844 AWS655380:AWV655380 AWS720916:AWV720916 AWS786452:AWV786452 AWS851988:AWV851988 AWS917524:AWV917524 AWS983060:AWV983060 AWY20:AXB20 AWY65556:AXB65556 AWY131092:AXB131092 AWY196628:AXB196628 AWY262164:AXB262164 AWY327700:AXB327700 AWY393236:AXB393236 AWY458772:AXB458772 AWY524308:AXB524308 AWY589844:AXB589844 AWY655380:AXB655380 AWY720916:AXB720916 AWY786452:AXB786452 AWY851988:AXB851988 AWY917524:AXB917524 AWY983060:AXB983060 BGO20:BGR20 BGO65556:BGR65556 BGO131092:BGR131092 BGO196628:BGR196628 BGO262164:BGR262164 BGO327700:BGR327700 BGO393236:BGR393236 BGO458772:BGR458772 BGO524308:BGR524308 BGO589844:BGR589844 BGO655380:BGR655380 BGO720916:BGR720916 BGO786452:BGR786452 BGO851988:BGR851988 BGO917524:BGR917524 BGO983060:BGR983060 BGU20:BGX20 BGU65556:BGX65556 BGU131092:BGX131092 BGU196628:BGX196628 BGU262164:BGX262164 BGU327700:BGX327700 BGU393236:BGX393236 BGU458772:BGX458772 BGU524308:BGX524308 BGU589844:BGX589844 BGU655380:BGX655380 BGU720916:BGX720916 BGU786452:BGX786452 BGU851988:BGX851988 BGU917524:BGX917524 BGU983060:BGX983060 BQK20:BQN20 BQK65556:BQN65556 BQK131092:BQN131092 BQK196628:BQN196628 BQK262164:BQN262164 BQK327700:BQN327700 BQK393236:BQN393236 BQK458772:BQN458772 BQK524308:BQN524308 BQK589844:BQN589844 BQK655380:BQN655380 BQK720916:BQN720916 BQK786452:BQN786452 BQK851988:BQN851988 BQK917524:BQN917524 BQK983060:BQN983060 BQQ20:BQT20 BQQ65556:BQT65556 BQQ131092:BQT131092 BQQ196628:BQT196628 BQQ262164:BQT262164 BQQ327700:BQT327700 BQQ393236:BQT393236 BQQ458772:BQT458772 BQQ524308:BQT524308 BQQ589844:BQT589844 BQQ655380:BQT655380 BQQ720916:BQT720916 BQQ786452:BQT786452 BQQ851988:BQT851988 BQQ917524:BQT917524 BQQ983060:BQT983060 CAG20:CAJ20 CAG65556:CAJ65556 CAG131092:CAJ131092 CAG196628:CAJ196628 CAG262164:CAJ262164 CAG327700:CAJ327700 CAG393236:CAJ393236 CAG458772:CAJ458772 CAG524308:CAJ524308 CAG589844:CAJ589844 CAG655380:CAJ655380 CAG720916:CAJ720916 CAG786452:CAJ786452 CAG851988:CAJ851988 CAG917524:CAJ917524 CAG983060:CAJ983060 CAM20:CAP20 CAM65556:CAP65556 CAM131092:CAP131092 CAM196628:CAP196628 CAM262164:CAP262164 CAM327700:CAP327700 CAM393236:CAP393236 CAM458772:CAP458772 CAM524308:CAP524308 CAM589844:CAP589844 CAM655380:CAP655380 CAM720916:CAP720916 CAM786452:CAP786452 CAM851988:CAP851988 CAM917524:CAP917524 CAM983060:CAP983060 CKC20:CKF20 CKC65556:CKF65556 CKC131092:CKF131092 CKC196628:CKF196628 CKC262164:CKF262164 CKC327700:CKF327700 CKC393236:CKF393236 CKC458772:CKF458772 CKC524308:CKF524308 CKC589844:CKF589844 CKC655380:CKF655380 CKC720916:CKF720916 CKC786452:CKF786452 CKC851988:CKF851988 CKC917524:CKF917524 CKC983060:CKF983060 CKI20:CKL20 CKI65556:CKL65556 CKI131092:CKL131092 CKI196628:CKL196628 CKI262164:CKL262164 CKI327700:CKL327700 CKI393236:CKL393236 CKI458772:CKL458772 CKI524308:CKL524308 CKI589844:CKL589844 CKI655380:CKL655380 CKI720916:CKL720916 CKI786452:CKL786452 CKI851988:CKL851988 CKI917524:CKL917524 CKI983060:CKL983060 CTY20:CUB20 CTY65556:CUB65556 CTY131092:CUB131092 CTY196628:CUB196628 CTY262164:CUB262164 CTY327700:CUB327700 CTY393236:CUB393236 CTY458772:CUB458772 CTY524308:CUB524308 CTY589844:CUB589844 CTY655380:CUB655380 CTY720916:CUB720916 CTY786452:CUB786452 CTY851988:CUB851988 CTY917524:CUB917524 CTY983060:CUB983060 CUE20:CUH20 CUE65556:CUH65556 CUE131092:CUH131092 CUE196628:CUH196628 CUE262164:CUH262164 CUE327700:CUH327700 CUE393236:CUH393236 CUE458772:CUH458772 CUE524308:CUH524308 CUE589844:CUH589844 CUE655380:CUH655380 CUE720916:CUH720916 CUE786452:CUH786452 CUE851988:CUH851988 CUE917524:CUH917524 CUE983060:CUH983060 DDU20:DDX20 DDU65556:DDX65556 DDU131092:DDX131092 DDU196628:DDX196628 DDU262164:DDX262164 DDU327700:DDX327700 DDU393236:DDX393236 DDU458772:DDX458772 DDU524308:DDX524308 DDU589844:DDX589844 DDU655380:DDX655380 DDU720916:DDX720916 DDU786452:DDX786452 DDU851988:DDX851988 DDU917524:DDX917524 DDU983060:DDX983060 DEA20:DED20 DEA65556:DED65556 DEA131092:DED131092 DEA196628:DED196628 DEA262164:DED262164 DEA327700:DED327700 DEA393236:DED393236 DEA458772:DED458772 DEA524308:DED524308 DEA589844:DED589844 DEA655380:DED655380 DEA720916:DED720916 DEA786452:DED786452 DEA851988:DED851988 DEA917524:DED917524 DEA983060:DED983060 DNQ20:DNT20 DNQ65556:DNT65556 DNQ131092:DNT131092 DNQ196628:DNT196628 DNQ262164:DNT262164 DNQ327700:DNT327700 DNQ393236:DNT393236 DNQ458772:DNT458772 DNQ524308:DNT524308 DNQ589844:DNT589844 DNQ655380:DNT655380 DNQ720916:DNT720916 DNQ786452:DNT786452 DNQ851988:DNT851988 DNQ917524:DNT917524 DNQ983060:DNT983060 DNW20:DNZ20 DNW65556:DNZ65556 DNW131092:DNZ131092 DNW196628:DNZ196628 DNW262164:DNZ262164 DNW327700:DNZ327700 DNW393236:DNZ393236 DNW458772:DNZ458772 DNW524308:DNZ524308 DNW589844:DNZ589844 DNW655380:DNZ655380 DNW720916:DNZ720916 DNW786452:DNZ786452 DNW851988:DNZ851988 DNW917524:DNZ917524 DNW983060:DNZ983060 DXM20:DXP20 DXM65556:DXP65556 DXM131092:DXP131092 DXM196628:DXP196628 DXM262164:DXP262164 DXM327700:DXP327700 DXM393236:DXP393236 DXM458772:DXP458772 DXM524308:DXP524308 DXM589844:DXP589844 DXM655380:DXP655380 DXM720916:DXP720916 DXM786452:DXP786452 DXM851988:DXP851988 DXM917524:DXP917524 DXM983060:DXP983060 DXS20:DXV20 DXS65556:DXV65556 DXS131092:DXV131092 DXS196628:DXV196628 DXS262164:DXV262164 DXS327700:DXV327700 DXS393236:DXV393236 DXS458772:DXV458772 DXS524308:DXV524308 DXS589844:DXV589844 DXS655380:DXV655380 DXS720916:DXV720916 DXS786452:DXV786452 DXS851988:DXV851988 DXS917524:DXV917524 DXS983060:DXV983060 EHI20:EHL20 EHI65556:EHL65556 EHI131092:EHL131092 EHI196628:EHL196628 EHI262164:EHL262164 EHI327700:EHL327700 EHI393236:EHL393236 EHI458772:EHL458772 EHI524308:EHL524308 EHI589844:EHL589844 EHI655380:EHL655380 EHI720916:EHL720916 EHI786452:EHL786452 EHI851988:EHL851988 EHI917524:EHL917524 EHI983060:EHL983060 EHO20:EHR20 EHO65556:EHR65556 EHO131092:EHR131092 EHO196628:EHR196628 EHO262164:EHR262164 EHO327700:EHR327700 EHO393236:EHR393236 EHO458772:EHR458772 EHO524308:EHR524308 EHO589844:EHR589844 EHO655380:EHR655380 EHO720916:EHR720916 EHO786452:EHR786452 EHO851988:EHR851988 EHO917524:EHR917524 EHO983060:EHR983060 ERE20:ERH20 ERE65556:ERH65556 ERE131092:ERH131092 ERE196628:ERH196628 ERE262164:ERH262164 ERE327700:ERH327700 ERE393236:ERH393236 ERE458772:ERH458772 ERE524308:ERH524308 ERE589844:ERH589844 ERE655380:ERH655380 ERE720916:ERH720916 ERE786452:ERH786452 ERE851988:ERH851988 ERE917524:ERH917524 ERE983060:ERH983060 ERK20:ERN20 ERK65556:ERN65556 ERK131092:ERN131092 ERK196628:ERN196628 ERK262164:ERN262164 ERK327700:ERN327700 ERK393236:ERN393236 ERK458772:ERN458772 ERK524308:ERN524308 ERK589844:ERN589844 ERK655380:ERN655380 ERK720916:ERN720916 ERK786452:ERN786452 ERK851988:ERN851988 ERK917524:ERN917524 ERK983060:ERN983060 FBA20:FBD20 FBA65556:FBD65556 FBA131092:FBD131092 FBA196628:FBD196628 FBA262164:FBD262164 FBA327700:FBD327700 FBA393236:FBD393236 FBA458772:FBD458772 FBA524308:FBD524308 FBA589844:FBD589844 FBA655380:FBD655380 FBA720916:FBD720916 FBA786452:FBD786452 FBA851988:FBD851988 FBA917524:FBD917524 FBA983060:FBD983060 FBG20:FBJ20 FBG65556:FBJ65556 FBG131092:FBJ131092 FBG196628:FBJ196628 FBG262164:FBJ262164 FBG327700:FBJ327700 FBG393236:FBJ393236 FBG458772:FBJ458772 FBG524308:FBJ524308 FBG589844:FBJ589844 FBG655380:FBJ655380 FBG720916:FBJ720916 FBG786452:FBJ786452 FBG851988:FBJ851988 FBG917524:FBJ917524 FBG983060:FBJ983060 FKW20:FKZ20 FKW65556:FKZ65556 FKW131092:FKZ131092 FKW196628:FKZ196628 FKW262164:FKZ262164 FKW327700:FKZ327700 FKW393236:FKZ393236 FKW458772:FKZ458772 FKW524308:FKZ524308 FKW589844:FKZ589844 FKW655380:FKZ655380 FKW720916:FKZ720916 FKW786452:FKZ786452 FKW851988:FKZ851988 FKW917524:FKZ917524 FKW983060:FKZ983060 FLC20:FLF20 FLC65556:FLF65556 FLC131092:FLF131092 FLC196628:FLF196628 FLC262164:FLF262164 FLC327700:FLF327700 FLC393236:FLF393236 FLC458772:FLF458772 FLC524308:FLF524308 FLC589844:FLF589844 FLC655380:FLF655380 FLC720916:FLF720916 FLC786452:FLF786452 FLC851988:FLF851988 FLC917524:FLF917524 FLC983060:FLF983060 FUS20:FUV20 FUS65556:FUV65556 FUS131092:FUV131092 FUS196628:FUV196628 FUS262164:FUV262164 FUS327700:FUV327700 FUS393236:FUV393236 FUS458772:FUV458772 FUS524308:FUV524308 FUS589844:FUV589844 FUS655380:FUV655380 FUS720916:FUV720916 FUS786452:FUV786452 FUS851988:FUV851988 FUS917524:FUV917524 FUS983060:FUV983060 FUY20:FVB20 FUY65556:FVB65556 FUY131092:FVB131092 FUY196628:FVB196628 FUY262164:FVB262164 FUY327700:FVB327700 FUY393236:FVB393236 FUY458772:FVB458772 FUY524308:FVB524308 FUY589844:FVB589844 FUY655380:FVB655380 FUY720916:FVB720916 FUY786452:FVB786452 FUY851988:FVB851988 FUY917524:FVB917524 FUY983060:FVB983060 GEO20:GER20 GEO65556:GER65556 GEO131092:GER131092 GEO196628:GER196628 GEO262164:GER262164 GEO327700:GER327700 GEO393236:GER393236 GEO458772:GER458772 GEO524308:GER524308 GEO589844:GER589844 GEO655380:GER655380 GEO720916:GER720916 GEO786452:GER786452 GEO851988:GER851988 GEO917524:GER917524 GEO983060:GER983060 GEU20:GEX20 GEU65556:GEX65556 GEU131092:GEX131092 GEU196628:GEX196628 GEU262164:GEX262164 GEU327700:GEX327700 GEU393236:GEX393236 GEU458772:GEX458772 GEU524308:GEX524308 GEU589844:GEX589844 GEU655380:GEX655380 GEU720916:GEX720916 GEU786452:GEX786452 GEU851988:GEX851988 GEU917524:GEX917524 GEU983060:GEX983060 GOK20:GON20 GOK65556:GON65556 GOK131092:GON131092 GOK196628:GON196628 GOK262164:GON262164 GOK327700:GON327700 GOK393236:GON393236 GOK458772:GON458772 GOK524308:GON524308 GOK589844:GON589844 GOK655380:GON655380 GOK720916:GON720916 GOK786452:GON786452 GOK851988:GON851988 GOK917524:GON917524 GOK983060:GON983060 GOQ20:GOT20 GOQ65556:GOT65556 GOQ131092:GOT131092 GOQ196628:GOT196628 GOQ262164:GOT262164 GOQ327700:GOT327700 GOQ393236:GOT393236 GOQ458772:GOT458772 GOQ524308:GOT524308 GOQ589844:GOT589844 GOQ655380:GOT655380 GOQ720916:GOT720916 GOQ786452:GOT786452 GOQ851988:GOT851988 GOQ917524:GOT917524 GOQ983060:GOT983060 GYG20:GYJ20 GYG65556:GYJ65556 GYG131092:GYJ131092 GYG196628:GYJ196628 GYG262164:GYJ262164 GYG327700:GYJ327700 GYG393236:GYJ393236 GYG458772:GYJ458772 GYG524308:GYJ524308 GYG589844:GYJ589844 GYG655380:GYJ655380 GYG720916:GYJ720916 GYG786452:GYJ786452 GYG851988:GYJ851988 GYG917524:GYJ917524 GYG983060:GYJ983060 GYM20:GYP20 GYM65556:GYP65556 GYM131092:GYP131092 GYM196628:GYP196628 GYM262164:GYP262164 GYM327700:GYP327700 GYM393236:GYP393236 GYM458772:GYP458772 GYM524308:GYP524308 GYM589844:GYP589844 GYM655380:GYP655380 GYM720916:GYP720916 GYM786452:GYP786452 GYM851988:GYP851988 GYM917524:GYP917524 GYM983060:GYP983060 HIC20:HIF20 HIC65556:HIF65556 HIC131092:HIF131092 HIC196628:HIF196628 HIC262164:HIF262164 HIC327700:HIF327700 HIC393236:HIF393236 HIC458772:HIF458772 HIC524308:HIF524308 HIC589844:HIF589844 HIC655380:HIF655380 HIC720916:HIF720916 HIC786452:HIF786452 HIC851988:HIF851988 HIC917524:HIF917524 HIC983060:HIF983060 HII20:HIL20 HII65556:HIL65556 HII131092:HIL131092 HII196628:HIL196628 HII262164:HIL262164 HII327700:HIL327700 HII393236:HIL393236 HII458772:HIL458772 HII524308:HIL524308 HII589844:HIL589844 HII655380:HIL655380 HII720916:HIL720916 HII786452:HIL786452 HII851988:HIL851988 HII917524:HIL917524 HII983060:HIL983060 HRY20:HSB20 HRY65556:HSB65556 HRY131092:HSB131092 HRY196628:HSB196628 HRY262164:HSB262164 HRY327700:HSB327700 HRY393236:HSB393236 HRY458772:HSB458772 HRY524308:HSB524308 HRY589844:HSB589844 HRY655380:HSB655380 HRY720916:HSB720916 HRY786452:HSB786452 HRY851988:HSB851988 HRY917524:HSB917524 HRY983060:HSB983060 HSE20:HSH20 HSE65556:HSH65556 HSE131092:HSH131092 HSE196628:HSH196628 HSE262164:HSH262164 HSE327700:HSH327700 HSE393236:HSH393236 HSE458772:HSH458772 HSE524308:HSH524308 HSE589844:HSH589844 HSE655380:HSH655380 HSE720916:HSH720916 HSE786452:HSH786452 HSE851988:HSH851988 HSE917524:HSH917524 HSE983060:HSH983060 IBU20:IBX20 IBU65556:IBX65556 IBU131092:IBX131092 IBU196628:IBX196628 IBU262164:IBX262164 IBU327700:IBX327700 IBU393236:IBX393236 IBU458772:IBX458772 IBU524308:IBX524308 IBU589844:IBX589844 IBU655380:IBX655380 IBU720916:IBX720916 IBU786452:IBX786452 IBU851988:IBX851988 IBU917524:IBX917524 IBU983060:IBX983060 ICA20:ICD20 ICA65556:ICD65556 ICA131092:ICD131092 ICA196628:ICD196628 ICA262164:ICD262164 ICA327700:ICD327700 ICA393236:ICD393236 ICA458772:ICD458772 ICA524308:ICD524308 ICA589844:ICD589844 ICA655380:ICD655380 ICA720916:ICD720916 ICA786452:ICD786452 ICA851988:ICD851988 ICA917524:ICD917524 ICA983060:ICD983060 ILQ20:ILT20 ILQ65556:ILT65556 ILQ131092:ILT131092 ILQ196628:ILT196628 ILQ262164:ILT262164 ILQ327700:ILT327700 ILQ393236:ILT393236 ILQ458772:ILT458772 ILQ524308:ILT524308 ILQ589844:ILT589844 ILQ655380:ILT655380 ILQ720916:ILT720916 ILQ786452:ILT786452 ILQ851988:ILT851988 ILQ917524:ILT917524 ILQ983060:ILT983060 ILW20:ILZ20 ILW65556:ILZ65556 ILW131092:ILZ131092 ILW196628:ILZ196628 ILW262164:ILZ262164 ILW327700:ILZ327700 ILW393236:ILZ393236 ILW458772:ILZ458772 ILW524308:ILZ524308 ILW589844:ILZ589844 ILW655380:ILZ655380 ILW720916:ILZ720916 ILW786452:ILZ786452 ILW851988:ILZ851988 ILW917524:ILZ917524 ILW983060:ILZ983060 IVM20:IVP20 IVM65556:IVP65556 IVM131092:IVP131092 IVM196628:IVP196628 IVM262164:IVP262164 IVM327700:IVP327700 IVM393236:IVP393236 IVM458772:IVP458772 IVM524308:IVP524308 IVM589844:IVP589844 IVM655380:IVP655380 IVM720916:IVP720916 IVM786452:IVP786452 IVM851988:IVP851988 IVM917524:IVP917524 IVM983060:IVP983060 IVS20:IVV20 IVS65556:IVV65556 IVS131092:IVV131092 IVS196628:IVV196628 IVS262164:IVV262164 IVS327700:IVV327700 IVS393236:IVV393236 IVS458772:IVV458772 IVS524308:IVV524308 IVS589844:IVV589844 IVS655380:IVV655380 IVS720916:IVV720916 IVS786452:IVV786452 IVS851988:IVV851988 IVS917524:IVV917524 IVS983060:IVV983060 JFI20:JFL20 JFI65556:JFL65556 JFI131092:JFL131092 JFI196628:JFL196628 JFI262164:JFL262164 JFI327700:JFL327700 JFI393236:JFL393236 JFI458772:JFL458772 JFI524308:JFL524308 JFI589844:JFL589844 JFI655380:JFL655380 JFI720916:JFL720916 JFI786452:JFL786452 JFI851988:JFL851988 JFI917524:JFL917524 JFI983060:JFL983060 JFO20:JFR20 JFO65556:JFR65556 JFO131092:JFR131092 JFO196628:JFR196628 JFO262164:JFR262164 JFO327700:JFR327700 JFO393236:JFR393236 JFO458772:JFR458772 JFO524308:JFR524308 JFO589844:JFR589844 JFO655380:JFR655380 JFO720916:JFR720916 JFO786452:JFR786452 JFO851988:JFR851988 JFO917524:JFR917524 JFO983060:JFR983060 JPE20:JPH20 JPE65556:JPH65556 JPE131092:JPH131092 JPE196628:JPH196628 JPE262164:JPH262164 JPE327700:JPH327700 JPE393236:JPH393236 JPE458772:JPH458772 JPE524308:JPH524308 JPE589844:JPH589844 JPE655380:JPH655380 JPE720916:JPH720916 JPE786452:JPH786452 JPE851988:JPH851988 JPE917524:JPH917524 JPE983060:JPH983060 JPK20:JPN20 JPK65556:JPN65556 JPK131092:JPN131092 JPK196628:JPN196628 JPK262164:JPN262164 JPK327700:JPN327700 JPK393236:JPN393236 JPK458772:JPN458772 JPK524308:JPN524308 JPK589844:JPN589844 JPK655380:JPN655380 JPK720916:JPN720916 JPK786452:JPN786452 JPK851988:JPN851988 JPK917524:JPN917524 JPK983060:JPN983060 JZA20:JZD20 JZA65556:JZD65556 JZA131092:JZD131092 JZA196628:JZD196628 JZA262164:JZD262164 JZA327700:JZD327700 JZA393236:JZD393236 JZA458772:JZD458772 JZA524308:JZD524308 JZA589844:JZD589844 JZA655380:JZD655380 JZA720916:JZD720916 JZA786452:JZD786452 JZA851988:JZD851988 JZA917524:JZD917524 JZA983060:JZD983060 JZG20:JZJ20 JZG65556:JZJ65556 JZG131092:JZJ131092 JZG196628:JZJ196628 JZG262164:JZJ262164 JZG327700:JZJ327700 JZG393236:JZJ393236 JZG458772:JZJ458772 JZG524308:JZJ524308 JZG589844:JZJ589844 JZG655380:JZJ655380 JZG720916:JZJ720916 JZG786452:JZJ786452 JZG851988:JZJ851988 JZG917524:JZJ917524 JZG983060:JZJ983060 KIW20:KIZ20 KIW65556:KIZ65556 KIW131092:KIZ131092 KIW196628:KIZ196628 KIW262164:KIZ262164 KIW327700:KIZ327700 KIW393236:KIZ393236 KIW458772:KIZ458772 KIW524308:KIZ524308 KIW589844:KIZ589844 KIW655380:KIZ655380 KIW720916:KIZ720916 KIW786452:KIZ786452 KIW851988:KIZ851988 KIW917524:KIZ917524 KIW983060:KIZ983060 KJC20:KJF20 KJC65556:KJF65556 KJC131092:KJF131092 KJC196628:KJF196628 KJC262164:KJF262164 KJC327700:KJF327700 KJC393236:KJF393236 KJC458772:KJF458772 KJC524308:KJF524308 KJC589844:KJF589844 KJC655380:KJF655380 KJC720916:KJF720916 KJC786452:KJF786452 KJC851988:KJF851988 KJC917524:KJF917524 KJC983060:KJF983060 KSS20:KSV20 KSS65556:KSV65556 KSS131092:KSV131092 KSS196628:KSV196628 KSS262164:KSV262164 KSS327700:KSV327700 KSS393236:KSV393236 KSS458772:KSV458772 KSS524308:KSV524308 KSS589844:KSV589844 KSS655380:KSV655380 KSS720916:KSV720916 KSS786452:KSV786452 KSS851988:KSV851988 KSS917524:KSV917524 KSS983060:KSV983060 KSY20:KTB20 KSY65556:KTB65556 KSY131092:KTB131092 KSY196628:KTB196628 KSY262164:KTB262164 KSY327700:KTB327700 KSY393236:KTB393236 KSY458772:KTB458772 KSY524308:KTB524308 KSY589844:KTB589844 KSY655380:KTB655380 KSY720916:KTB720916 KSY786452:KTB786452 KSY851988:KTB851988 KSY917524:KTB917524 KSY983060:KTB983060 LCO20:LCR20 LCO65556:LCR65556 LCO131092:LCR131092 LCO196628:LCR196628 LCO262164:LCR262164 LCO327700:LCR327700 LCO393236:LCR393236 LCO458772:LCR458772 LCO524308:LCR524308 LCO589844:LCR589844 LCO655380:LCR655380 LCO720916:LCR720916 LCO786452:LCR786452 LCO851988:LCR851988 LCO917524:LCR917524 LCO983060:LCR983060 LCU20:LCX20 LCU65556:LCX65556 LCU131092:LCX131092 LCU196628:LCX196628 LCU262164:LCX262164 LCU327700:LCX327700 LCU393236:LCX393236 LCU458772:LCX458772 LCU524308:LCX524308 LCU589844:LCX589844 LCU655380:LCX655380 LCU720916:LCX720916 LCU786452:LCX786452 LCU851988:LCX851988 LCU917524:LCX917524 LCU983060:LCX983060 LMK20:LMN20 LMK65556:LMN65556 LMK131092:LMN131092 LMK196628:LMN196628 LMK262164:LMN262164 LMK327700:LMN327700 LMK393236:LMN393236 LMK458772:LMN458772 LMK524308:LMN524308 LMK589844:LMN589844 LMK655380:LMN655380 LMK720916:LMN720916 LMK786452:LMN786452 LMK851988:LMN851988 LMK917524:LMN917524 LMK983060:LMN983060 LMQ20:LMT20 LMQ65556:LMT65556 LMQ131092:LMT131092 LMQ196628:LMT196628 LMQ262164:LMT262164 LMQ327700:LMT327700 LMQ393236:LMT393236 LMQ458772:LMT458772 LMQ524308:LMT524308 LMQ589844:LMT589844 LMQ655380:LMT655380 LMQ720916:LMT720916 LMQ786452:LMT786452 LMQ851988:LMT851988 LMQ917524:LMT917524 LMQ983060:LMT983060 LWG20:LWJ20 LWG65556:LWJ65556 LWG131092:LWJ131092 LWG196628:LWJ196628 LWG262164:LWJ262164 LWG327700:LWJ327700 LWG393236:LWJ393236 LWG458772:LWJ458772 LWG524308:LWJ524308 LWG589844:LWJ589844 LWG655380:LWJ655380 LWG720916:LWJ720916 LWG786452:LWJ786452 LWG851988:LWJ851988 LWG917524:LWJ917524 LWG983060:LWJ983060 LWM20:LWP20 LWM65556:LWP65556 LWM131092:LWP131092 LWM196628:LWP196628 LWM262164:LWP262164 LWM327700:LWP327700 LWM393236:LWP393236 LWM458772:LWP458772 LWM524308:LWP524308 LWM589844:LWP589844 LWM655380:LWP655380 LWM720916:LWP720916 LWM786452:LWP786452 LWM851988:LWP851988 LWM917524:LWP917524 LWM983060:LWP983060 MGC20:MGF20 MGC65556:MGF65556 MGC131092:MGF131092 MGC196628:MGF196628 MGC262164:MGF262164 MGC327700:MGF327700 MGC393236:MGF393236 MGC458772:MGF458772 MGC524308:MGF524308 MGC589844:MGF589844 MGC655380:MGF655380 MGC720916:MGF720916 MGC786452:MGF786452 MGC851988:MGF851988 MGC917524:MGF917524 MGC983060:MGF983060 MGI20:MGL20 MGI65556:MGL65556 MGI131092:MGL131092 MGI196628:MGL196628 MGI262164:MGL262164 MGI327700:MGL327700 MGI393236:MGL393236 MGI458772:MGL458772 MGI524308:MGL524308 MGI589844:MGL589844 MGI655380:MGL655380 MGI720916:MGL720916 MGI786452:MGL786452 MGI851988:MGL851988 MGI917524:MGL917524 MGI983060:MGL983060 MPY20:MQB20 MPY65556:MQB65556 MPY131092:MQB131092 MPY196628:MQB196628 MPY262164:MQB262164 MPY327700:MQB327700 MPY393236:MQB393236 MPY458772:MQB458772 MPY524308:MQB524308 MPY589844:MQB589844 MPY655380:MQB655380 MPY720916:MQB720916 MPY786452:MQB786452 MPY851988:MQB851988 MPY917524:MQB917524 MPY983060:MQB983060 MQE20:MQH20 MQE65556:MQH65556 MQE131092:MQH131092 MQE196628:MQH196628 MQE262164:MQH262164 MQE327700:MQH327700 MQE393236:MQH393236 MQE458772:MQH458772 MQE524308:MQH524308 MQE589844:MQH589844 MQE655380:MQH655380 MQE720916:MQH720916 MQE786452:MQH786452 MQE851988:MQH851988 MQE917524:MQH917524 MQE983060:MQH983060 MZU20:MZX20 MZU65556:MZX65556 MZU131092:MZX131092 MZU196628:MZX196628 MZU262164:MZX262164 MZU327700:MZX327700 MZU393236:MZX393236 MZU458772:MZX458772 MZU524308:MZX524308 MZU589844:MZX589844 MZU655380:MZX655380 MZU720916:MZX720916 MZU786452:MZX786452 MZU851988:MZX851988 MZU917524:MZX917524 MZU983060:MZX983060 NAA20:NAD20 NAA65556:NAD65556 NAA131092:NAD131092 NAA196628:NAD196628 NAA262164:NAD262164 NAA327700:NAD327700 NAA393236:NAD393236 NAA458772:NAD458772 NAA524308:NAD524308 NAA589844:NAD589844 NAA655380:NAD655380 NAA720916:NAD720916 NAA786452:NAD786452 NAA851988:NAD851988 NAA917524:NAD917524 NAA983060:NAD983060 NJQ20:NJT20 NJQ65556:NJT65556 NJQ131092:NJT131092 NJQ196628:NJT196628 NJQ262164:NJT262164 NJQ327700:NJT327700 NJQ393236:NJT393236 NJQ458772:NJT458772 NJQ524308:NJT524308 NJQ589844:NJT589844 NJQ655380:NJT655380 NJQ720916:NJT720916 NJQ786452:NJT786452 NJQ851988:NJT851988 NJQ917524:NJT917524 NJQ983060:NJT983060 NJW20:NJZ20 NJW65556:NJZ65556 NJW131092:NJZ131092 NJW196628:NJZ196628 NJW262164:NJZ262164 NJW327700:NJZ327700 NJW393236:NJZ393236 NJW458772:NJZ458772 NJW524308:NJZ524308 NJW589844:NJZ589844 NJW655380:NJZ655380 NJW720916:NJZ720916 NJW786452:NJZ786452 NJW851988:NJZ851988 NJW917524:NJZ917524 NJW983060:NJZ983060 NTM20:NTP20 NTM65556:NTP65556 NTM131092:NTP131092 NTM196628:NTP196628 NTM262164:NTP262164 NTM327700:NTP327700 NTM393236:NTP393236 NTM458772:NTP458772 NTM524308:NTP524308 NTM589844:NTP589844 NTM655380:NTP655380 NTM720916:NTP720916 NTM786452:NTP786452 NTM851988:NTP851988 NTM917524:NTP917524 NTM983060:NTP983060 NTS20:NTV20 NTS65556:NTV65556 NTS131092:NTV131092 NTS196628:NTV196628 NTS262164:NTV262164 NTS327700:NTV327700 NTS393236:NTV393236 NTS458772:NTV458772 NTS524308:NTV524308 NTS589844:NTV589844 NTS655380:NTV655380 NTS720916:NTV720916 NTS786452:NTV786452 NTS851988:NTV851988 NTS917524:NTV917524 NTS983060:NTV983060 ODI20:ODL20 ODI65556:ODL65556 ODI131092:ODL131092 ODI196628:ODL196628 ODI262164:ODL262164 ODI327700:ODL327700 ODI393236:ODL393236 ODI458772:ODL458772 ODI524308:ODL524308 ODI589844:ODL589844 ODI655380:ODL655380 ODI720916:ODL720916 ODI786452:ODL786452 ODI851988:ODL851988 ODI917524:ODL917524 ODI983060:ODL983060 ODO20:ODR20 ODO65556:ODR65556 ODO131092:ODR131092 ODO196628:ODR196628 ODO262164:ODR262164 ODO327700:ODR327700 ODO393236:ODR393236 ODO458772:ODR458772 ODO524308:ODR524308 ODO589844:ODR589844 ODO655380:ODR655380 ODO720916:ODR720916 ODO786452:ODR786452 ODO851988:ODR851988 ODO917524:ODR917524 ODO983060:ODR983060 ONE20:ONH20 ONE65556:ONH65556 ONE131092:ONH131092 ONE196628:ONH196628 ONE262164:ONH262164 ONE327700:ONH327700 ONE393236:ONH393236 ONE458772:ONH458772 ONE524308:ONH524308 ONE589844:ONH589844 ONE655380:ONH655380 ONE720916:ONH720916 ONE786452:ONH786452 ONE851988:ONH851988 ONE917524:ONH917524 ONE983060:ONH983060 ONK20:ONN20 ONK65556:ONN65556 ONK131092:ONN131092 ONK196628:ONN196628 ONK262164:ONN262164 ONK327700:ONN327700 ONK393236:ONN393236 ONK458772:ONN458772 ONK524308:ONN524308 ONK589844:ONN589844 ONK655380:ONN655380 ONK720916:ONN720916 ONK786452:ONN786452 ONK851988:ONN851988 ONK917524:ONN917524 ONK983060:ONN983060 OXA20:OXD20 OXA65556:OXD65556 OXA131092:OXD131092 OXA196628:OXD196628 OXA262164:OXD262164 OXA327700:OXD327700 OXA393236:OXD393236 OXA458772:OXD458772 OXA524308:OXD524308 OXA589844:OXD589844 OXA655380:OXD655380 OXA720916:OXD720916 OXA786452:OXD786452 OXA851988:OXD851988 OXA917524:OXD917524 OXA983060:OXD983060 OXG20:OXJ20 OXG65556:OXJ65556 OXG131092:OXJ131092 OXG196628:OXJ196628 OXG262164:OXJ262164 OXG327700:OXJ327700 OXG393236:OXJ393236 OXG458772:OXJ458772 OXG524308:OXJ524308 OXG589844:OXJ589844 OXG655380:OXJ655380 OXG720916:OXJ720916 OXG786452:OXJ786452 OXG851988:OXJ851988 OXG917524:OXJ917524 OXG983060:OXJ983060 PGW20:PGZ20 PGW65556:PGZ65556 PGW131092:PGZ131092 PGW196628:PGZ196628 PGW262164:PGZ262164 PGW327700:PGZ327700 PGW393236:PGZ393236 PGW458772:PGZ458772 PGW524308:PGZ524308 PGW589844:PGZ589844 PGW655380:PGZ655380 PGW720916:PGZ720916 PGW786452:PGZ786452 PGW851988:PGZ851988 PGW917524:PGZ917524 PGW983060:PGZ983060 PHC20:PHF20 PHC65556:PHF65556 PHC131092:PHF131092 PHC196628:PHF196628 PHC262164:PHF262164 PHC327700:PHF327700 PHC393236:PHF393236 PHC458772:PHF458772 PHC524308:PHF524308 PHC589844:PHF589844 PHC655380:PHF655380 PHC720916:PHF720916 PHC786452:PHF786452 PHC851988:PHF851988 PHC917524:PHF917524 PHC983060:PHF983060 PQS20:PQV20 PQS65556:PQV65556 PQS131092:PQV131092 PQS196628:PQV196628 PQS262164:PQV262164 PQS327700:PQV327700 PQS393236:PQV393236 PQS458772:PQV458772 PQS524308:PQV524308 PQS589844:PQV589844 PQS655380:PQV655380 PQS720916:PQV720916 PQS786452:PQV786452 PQS851988:PQV851988 PQS917524:PQV917524 PQS983060:PQV983060 PQY20:PRB20 PQY65556:PRB65556 PQY131092:PRB131092 PQY196628:PRB196628 PQY262164:PRB262164 PQY327700:PRB327700 PQY393236:PRB393236 PQY458772:PRB458772 PQY524308:PRB524308 PQY589844:PRB589844 PQY655380:PRB655380 PQY720916:PRB720916 PQY786452:PRB786452 PQY851988:PRB851988 PQY917524:PRB917524 PQY983060:PRB983060 QAO20:QAR20 QAO65556:QAR65556 QAO131092:QAR131092 QAO196628:QAR196628 QAO262164:QAR262164 QAO327700:QAR327700 QAO393236:QAR393236 QAO458772:QAR458772 QAO524308:QAR524308 QAO589844:QAR589844 QAO655380:QAR655380 QAO720916:QAR720916 QAO786452:QAR786452 QAO851988:QAR851988 QAO917524:QAR917524 QAO983060:QAR983060 QAU20:QAX20 QAU65556:QAX65556 QAU131092:QAX131092 QAU196628:QAX196628 QAU262164:QAX262164 QAU327700:QAX327700 QAU393236:QAX393236 QAU458772:QAX458772 QAU524308:QAX524308 QAU589844:QAX589844 QAU655380:QAX655380 QAU720916:QAX720916 QAU786452:QAX786452 QAU851988:QAX851988 QAU917524:QAX917524 QAU983060:QAX983060 QKK20:QKN20 QKK65556:QKN65556 QKK131092:QKN131092 QKK196628:QKN196628 QKK262164:QKN262164 QKK327700:QKN327700 QKK393236:QKN393236 QKK458772:QKN458772 QKK524308:QKN524308 QKK589844:QKN589844 QKK655380:QKN655380 QKK720916:QKN720916 QKK786452:QKN786452 QKK851988:QKN851988 QKK917524:QKN917524 QKK983060:QKN983060 QKQ20:QKT20 QKQ65556:QKT65556 QKQ131092:QKT131092 QKQ196628:QKT196628 QKQ262164:QKT262164 QKQ327700:QKT327700 QKQ393236:QKT393236 QKQ458772:QKT458772 QKQ524308:QKT524308 QKQ589844:QKT589844 QKQ655380:QKT655380 QKQ720916:QKT720916 QKQ786452:QKT786452 QKQ851988:QKT851988 QKQ917524:QKT917524 QKQ983060:QKT983060 QUG20:QUJ20 QUG65556:QUJ65556 QUG131092:QUJ131092 QUG196628:QUJ196628 QUG262164:QUJ262164 QUG327700:QUJ327700 QUG393236:QUJ393236 QUG458772:QUJ458772 QUG524308:QUJ524308 QUG589844:QUJ589844 QUG655380:QUJ655380 QUG720916:QUJ720916 QUG786452:QUJ786452 QUG851988:QUJ851988 QUG917524:QUJ917524 QUG983060:QUJ983060 QUM20:QUP20 QUM65556:QUP65556 QUM131092:QUP131092 QUM196628:QUP196628 QUM262164:QUP262164 QUM327700:QUP327700 QUM393236:QUP393236 QUM458772:QUP458772 QUM524308:QUP524308 QUM589844:QUP589844 QUM655380:QUP655380 QUM720916:QUP720916 QUM786452:QUP786452 QUM851988:QUP851988 QUM917524:QUP917524 QUM983060:QUP983060 REC20:REF20 REC65556:REF65556 REC131092:REF131092 REC196628:REF196628 REC262164:REF262164 REC327700:REF327700 REC393236:REF393236 REC458772:REF458772 REC524308:REF524308 REC589844:REF589844 REC655380:REF655380 REC720916:REF720916 REC786452:REF786452 REC851988:REF851988 REC917524:REF917524 REC983060:REF983060 REI20:REL20 REI65556:REL65556 REI131092:REL131092 REI196628:REL196628 REI262164:REL262164 REI327700:REL327700 REI393236:REL393236 REI458772:REL458772 REI524308:REL524308 REI589844:REL589844 REI655380:REL655380 REI720916:REL720916 REI786452:REL786452 REI851988:REL851988 REI917524:REL917524 REI983060:REL983060 RNY20:ROB20 RNY65556:ROB65556 RNY131092:ROB131092 RNY196628:ROB196628 RNY262164:ROB262164 RNY327700:ROB327700 RNY393236:ROB393236 RNY458772:ROB458772 RNY524308:ROB524308 RNY589844:ROB589844 RNY655380:ROB655380 RNY720916:ROB720916 RNY786452:ROB786452 RNY851988:ROB851988 RNY917524:ROB917524 RNY983060:ROB983060 ROE20:ROH20 ROE65556:ROH65556 ROE131092:ROH131092 ROE196628:ROH196628 ROE262164:ROH262164 ROE327700:ROH327700 ROE393236:ROH393236 ROE458772:ROH458772 ROE524308:ROH524308 ROE589844:ROH589844 ROE655380:ROH655380 ROE720916:ROH720916 ROE786452:ROH786452 ROE851988:ROH851988 ROE917524:ROH917524 ROE983060:ROH983060 RXU20:RXX20 RXU65556:RXX65556 RXU131092:RXX131092 RXU196628:RXX196628 RXU262164:RXX262164 RXU327700:RXX327700 RXU393236:RXX393236 RXU458772:RXX458772 RXU524308:RXX524308 RXU589844:RXX589844 RXU655380:RXX655380 RXU720916:RXX720916 RXU786452:RXX786452 RXU851988:RXX851988 RXU917524:RXX917524 RXU983060:RXX983060 RYA20:RYD20 RYA65556:RYD65556 RYA131092:RYD131092 RYA196628:RYD196628 RYA262164:RYD262164 RYA327700:RYD327700 RYA393236:RYD393236 RYA458772:RYD458772 RYA524308:RYD524308 RYA589844:RYD589844 RYA655380:RYD655380 RYA720916:RYD720916 RYA786452:RYD786452 RYA851988:RYD851988 RYA917524:RYD917524 RYA983060:RYD983060 SHQ20:SHT20 SHQ65556:SHT65556 SHQ131092:SHT131092 SHQ196628:SHT196628 SHQ262164:SHT262164 SHQ327700:SHT327700 SHQ393236:SHT393236 SHQ458772:SHT458772 SHQ524308:SHT524308 SHQ589844:SHT589844 SHQ655380:SHT655380 SHQ720916:SHT720916 SHQ786452:SHT786452 SHQ851988:SHT851988 SHQ917524:SHT917524 SHQ983060:SHT983060 SHW20:SHZ20 SHW65556:SHZ65556 SHW131092:SHZ131092 SHW196628:SHZ196628 SHW262164:SHZ262164 SHW327700:SHZ327700 SHW393236:SHZ393236 SHW458772:SHZ458772 SHW524308:SHZ524308 SHW589844:SHZ589844 SHW655380:SHZ655380 SHW720916:SHZ720916 SHW786452:SHZ786452 SHW851988:SHZ851988 SHW917524:SHZ917524 SHW983060:SHZ983060 SRM20:SRP20 SRM65556:SRP65556 SRM131092:SRP131092 SRM196628:SRP196628 SRM262164:SRP262164 SRM327700:SRP327700 SRM393236:SRP393236 SRM458772:SRP458772 SRM524308:SRP524308 SRM589844:SRP589844 SRM655380:SRP655380 SRM720916:SRP720916 SRM786452:SRP786452 SRM851988:SRP851988 SRM917524:SRP917524 SRM983060:SRP983060 SRS20:SRV20 SRS65556:SRV65556 SRS131092:SRV131092 SRS196628:SRV196628 SRS262164:SRV262164 SRS327700:SRV327700 SRS393236:SRV393236 SRS458772:SRV458772 SRS524308:SRV524308 SRS589844:SRV589844 SRS655380:SRV655380 SRS720916:SRV720916 SRS786452:SRV786452 SRS851988:SRV851988 SRS917524:SRV917524 SRS983060:SRV983060 TBI20:TBL20 TBI65556:TBL65556 TBI131092:TBL131092 TBI196628:TBL196628 TBI262164:TBL262164 TBI327700:TBL327700 TBI393236:TBL393236 TBI458772:TBL458772 TBI524308:TBL524308 TBI589844:TBL589844 TBI655380:TBL655380 TBI720916:TBL720916 TBI786452:TBL786452 TBI851988:TBL851988 TBI917524:TBL917524 TBI983060:TBL983060 TBO20:TBR20 TBO65556:TBR65556 TBO131092:TBR131092 TBO196628:TBR196628 TBO262164:TBR262164 TBO327700:TBR327700 TBO393236:TBR393236 TBO458772:TBR458772 TBO524308:TBR524308 TBO589844:TBR589844 TBO655380:TBR655380 TBO720916:TBR720916 TBO786452:TBR786452 TBO851988:TBR851988 TBO917524:TBR917524 TBO983060:TBR983060 TLE20:TLH20 TLE65556:TLH65556 TLE131092:TLH131092 TLE196628:TLH196628 TLE262164:TLH262164 TLE327700:TLH327700 TLE393236:TLH393236 TLE458772:TLH458772 TLE524308:TLH524308 TLE589844:TLH589844 TLE655380:TLH655380 TLE720916:TLH720916 TLE786452:TLH786452 TLE851988:TLH851988 TLE917524:TLH917524 TLE983060:TLH983060 TLK20:TLN20 TLK65556:TLN65556 TLK131092:TLN131092 TLK196628:TLN196628 TLK262164:TLN262164 TLK327700:TLN327700 TLK393236:TLN393236 TLK458772:TLN458772 TLK524308:TLN524308 TLK589844:TLN589844 TLK655380:TLN655380 TLK720916:TLN720916 TLK786452:TLN786452 TLK851988:TLN851988 TLK917524:TLN917524 TLK983060:TLN983060 TVA20:TVD20 TVA65556:TVD65556 TVA131092:TVD131092 TVA196628:TVD196628 TVA262164:TVD262164 TVA327700:TVD327700 TVA393236:TVD393236 TVA458772:TVD458772 TVA524308:TVD524308 TVA589844:TVD589844 TVA655380:TVD655380 TVA720916:TVD720916 TVA786452:TVD786452 TVA851988:TVD851988 TVA917524:TVD917524 TVA983060:TVD983060 TVG20:TVJ20 TVG65556:TVJ65556 TVG131092:TVJ131092 TVG196628:TVJ196628 TVG262164:TVJ262164 TVG327700:TVJ327700 TVG393236:TVJ393236 TVG458772:TVJ458772 TVG524308:TVJ524308 TVG589844:TVJ589844 TVG655380:TVJ655380 TVG720916:TVJ720916 TVG786452:TVJ786452 TVG851988:TVJ851988 TVG917524:TVJ917524 TVG983060:TVJ983060 UEW20:UEZ20 UEW65556:UEZ65556 UEW131092:UEZ131092 UEW196628:UEZ196628 UEW262164:UEZ262164 UEW327700:UEZ327700 UEW393236:UEZ393236 UEW458772:UEZ458772 UEW524308:UEZ524308 UEW589844:UEZ589844 UEW655380:UEZ655380 UEW720916:UEZ720916 UEW786452:UEZ786452 UEW851988:UEZ851988 UEW917524:UEZ917524 UEW983060:UEZ983060 UFC20:UFF20 UFC65556:UFF65556 UFC131092:UFF131092 UFC196628:UFF196628 UFC262164:UFF262164 UFC327700:UFF327700 UFC393236:UFF393236 UFC458772:UFF458772 UFC524308:UFF524308 UFC589844:UFF589844 UFC655380:UFF655380 UFC720916:UFF720916 UFC786452:UFF786452 UFC851988:UFF851988 UFC917524:UFF917524 UFC983060:UFF983060 UOS20:UOV20 UOS65556:UOV65556 UOS131092:UOV131092 UOS196628:UOV196628 UOS262164:UOV262164 UOS327700:UOV327700 UOS393236:UOV393236 UOS458772:UOV458772 UOS524308:UOV524308 UOS589844:UOV589844 UOS655380:UOV655380 UOS720916:UOV720916 UOS786452:UOV786452 UOS851988:UOV851988 UOS917524:UOV917524 UOS983060:UOV983060 UOY20:UPB20 UOY65556:UPB65556 UOY131092:UPB131092 UOY196628:UPB196628 UOY262164:UPB262164 UOY327700:UPB327700 UOY393236:UPB393236 UOY458772:UPB458772 UOY524308:UPB524308 UOY589844:UPB589844 UOY655380:UPB655380 UOY720916:UPB720916 UOY786452:UPB786452 UOY851988:UPB851988 UOY917524:UPB917524 UOY983060:UPB983060 UYO20:UYR20 UYO65556:UYR65556 UYO131092:UYR131092 UYO196628:UYR196628 UYO262164:UYR262164 UYO327700:UYR327700 UYO393236:UYR393236 UYO458772:UYR458772 UYO524308:UYR524308 UYO589844:UYR589844 UYO655380:UYR655380 UYO720916:UYR720916 UYO786452:UYR786452 UYO851988:UYR851988 UYO917524:UYR917524 UYO983060:UYR983060 UYU20:UYX20 UYU65556:UYX65556 UYU131092:UYX131092 UYU196628:UYX196628 UYU262164:UYX262164 UYU327700:UYX327700 UYU393236:UYX393236 UYU458772:UYX458772 UYU524308:UYX524308 UYU589844:UYX589844 UYU655380:UYX655380 UYU720916:UYX720916 UYU786452:UYX786452 UYU851988:UYX851988 UYU917524:UYX917524 UYU983060:UYX983060 VIK20:VIN20 VIK65556:VIN65556 VIK131092:VIN131092 VIK196628:VIN196628 VIK262164:VIN262164 VIK327700:VIN327700 VIK393236:VIN393236 VIK458772:VIN458772 VIK524308:VIN524308 VIK589844:VIN589844 VIK655380:VIN655380 VIK720916:VIN720916 VIK786452:VIN786452 VIK851988:VIN851988 VIK917524:VIN917524 VIK983060:VIN983060 VIQ20:VIT20 VIQ65556:VIT65556 VIQ131092:VIT131092 VIQ196628:VIT196628 VIQ262164:VIT262164 VIQ327700:VIT327700 VIQ393236:VIT393236 VIQ458772:VIT458772 VIQ524308:VIT524308 VIQ589844:VIT589844 VIQ655380:VIT655380 VIQ720916:VIT720916 VIQ786452:VIT786452 VIQ851988:VIT851988 VIQ917524:VIT917524 VIQ983060:VIT983060 VSG20:VSJ20 VSG65556:VSJ65556 VSG131092:VSJ131092 VSG196628:VSJ196628 VSG262164:VSJ262164 VSG327700:VSJ327700 VSG393236:VSJ393236 VSG458772:VSJ458772 VSG524308:VSJ524308 VSG589844:VSJ589844 VSG655380:VSJ655380 VSG720916:VSJ720916 VSG786452:VSJ786452 VSG851988:VSJ851988 VSG917524:VSJ917524 VSG983060:VSJ983060 VSM20:VSP20 VSM65556:VSP65556 VSM131092:VSP131092 VSM196628:VSP196628 VSM262164:VSP262164 VSM327700:VSP327700 VSM393236:VSP393236 VSM458772:VSP458772 VSM524308:VSP524308 VSM589844:VSP589844 VSM655380:VSP655380 VSM720916:VSP720916 VSM786452:VSP786452 VSM851988:VSP851988 VSM917524:VSP917524 VSM983060:VSP983060 WCC20:WCF20 WCC65556:WCF65556 WCC131092:WCF131092 WCC196628:WCF196628 WCC262164:WCF262164 WCC327700:WCF327700 WCC393236:WCF393236 WCC458772:WCF458772 WCC524308:WCF524308 WCC589844:WCF589844 WCC655380:WCF655380 WCC720916:WCF720916 WCC786452:WCF786452 WCC851988:WCF851988 WCC917524:WCF917524 WCC983060:WCF983060 WCI20:WCL20 WCI65556:WCL65556 WCI131092:WCL131092 WCI196628:WCL196628 WCI262164:WCL262164 WCI327700:WCL327700 WCI393236:WCL393236 WCI458772:WCL458772 WCI524308:WCL524308 WCI589844:WCL589844 WCI655380:WCL655380 WCI720916:WCL720916 WCI786452:WCL786452 WCI851988:WCL851988 WCI917524:WCL917524 WCI983060:WCL983060 WLY20:WMB20 WLY65556:WMB65556 WLY131092:WMB131092 WLY196628:WMB196628 WLY262164:WMB262164 WLY327700:WMB327700 WLY393236:WMB393236 WLY458772:WMB458772 WLY524308:WMB524308 WLY589844:WMB589844 WLY655380:WMB655380 WLY720916:WMB720916 WLY786452:WMB786452 WLY851988:WMB851988 WLY917524:WMB917524 WLY983060:WMB983060 WME20:WMH20 WME65556:WMH65556 WME131092:WMH131092 WME196628:WMH196628 WME262164:WMH262164 WME327700:WMH327700 WME393236:WMH393236 WME458772:WMH458772 WME524308:WMH524308 WME589844:WMH589844 WME655380:WMH655380 WME720916:WMH720916 WME786452:WMH786452 WME851988:WMH851988 WME917524:WMH917524 WME983060:WMH983060 WVU20:WVX20 WVU65556:WVX65556 WVU131092:WVX131092 WVU196628:WVX196628 WVU262164:WVX262164 WVU327700:WVX327700 WVU393236:WVX393236 WVU458772:WVX458772 WVU524308:WVX524308 WVU589844:WVX589844 WVU655380:WVX655380 WVU720916:WVX720916 WVU786452:WVX786452 WVU851988:WVX851988 WVU917524:WVX917524 WVU983060:WVX983060 WWA20:WWD20 WWA65556:WWD65556 WWA131092:WWD131092 WWA196628:WWD196628 WWA262164:WWD262164 WWA327700:WWD327700 WWA393236:WWD393236 WWA458772:WWD458772 WWA524308:WWD524308 WWA589844:WWD589844 WWA655380:WWD655380 WWA720916:WWD720916 WWA786452:WWD786452 WWA851988:WWD851988 WWA917524:WWD917524 WWA983060:WWD983060" xr:uid="{00000000-0002-0000-0C00-000000000000}">
      <formula1>用途地域</formula1>
    </dataValidation>
    <dataValidation type="list" allowBlank="1" showInputMessage="1" showErrorMessage="1" sqref="G20:J20 G65556:J65556 G131092:J131092 G196628:J196628 G262164:J262164 G327700:J327700 G393236:J393236 G458772:J458772 G524308:J524308 G589844:J589844 G655380:J655380 G720916:J720916 G786452:J786452 G851988:J851988 G917524:J917524 G983060:J983060 JC20:JF20 JC65556:JF65556 JC131092:JF131092 JC196628:JF196628 JC262164:JF262164 JC327700:JF327700 JC393236:JF393236 JC458772:JF458772 JC524308:JF524308 JC589844:JF589844 JC655380:JF655380 JC720916:JF720916 JC786452:JF786452 JC851988:JF851988 JC917524:JF917524 JC983060:JF983060 SY20:TB20 SY65556:TB65556 SY131092:TB131092 SY196628:TB196628 SY262164:TB262164 SY327700:TB327700 SY393236:TB393236 SY458772:TB458772 SY524308:TB524308 SY589844:TB589844 SY655380:TB655380 SY720916:TB720916 SY786452:TB786452 SY851988:TB851988 SY917524:TB917524 SY983060:TB983060 ACU20:ACX20 ACU65556:ACX65556 ACU131092:ACX131092 ACU196628:ACX196628 ACU262164:ACX262164 ACU327700:ACX327700 ACU393236:ACX393236 ACU458772:ACX458772 ACU524308:ACX524308 ACU589844:ACX589844 ACU655380:ACX655380 ACU720916:ACX720916 ACU786452:ACX786452 ACU851988:ACX851988 ACU917524:ACX917524 ACU983060:ACX983060 AMQ20:AMT20 AMQ65556:AMT65556 AMQ131092:AMT131092 AMQ196628:AMT196628 AMQ262164:AMT262164 AMQ327700:AMT327700 AMQ393236:AMT393236 AMQ458772:AMT458772 AMQ524308:AMT524308 AMQ589844:AMT589844 AMQ655380:AMT655380 AMQ720916:AMT720916 AMQ786452:AMT786452 AMQ851988:AMT851988 AMQ917524:AMT917524 AMQ983060:AMT983060 AWM20:AWP20 AWM65556:AWP65556 AWM131092:AWP131092 AWM196628:AWP196628 AWM262164:AWP262164 AWM327700:AWP327700 AWM393236:AWP393236 AWM458772:AWP458772 AWM524308:AWP524308 AWM589844:AWP589844 AWM655380:AWP655380 AWM720916:AWP720916 AWM786452:AWP786452 AWM851988:AWP851988 AWM917524:AWP917524 AWM983060:AWP983060 BGI20:BGL20 BGI65556:BGL65556 BGI131092:BGL131092 BGI196628:BGL196628 BGI262164:BGL262164 BGI327700:BGL327700 BGI393236:BGL393236 BGI458772:BGL458772 BGI524308:BGL524308 BGI589844:BGL589844 BGI655380:BGL655380 BGI720916:BGL720916 BGI786452:BGL786452 BGI851988:BGL851988 BGI917524:BGL917524 BGI983060:BGL983060 BQE20:BQH20 BQE65556:BQH65556 BQE131092:BQH131092 BQE196628:BQH196628 BQE262164:BQH262164 BQE327700:BQH327700 BQE393236:BQH393236 BQE458772:BQH458772 BQE524308:BQH524308 BQE589844:BQH589844 BQE655380:BQH655380 BQE720916:BQH720916 BQE786452:BQH786452 BQE851988:BQH851988 BQE917524:BQH917524 BQE983060:BQH983060 CAA20:CAD20 CAA65556:CAD65556 CAA131092:CAD131092 CAA196628:CAD196628 CAA262164:CAD262164 CAA327700:CAD327700 CAA393236:CAD393236 CAA458772:CAD458772 CAA524308:CAD524308 CAA589844:CAD589844 CAA655380:CAD655380 CAA720916:CAD720916 CAA786452:CAD786452 CAA851988:CAD851988 CAA917524:CAD917524 CAA983060:CAD983060 CJW20:CJZ20 CJW65556:CJZ65556 CJW131092:CJZ131092 CJW196628:CJZ196628 CJW262164:CJZ262164 CJW327700:CJZ327700 CJW393236:CJZ393236 CJW458772:CJZ458772 CJW524308:CJZ524308 CJW589844:CJZ589844 CJW655380:CJZ655380 CJW720916:CJZ720916 CJW786452:CJZ786452 CJW851988:CJZ851988 CJW917524:CJZ917524 CJW983060:CJZ983060 CTS20:CTV20 CTS65556:CTV65556 CTS131092:CTV131092 CTS196628:CTV196628 CTS262164:CTV262164 CTS327700:CTV327700 CTS393236:CTV393236 CTS458772:CTV458772 CTS524308:CTV524308 CTS589844:CTV589844 CTS655380:CTV655380 CTS720916:CTV720916 CTS786452:CTV786452 CTS851988:CTV851988 CTS917524:CTV917524 CTS983060:CTV983060 DDO20:DDR20 DDO65556:DDR65556 DDO131092:DDR131092 DDO196628:DDR196628 DDO262164:DDR262164 DDO327700:DDR327700 DDO393236:DDR393236 DDO458772:DDR458772 DDO524308:DDR524308 DDO589844:DDR589844 DDO655380:DDR655380 DDO720916:DDR720916 DDO786452:DDR786452 DDO851988:DDR851988 DDO917524:DDR917524 DDO983060:DDR983060 DNK20:DNN20 DNK65556:DNN65556 DNK131092:DNN131092 DNK196628:DNN196628 DNK262164:DNN262164 DNK327700:DNN327700 DNK393236:DNN393236 DNK458772:DNN458772 DNK524308:DNN524308 DNK589844:DNN589844 DNK655380:DNN655380 DNK720916:DNN720916 DNK786452:DNN786452 DNK851988:DNN851988 DNK917524:DNN917524 DNK983060:DNN983060 DXG20:DXJ20 DXG65556:DXJ65556 DXG131092:DXJ131092 DXG196628:DXJ196628 DXG262164:DXJ262164 DXG327700:DXJ327700 DXG393236:DXJ393236 DXG458772:DXJ458772 DXG524308:DXJ524308 DXG589844:DXJ589844 DXG655380:DXJ655380 DXG720916:DXJ720916 DXG786452:DXJ786452 DXG851988:DXJ851988 DXG917524:DXJ917524 DXG983060:DXJ983060 EHC20:EHF20 EHC65556:EHF65556 EHC131092:EHF131092 EHC196628:EHF196628 EHC262164:EHF262164 EHC327700:EHF327700 EHC393236:EHF393236 EHC458772:EHF458772 EHC524308:EHF524308 EHC589844:EHF589844 EHC655380:EHF655380 EHC720916:EHF720916 EHC786452:EHF786452 EHC851988:EHF851988 EHC917524:EHF917524 EHC983060:EHF983060 EQY20:ERB20 EQY65556:ERB65556 EQY131092:ERB131092 EQY196628:ERB196628 EQY262164:ERB262164 EQY327700:ERB327700 EQY393236:ERB393236 EQY458772:ERB458772 EQY524308:ERB524308 EQY589844:ERB589844 EQY655380:ERB655380 EQY720916:ERB720916 EQY786452:ERB786452 EQY851988:ERB851988 EQY917524:ERB917524 EQY983060:ERB983060 FAU20:FAX20 FAU65556:FAX65556 FAU131092:FAX131092 FAU196628:FAX196628 FAU262164:FAX262164 FAU327700:FAX327700 FAU393236:FAX393236 FAU458772:FAX458772 FAU524308:FAX524308 FAU589844:FAX589844 FAU655380:FAX655380 FAU720916:FAX720916 FAU786452:FAX786452 FAU851988:FAX851988 FAU917524:FAX917524 FAU983060:FAX983060 FKQ20:FKT20 FKQ65556:FKT65556 FKQ131092:FKT131092 FKQ196628:FKT196628 FKQ262164:FKT262164 FKQ327700:FKT327700 FKQ393236:FKT393236 FKQ458772:FKT458772 FKQ524308:FKT524308 FKQ589844:FKT589844 FKQ655380:FKT655380 FKQ720916:FKT720916 FKQ786452:FKT786452 FKQ851988:FKT851988 FKQ917524:FKT917524 FKQ983060:FKT983060 FUM20:FUP20 FUM65556:FUP65556 FUM131092:FUP131092 FUM196628:FUP196628 FUM262164:FUP262164 FUM327700:FUP327700 FUM393236:FUP393236 FUM458772:FUP458772 FUM524308:FUP524308 FUM589844:FUP589844 FUM655380:FUP655380 FUM720916:FUP720916 FUM786452:FUP786452 FUM851988:FUP851988 FUM917524:FUP917524 FUM983060:FUP983060 GEI20:GEL20 GEI65556:GEL65556 GEI131092:GEL131092 GEI196628:GEL196628 GEI262164:GEL262164 GEI327700:GEL327700 GEI393236:GEL393236 GEI458772:GEL458772 GEI524308:GEL524308 GEI589844:GEL589844 GEI655380:GEL655380 GEI720916:GEL720916 GEI786452:GEL786452 GEI851988:GEL851988 GEI917524:GEL917524 GEI983060:GEL983060 GOE20:GOH20 GOE65556:GOH65556 GOE131092:GOH131092 GOE196628:GOH196628 GOE262164:GOH262164 GOE327700:GOH327700 GOE393236:GOH393236 GOE458772:GOH458772 GOE524308:GOH524308 GOE589844:GOH589844 GOE655380:GOH655380 GOE720916:GOH720916 GOE786452:GOH786452 GOE851988:GOH851988 GOE917524:GOH917524 GOE983060:GOH983060 GYA20:GYD20 GYA65556:GYD65556 GYA131092:GYD131092 GYA196628:GYD196628 GYA262164:GYD262164 GYA327700:GYD327700 GYA393236:GYD393236 GYA458772:GYD458772 GYA524308:GYD524308 GYA589844:GYD589844 GYA655380:GYD655380 GYA720916:GYD720916 GYA786452:GYD786452 GYA851988:GYD851988 GYA917524:GYD917524 GYA983060:GYD983060 HHW20:HHZ20 HHW65556:HHZ65556 HHW131092:HHZ131092 HHW196628:HHZ196628 HHW262164:HHZ262164 HHW327700:HHZ327700 HHW393236:HHZ393236 HHW458772:HHZ458772 HHW524308:HHZ524308 HHW589844:HHZ589844 HHW655380:HHZ655380 HHW720916:HHZ720916 HHW786452:HHZ786452 HHW851988:HHZ851988 HHW917524:HHZ917524 HHW983060:HHZ983060 HRS20:HRV20 HRS65556:HRV65556 HRS131092:HRV131092 HRS196628:HRV196628 HRS262164:HRV262164 HRS327700:HRV327700 HRS393236:HRV393236 HRS458772:HRV458772 HRS524308:HRV524308 HRS589844:HRV589844 HRS655380:HRV655380 HRS720916:HRV720916 HRS786452:HRV786452 HRS851988:HRV851988 HRS917524:HRV917524 HRS983060:HRV983060 IBO20:IBR20 IBO65556:IBR65556 IBO131092:IBR131092 IBO196628:IBR196628 IBO262164:IBR262164 IBO327700:IBR327700 IBO393236:IBR393236 IBO458772:IBR458772 IBO524308:IBR524308 IBO589844:IBR589844 IBO655380:IBR655380 IBO720916:IBR720916 IBO786452:IBR786452 IBO851988:IBR851988 IBO917524:IBR917524 IBO983060:IBR983060 ILK20:ILN20 ILK65556:ILN65556 ILK131092:ILN131092 ILK196628:ILN196628 ILK262164:ILN262164 ILK327700:ILN327700 ILK393236:ILN393236 ILK458772:ILN458772 ILK524308:ILN524308 ILK589844:ILN589844 ILK655380:ILN655380 ILK720916:ILN720916 ILK786452:ILN786452 ILK851988:ILN851988 ILK917524:ILN917524 ILK983060:ILN983060 IVG20:IVJ20 IVG65556:IVJ65556 IVG131092:IVJ131092 IVG196628:IVJ196628 IVG262164:IVJ262164 IVG327700:IVJ327700 IVG393236:IVJ393236 IVG458772:IVJ458772 IVG524308:IVJ524308 IVG589844:IVJ589844 IVG655380:IVJ655380 IVG720916:IVJ720916 IVG786452:IVJ786452 IVG851988:IVJ851988 IVG917524:IVJ917524 IVG983060:IVJ983060 JFC20:JFF20 JFC65556:JFF65556 JFC131092:JFF131092 JFC196628:JFF196628 JFC262164:JFF262164 JFC327700:JFF327700 JFC393236:JFF393236 JFC458772:JFF458772 JFC524308:JFF524308 JFC589844:JFF589844 JFC655380:JFF655380 JFC720916:JFF720916 JFC786452:JFF786452 JFC851988:JFF851988 JFC917524:JFF917524 JFC983060:JFF983060 JOY20:JPB20 JOY65556:JPB65556 JOY131092:JPB131092 JOY196628:JPB196628 JOY262164:JPB262164 JOY327700:JPB327700 JOY393236:JPB393236 JOY458772:JPB458772 JOY524308:JPB524308 JOY589844:JPB589844 JOY655380:JPB655380 JOY720916:JPB720916 JOY786452:JPB786452 JOY851988:JPB851988 JOY917524:JPB917524 JOY983060:JPB983060 JYU20:JYX20 JYU65556:JYX65556 JYU131092:JYX131092 JYU196628:JYX196628 JYU262164:JYX262164 JYU327700:JYX327700 JYU393236:JYX393236 JYU458772:JYX458772 JYU524308:JYX524308 JYU589844:JYX589844 JYU655380:JYX655380 JYU720916:JYX720916 JYU786452:JYX786452 JYU851988:JYX851988 JYU917524:JYX917524 JYU983060:JYX983060 KIQ20:KIT20 KIQ65556:KIT65556 KIQ131092:KIT131092 KIQ196628:KIT196628 KIQ262164:KIT262164 KIQ327700:KIT327700 KIQ393236:KIT393236 KIQ458772:KIT458772 KIQ524308:KIT524308 KIQ589844:KIT589844 KIQ655380:KIT655380 KIQ720916:KIT720916 KIQ786452:KIT786452 KIQ851988:KIT851988 KIQ917524:KIT917524 KIQ983060:KIT983060 KSM20:KSP20 KSM65556:KSP65556 KSM131092:KSP131092 KSM196628:KSP196628 KSM262164:KSP262164 KSM327700:KSP327700 KSM393236:KSP393236 KSM458772:KSP458772 KSM524308:KSP524308 KSM589844:KSP589844 KSM655380:KSP655380 KSM720916:KSP720916 KSM786452:KSP786452 KSM851988:KSP851988 KSM917524:KSP917524 KSM983060:KSP983060 LCI20:LCL20 LCI65556:LCL65556 LCI131092:LCL131092 LCI196628:LCL196628 LCI262164:LCL262164 LCI327700:LCL327700 LCI393236:LCL393236 LCI458772:LCL458772 LCI524308:LCL524308 LCI589844:LCL589844 LCI655380:LCL655380 LCI720916:LCL720916 LCI786452:LCL786452 LCI851988:LCL851988 LCI917524:LCL917524 LCI983060:LCL983060 LME20:LMH20 LME65556:LMH65556 LME131092:LMH131092 LME196628:LMH196628 LME262164:LMH262164 LME327700:LMH327700 LME393236:LMH393236 LME458772:LMH458772 LME524308:LMH524308 LME589844:LMH589844 LME655380:LMH655380 LME720916:LMH720916 LME786452:LMH786452 LME851988:LMH851988 LME917524:LMH917524 LME983060:LMH983060 LWA20:LWD20 LWA65556:LWD65556 LWA131092:LWD131092 LWA196628:LWD196628 LWA262164:LWD262164 LWA327700:LWD327700 LWA393236:LWD393236 LWA458772:LWD458772 LWA524308:LWD524308 LWA589844:LWD589844 LWA655380:LWD655380 LWA720916:LWD720916 LWA786452:LWD786452 LWA851988:LWD851988 LWA917524:LWD917524 LWA983060:LWD983060 MFW20:MFZ20 MFW65556:MFZ65556 MFW131092:MFZ131092 MFW196628:MFZ196628 MFW262164:MFZ262164 MFW327700:MFZ327700 MFW393236:MFZ393236 MFW458772:MFZ458772 MFW524308:MFZ524308 MFW589844:MFZ589844 MFW655380:MFZ655380 MFW720916:MFZ720916 MFW786452:MFZ786452 MFW851988:MFZ851988 MFW917524:MFZ917524 MFW983060:MFZ983060 MPS20:MPV20 MPS65556:MPV65556 MPS131092:MPV131092 MPS196628:MPV196628 MPS262164:MPV262164 MPS327700:MPV327700 MPS393236:MPV393236 MPS458772:MPV458772 MPS524308:MPV524308 MPS589844:MPV589844 MPS655380:MPV655380 MPS720916:MPV720916 MPS786452:MPV786452 MPS851988:MPV851988 MPS917524:MPV917524 MPS983060:MPV983060 MZO20:MZR20 MZO65556:MZR65556 MZO131092:MZR131092 MZO196628:MZR196628 MZO262164:MZR262164 MZO327700:MZR327700 MZO393236:MZR393236 MZO458772:MZR458772 MZO524308:MZR524308 MZO589844:MZR589844 MZO655380:MZR655380 MZO720916:MZR720916 MZO786452:MZR786452 MZO851988:MZR851988 MZO917524:MZR917524 MZO983060:MZR983060 NJK20:NJN20 NJK65556:NJN65556 NJK131092:NJN131092 NJK196628:NJN196628 NJK262164:NJN262164 NJK327700:NJN327700 NJK393236:NJN393236 NJK458772:NJN458772 NJK524308:NJN524308 NJK589844:NJN589844 NJK655380:NJN655380 NJK720916:NJN720916 NJK786452:NJN786452 NJK851988:NJN851988 NJK917524:NJN917524 NJK983060:NJN983060 NTG20:NTJ20 NTG65556:NTJ65556 NTG131092:NTJ131092 NTG196628:NTJ196628 NTG262164:NTJ262164 NTG327700:NTJ327700 NTG393236:NTJ393236 NTG458772:NTJ458772 NTG524308:NTJ524308 NTG589844:NTJ589844 NTG655380:NTJ655380 NTG720916:NTJ720916 NTG786452:NTJ786452 NTG851988:NTJ851988 NTG917524:NTJ917524 NTG983060:NTJ983060 ODC20:ODF20 ODC65556:ODF65556 ODC131092:ODF131092 ODC196628:ODF196628 ODC262164:ODF262164 ODC327700:ODF327700 ODC393236:ODF393236 ODC458772:ODF458772 ODC524308:ODF524308 ODC589844:ODF589844 ODC655380:ODF655380 ODC720916:ODF720916 ODC786452:ODF786452 ODC851988:ODF851988 ODC917524:ODF917524 ODC983060:ODF983060 OMY20:ONB20 OMY65556:ONB65556 OMY131092:ONB131092 OMY196628:ONB196628 OMY262164:ONB262164 OMY327700:ONB327700 OMY393236:ONB393236 OMY458772:ONB458772 OMY524308:ONB524308 OMY589844:ONB589844 OMY655380:ONB655380 OMY720916:ONB720916 OMY786452:ONB786452 OMY851988:ONB851988 OMY917524:ONB917524 OMY983060:ONB983060 OWU20:OWX20 OWU65556:OWX65556 OWU131092:OWX131092 OWU196628:OWX196628 OWU262164:OWX262164 OWU327700:OWX327700 OWU393236:OWX393236 OWU458772:OWX458772 OWU524308:OWX524308 OWU589844:OWX589844 OWU655380:OWX655380 OWU720916:OWX720916 OWU786452:OWX786452 OWU851988:OWX851988 OWU917524:OWX917524 OWU983060:OWX983060 PGQ20:PGT20 PGQ65556:PGT65556 PGQ131092:PGT131092 PGQ196628:PGT196628 PGQ262164:PGT262164 PGQ327700:PGT327700 PGQ393236:PGT393236 PGQ458772:PGT458772 PGQ524308:PGT524308 PGQ589844:PGT589844 PGQ655380:PGT655380 PGQ720916:PGT720916 PGQ786452:PGT786452 PGQ851988:PGT851988 PGQ917524:PGT917524 PGQ983060:PGT983060 PQM20:PQP20 PQM65556:PQP65556 PQM131092:PQP131092 PQM196628:PQP196628 PQM262164:PQP262164 PQM327700:PQP327700 PQM393236:PQP393236 PQM458772:PQP458772 PQM524308:PQP524308 PQM589844:PQP589844 PQM655380:PQP655380 PQM720916:PQP720916 PQM786452:PQP786452 PQM851988:PQP851988 PQM917524:PQP917524 PQM983060:PQP983060 QAI20:QAL20 QAI65556:QAL65556 QAI131092:QAL131092 QAI196628:QAL196628 QAI262164:QAL262164 QAI327700:QAL327700 QAI393236:QAL393236 QAI458772:QAL458772 QAI524308:QAL524308 QAI589844:QAL589844 QAI655380:QAL655380 QAI720916:QAL720916 QAI786452:QAL786452 QAI851988:QAL851988 QAI917524:QAL917524 QAI983060:QAL983060 QKE20:QKH20 QKE65556:QKH65556 QKE131092:QKH131092 QKE196628:QKH196628 QKE262164:QKH262164 QKE327700:QKH327700 QKE393236:QKH393236 QKE458772:QKH458772 QKE524308:QKH524308 QKE589844:QKH589844 QKE655380:QKH655380 QKE720916:QKH720916 QKE786452:QKH786452 QKE851988:QKH851988 QKE917524:QKH917524 QKE983060:QKH983060 QUA20:QUD20 QUA65556:QUD65556 QUA131092:QUD131092 QUA196628:QUD196628 QUA262164:QUD262164 QUA327700:QUD327700 QUA393236:QUD393236 QUA458772:QUD458772 QUA524308:QUD524308 QUA589844:QUD589844 QUA655380:QUD655380 QUA720916:QUD720916 QUA786452:QUD786452 QUA851988:QUD851988 QUA917524:QUD917524 QUA983060:QUD983060 RDW20:RDZ20 RDW65556:RDZ65556 RDW131092:RDZ131092 RDW196628:RDZ196628 RDW262164:RDZ262164 RDW327700:RDZ327700 RDW393236:RDZ393236 RDW458772:RDZ458772 RDW524308:RDZ524308 RDW589844:RDZ589844 RDW655380:RDZ655380 RDW720916:RDZ720916 RDW786452:RDZ786452 RDW851988:RDZ851988 RDW917524:RDZ917524 RDW983060:RDZ983060 RNS20:RNV20 RNS65556:RNV65556 RNS131092:RNV131092 RNS196628:RNV196628 RNS262164:RNV262164 RNS327700:RNV327700 RNS393236:RNV393236 RNS458772:RNV458772 RNS524308:RNV524308 RNS589844:RNV589844 RNS655380:RNV655380 RNS720916:RNV720916 RNS786452:RNV786452 RNS851988:RNV851988 RNS917524:RNV917524 RNS983060:RNV983060 RXO20:RXR20 RXO65556:RXR65556 RXO131092:RXR131092 RXO196628:RXR196628 RXO262164:RXR262164 RXO327700:RXR327700 RXO393236:RXR393236 RXO458772:RXR458772 RXO524308:RXR524308 RXO589844:RXR589844 RXO655380:RXR655380 RXO720916:RXR720916 RXO786452:RXR786452 RXO851988:RXR851988 RXO917524:RXR917524 RXO983060:RXR983060 SHK20:SHN20 SHK65556:SHN65556 SHK131092:SHN131092 SHK196628:SHN196628 SHK262164:SHN262164 SHK327700:SHN327700 SHK393236:SHN393236 SHK458772:SHN458772 SHK524308:SHN524308 SHK589844:SHN589844 SHK655380:SHN655380 SHK720916:SHN720916 SHK786452:SHN786452 SHK851988:SHN851988 SHK917524:SHN917524 SHK983060:SHN983060 SRG20:SRJ20 SRG65556:SRJ65556 SRG131092:SRJ131092 SRG196628:SRJ196628 SRG262164:SRJ262164 SRG327700:SRJ327700 SRG393236:SRJ393236 SRG458772:SRJ458772 SRG524308:SRJ524308 SRG589844:SRJ589844 SRG655380:SRJ655380 SRG720916:SRJ720916 SRG786452:SRJ786452 SRG851988:SRJ851988 SRG917524:SRJ917524 SRG983060:SRJ983060 TBC20:TBF20 TBC65556:TBF65556 TBC131092:TBF131092 TBC196628:TBF196628 TBC262164:TBF262164 TBC327700:TBF327700 TBC393236:TBF393236 TBC458772:TBF458772 TBC524308:TBF524308 TBC589844:TBF589844 TBC655380:TBF655380 TBC720916:TBF720916 TBC786452:TBF786452 TBC851988:TBF851988 TBC917524:TBF917524 TBC983060:TBF983060 TKY20:TLB20 TKY65556:TLB65556 TKY131092:TLB131092 TKY196628:TLB196628 TKY262164:TLB262164 TKY327700:TLB327700 TKY393236:TLB393236 TKY458772:TLB458772 TKY524308:TLB524308 TKY589844:TLB589844 TKY655380:TLB655380 TKY720916:TLB720916 TKY786452:TLB786452 TKY851988:TLB851988 TKY917524:TLB917524 TKY983060:TLB983060 TUU20:TUX20 TUU65556:TUX65556 TUU131092:TUX131092 TUU196628:TUX196628 TUU262164:TUX262164 TUU327700:TUX327700 TUU393236:TUX393236 TUU458772:TUX458772 TUU524308:TUX524308 TUU589844:TUX589844 TUU655380:TUX655380 TUU720916:TUX720916 TUU786452:TUX786452 TUU851988:TUX851988 TUU917524:TUX917524 TUU983060:TUX983060 UEQ20:UET20 UEQ65556:UET65556 UEQ131092:UET131092 UEQ196628:UET196628 UEQ262164:UET262164 UEQ327700:UET327700 UEQ393236:UET393236 UEQ458772:UET458772 UEQ524308:UET524308 UEQ589844:UET589844 UEQ655380:UET655380 UEQ720916:UET720916 UEQ786452:UET786452 UEQ851988:UET851988 UEQ917524:UET917524 UEQ983060:UET983060 UOM20:UOP20 UOM65556:UOP65556 UOM131092:UOP131092 UOM196628:UOP196628 UOM262164:UOP262164 UOM327700:UOP327700 UOM393236:UOP393236 UOM458772:UOP458772 UOM524308:UOP524308 UOM589844:UOP589844 UOM655380:UOP655380 UOM720916:UOP720916 UOM786452:UOP786452 UOM851988:UOP851988 UOM917524:UOP917524 UOM983060:UOP983060 UYI20:UYL20 UYI65556:UYL65556 UYI131092:UYL131092 UYI196628:UYL196628 UYI262164:UYL262164 UYI327700:UYL327700 UYI393236:UYL393236 UYI458772:UYL458772 UYI524308:UYL524308 UYI589844:UYL589844 UYI655380:UYL655380 UYI720916:UYL720916 UYI786452:UYL786452 UYI851988:UYL851988 UYI917524:UYL917524 UYI983060:UYL983060 VIE20:VIH20 VIE65556:VIH65556 VIE131092:VIH131092 VIE196628:VIH196628 VIE262164:VIH262164 VIE327700:VIH327700 VIE393236:VIH393236 VIE458772:VIH458772 VIE524308:VIH524308 VIE589844:VIH589844 VIE655380:VIH655380 VIE720916:VIH720916 VIE786452:VIH786452 VIE851988:VIH851988 VIE917524:VIH917524 VIE983060:VIH983060 VSA20:VSD20 VSA65556:VSD65556 VSA131092:VSD131092 VSA196628:VSD196628 VSA262164:VSD262164 VSA327700:VSD327700 VSA393236:VSD393236 VSA458772:VSD458772 VSA524308:VSD524308 VSA589844:VSD589844 VSA655380:VSD655380 VSA720916:VSD720916 VSA786452:VSD786452 VSA851988:VSD851988 VSA917524:VSD917524 VSA983060:VSD983060 WBW20:WBZ20 WBW65556:WBZ65556 WBW131092:WBZ131092 WBW196628:WBZ196628 WBW262164:WBZ262164 WBW327700:WBZ327700 WBW393236:WBZ393236 WBW458772:WBZ458772 WBW524308:WBZ524308 WBW589844:WBZ589844 WBW655380:WBZ655380 WBW720916:WBZ720916 WBW786452:WBZ786452 WBW851988:WBZ851988 WBW917524:WBZ917524 WBW983060:WBZ983060 WLS20:WLV20 WLS65556:WLV65556 WLS131092:WLV131092 WLS196628:WLV196628 WLS262164:WLV262164 WLS327700:WLV327700 WLS393236:WLV393236 WLS458772:WLV458772 WLS524308:WLV524308 WLS589844:WLV589844 WLS655380:WLV655380 WLS720916:WLV720916 WLS786452:WLV786452 WLS851988:WLV851988 WLS917524:WLV917524 WLS983060:WLV983060 WVO20:WVR20 WVO65556:WVR65556 WVO131092:WVR131092 WVO196628:WVR196628 WVO262164:WVR262164 WVO327700:WVR327700 WVO393236:WVR393236 WVO458772:WVR458772 WVO524308:WVR524308 WVO589844:WVR589844 WVO655380:WVR655380 WVO720916:WVR720916 WVO786452:WVR786452 WVO851988:WVR851988 WVO917524:WVR917524 WVO983060:WVR983060" xr:uid="{00000000-0002-0000-0C00-000001000000}">
      <formula1>用途地域</formula1>
    </dataValidation>
    <dataValidation type="list" allowBlank="1" showInputMessage="1" showErrorMessage="1" sqref="B73 B65609 B131145 B196681 B262217 B327753 B393289 B458825 B524361 B589897 B655433 B720969 B786505 B852041 B917577 B983113 IX73 IX65609 IX131145 IX196681 IX262217 IX327753 IX393289 IX458825 IX524361 IX589897 IX655433 IX720969 IX786505 IX852041 IX917577 IX983113 ST73 ST65609 ST131145 ST196681 ST262217 ST327753 ST393289 ST458825 ST524361 ST589897 ST655433 ST720969 ST786505 ST852041 ST917577 ST983113 ACP73 ACP65609 ACP131145 ACP196681 ACP262217 ACP327753 ACP393289 ACP458825 ACP524361 ACP589897 ACP655433 ACP720969 ACP786505 ACP852041 ACP917577 ACP983113 AML73 AML65609 AML131145 AML196681 AML262217 AML327753 AML393289 AML458825 AML524361 AML589897 AML655433 AML720969 AML786505 AML852041 AML917577 AML983113 AWH73 AWH65609 AWH131145 AWH196681 AWH262217 AWH327753 AWH393289 AWH458825 AWH524361 AWH589897 AWH655433 AWH720969 AWH786505 AWH852041 AWH917577 AWH983113 BGD73 BGD65609 BGD131145 BGD196681 BGD262217 BGD327753 BGD393289 BGD458825 BGD524361 BGD589897 BGD655433 BGD720969 BGD786505 BGD852041 BGD917577 BGD983113 BPZ73 BPZ65609 BPZ131145 BPZ196681 BPZ262217 BPZ327753 BPZ393289 BPZ458825 BPZ524361 BPZ589897 BPZ655433 BPZ720969 BPZ786505 BPZ852041 BPZ917577 BPZ983113 BZV73 BZV65609 BZV131145 BZV196681 BZV262217 BZV327753 BZV393289 BZV458825 BZV524361 BZV589897 BZV655433 BZV720969 BZV786505 BZV852041 BZV917577 BZV983113 CJR73 CJR65609 CJR131145 CJR196681 CJR262217 CJR327753 CJR393289 CJR458825 CJR524361 CJR589897 CJR655433 CJR720969 CJR786505 CJR852041 CJR917577 CJR983113 CTN73 CTN65609 CTN131145 CTN196681 CTN262217 CTN327753 CTN393289 CTN458825 CTN524361 CTN589897 CTN655433 CTN720969 CTN786505 CTN852041 CTN917577 CTN983113 DDJ73 DDJ65609 DDJ131145 DDJ196681 DDJ262217 DDJ327753 DDJ393289 DDJ458825 DDJ524361 DDJ589897 DDJ655433 DDJ720969 DDJ786505 DDJ852041 DDJ917577 DDJ983113 DNF73 DNF65609 DNF131145 DNF196681 DNF262217 DNF327753 DNF393289 DNF458825 DNF524361 DNF589897 DNF655433 DNF720969 DNF786505 DNF852041 DNF917577 DNF983113 DXB73 DXB65609 DXB131145 DXB196681 DXB262217 DXB327753 DXB393289 DXB458825 DXB524361 DXB589897 DXB655433 DXB720969 DXB786505 DXB852041 DXB917577 DXB983113 EGX73 EGX65609 EGX131145 EGX196681 EGX262217 EGX327753 EGX393289 EGX458825 EGX524361 EGX589897 EGX655433 EGX720969 EGX786505 EGX852041 EGX917577 EGX983113 EQT73 EQT65609 EQT131145 EQT196681 EQT262217 EQT327753 EQT393289 EQT458825 EQT524361 EQT589897 EQT655433 EQT720969 EQT786505 EQT852041 EQT917577 EQT983113 FAP73 FAP65609 FAP131145 FAP196681 FAP262217 FAP327753 FAP393289 FAP458825 FAP524361 FAP589897 FAP655433 FAP720969 FAP786505 FAP852041 FAP917577 FAP983113 FKL73 FKL65609 FKL131145 FKL196681 FKL262217 FKL327753 FKL393289 FKL458825 FKL524361 FKL589897 FKL655433 FKL720969 FKL786505 FKL852041 FKL917577 FKL983113 FUH73 FUH65609 FUH131145 FUH196681 FUH262217 FUH327753 FUH393289 FUH458825 FUH524361 FUH589897 FUH655433 FUH720969 FUH786505 FUH852041 FUH917577 FUH983113 GED73 GED65609 GED131145 GED196681 GED262217 GED327753 GED393289 GED458825 GED524361 GED589897 GED655433 GED720969 GED786505 GED852041 GED917577 GED983113 GNZ73 GNZ65609 GNZ131145 GNZ196681 GNZ262217 GNZ327753 GNZ393289 GNZ458825 GNZ524361 GNZ589897 GNZ655433 GNZ720969 GNZ786505 GNZ852041 GNZ917577 GNZ983113 GXV73 GXV65609 GXV131145 GXV196681 GXV262217 GXV327753 GXV393289 GXV458825 GXV524361 GXV589897 GXV655433 GXV720969 GXV786505 GXV852041 GXV917577 GXV983113 HHR73 HHR65609 HHR131145 HHR196681 HHR262217 HHR327753 HHR393289 HHR458825 HHR524361 HHR589897 HHR655433 HHR720969 HHR786505 HHR852041 HHR917577 HHR983113 HRN73 HRN65609 HRN131145 HRN196681 HRN262217 HRN327753 HRN393289 HRN458825 HRN524361 HRN589897 HRN655433 HRN720969 HRN786505 HRN852041 HRN917577 HRN983113 IBJ73 IBJ65609 IBJ131145 IBJ196681 IBJ262217 IBJ327753 IBJ393289 IBJ458825 IBJ524361 IBJ589897 IBJ655433 IBJ720969 IBJ786505 IBJ852041 IBJ917577 IBJ983113 ILF73 ILF65609 ILF131145 ILF196681 ILF262217 ILF327753 ILF393289 ILF458825 ILF524361 ILF589897 ILF655433 ILF720969 ILF786505 ILF852041 ILF917577 ILF983113 IVB73 IVB65609 IVB131145 IVB196681 IVB262217 IVB327753 IVB393289 IVB458825 IVB524361 IVB589897 IVB655433 IVB720969 IVB786505 IVB852041 IVB917577 IVB983113 JEX73 JEX65609 JEX131145 JEX196681 JEX262217 JEX327753 JEX393289 JEX458825 JEX524361 JEX589897 JEX655433 JEX720969 JEX786505 JEX852041 JEX917577 JEX983113 JOT73 JOT65609 JOT131145 JOT196681 JOT262217 JOT327753 JOT393289 JOT458825 JOT524361 JOT589897 JOT655433 JOT720969 JOT786505 JOT852041 JOT917577 JOT983113 JYP73 JYP65609 JYP131145 JYP196681 JYP262217 JYP327753 JYP393289 JYP458825 JYP524361 JYP589897 JYP655433 JYP720969 JYP786505 JYP852041 JYP917577 JYP983113 KIL73 KIL65609 KIL131145 KIL196681 KIL262217 KIL327753 KIL393289 KIL458825 KIL524361 KIL589897 KIL655433 KIL720969 KIL786505 KIL852041 KIL917577 KIL983113 KSH73 KSH65609 KSH131145 KSH196681 KSH262217 KSH327753 KSH393289 KSH458825 KSH524361 KSH589897 KSH655433 KSH720969 KSH786505 KSH852041 KSH917577 KSH983113 LCD73 LCD65609 LCD131145 LCD196681 LCD262217 LCD327753 LCD393289 LCD458825 LCD524361 LCD589897 LCD655433 LCD720969 LCD786505 LCD852041 LCD917577 LCD983113 LLZ73 LLZ65609 LLZ131145 LLZ196681 LLZ262217 LLZ327753 LLZ393289 LLZ458825 LLZ524361 LLZ589897 LLZ655433 LLZ720969 LLZ786505 LLZ852041 LLZ917577 LLZ983113 LVV73 LVV65609 LVV131145 LVV196681 LVV262217 LVV327753 LVV393289 LVV458825 LVV524361 LVV589897 LVV655433 LVV720969 LVV786505 LVV852041 LVV917577 LVV983113 MFR73 MFR65609 MFR131145 MFR196681 MFR262217 MFR327753 MFR393289 MFR458825 MFR524361 MFR589897 MFR655433 MFR720969 MFR786505 MFR852041 MFR917577 MFR983113 MPN73 MPN65609 MPN131145 MPN196681 MPN262217 MPN327753 MPN393289 MPN458825 MPN524361 MPN589897 MPN655433 MPN720969 MPN786505 MPN852041 MPN917577 MPN983113 MZJ73 MZJ65609 MZJ131145 MZJ196681 MZJ262217 MZJ327753 MZJ393289 MZJ458825 MZJ524361 MZJ589897 MZJ655433 MZJ720969 MZJ786505 MZJ852041 MZJ917577 MZJ983113 NJF73 NJF65609 NJF131145 NJF196681 NJF262217 NJF327753 NJF393289 NJF458825 NJF524361 NJF589897 NJF655433 NJF720969 NJF786505 NJF852041 NJF917577 NJF983113 NTB73 NTB65609 NTB131145 NTB196681 NTB262217 NTB327753 NTB393289 NTB458825 NTB524361 NTB589897 NTB655433 NTB720969 NTB786505 NTB852041 NTB917577 NTB983113 OCX73 OCX65609 OCX131145 OCX196681 OCX262217 OCX327753 OCX393289 OCX458825 OCX524361 OCX589897 OCX655433 OCX720969 OCX786505 OCX852041 OCX917577 OCX983113 OMT73 OMT65609 OMT131145 OMT196681 OMT262217 OMT327753 OMT393289 OMT458825 OMT524361 OMT589897 OMT655433 OMT720969 OMT786505 OMT852041 OMT917577 OMT983113 OWP73 OWP65609 OWP131145 OWP196681 OWP262217 OWP327753 OWP393289 OWP458825 OWP524361 OWP589897 OWP655433 OWP720969 OWP786505 OWP852041 OWP917577 OWP983113 PGL73 PGL65609 PGL131145 PGL196681 PGL262217 PGL327753 PGL393289 PGL458825 PGL524361 PGL589897 PGL655433 PGL720969 PGL786505 PGL852041 PGL917577 PGL983113 PQH73 PQH65609 PQH131145 PQH196681 PQH262217 PQH327753 PQH393289 PQH458825 PQH524361 PQH589897 PQH655433 PQH720969 PQH786505 PQH852041 PQH917577 PQH983113 QAD73 QAD65609 QAD131145 QAD196681 QAD262217 QAD327753 QAD393289 QAD458825 QAD524361 QAD589897 QAD655433 QAD720969 QAD786505 QAD852041 QAD917577 QAD983113 QJZ73 QJZ65609 QJZ131145 QJZ196681 QJZ262217 QJZ327753 QJZ393289 QJZ458825 QJZ524361 QJZ589897 QJZ655433 QJZ720969 QJZ786505 QJZ852041 QJZ917577 QJZ983113 QTV73 QTV65609 QTV131145 QTV196681 QTV262217 QTV327753 QTV393289 QTV458825 QTV524361 QTV589897 QTV655433 QTV720969 QTV786505 QTV852041 QTV917577 QTV983113 RDR73 RDR65609 RDR131145 RDR196681 RDR262217 RDR327753 RDR393289 RDR458825 RDR524361 RDR589897 RDR655433 RDR720969 RDR786505 RDR852041 RDR917577 RDR983113 RNN73 RNN65609 RNN131145 RNN196681 RNN262217 RNN327753 RNN393289 RNN458825 RNN524361 RNN589897 RNN655433 RNN720969 RNN786505 RNN852041 RNN917577 RNN983113 RXJ73 RXJ65609 RXJ131145 RXJ196681 RXJ262217 RXJ327753 RXJ393289 RXJ458825 RXJ524361 RXJ589897 RXJ655433 RXJ720969 RXJ786505 RXJ852041 RXJ917577 RXJ983113 SHF73 SHF65609 SHF131145 SHF196681 SHF262217 SHF327753 SHF393289 SHF458825 SHF524361 SHF589897 SHF655433 SHF720969 SHF786505 SHF852041 SHF917577 SHF983113 SRB73 SRB65609 SRB131145 SRB196681 SRB262217 SRB327753 SRB393289 SRB458825 SRB524361 SRB589897 SRB655433 SRB720969 SRB786505 SRB852041 SRB917577 SRB983113 TAX73 TAX65609 TAX131145 TAX196681 TAX262217 TAX327753 TAX393289 TAX458825 TAX524361 TAX589897 TAX655433 TAX720969 TAX786505 TAX852041 TAX917577 TAX983113 TKT73 TKT65609 TKT131145 TKT196681 TKT262217 TKT327753 TKT393289 TKT458825 TKT524361 TKT589897 TKT655433 TKT720969 TKT786505 TKT852041 TKT917577 TKT983113 TUP73 TUP65609 TUP131145 TUP196681 TUP262217 TUP327753 TUP393289 TUP458825 TUP524361 TUP589897 TUP655433 TUP720969 TUP786505 TUP852041 TUP917577 TUP983113 UEL73 UEL65609 UEL131145 UEL196681 UEL262217 UEL327753 UEL393289 UEL458825 UEL524361 UEL589897 UEL655433 UEL720969 UEL786505 UEL852041 UEL917577 UEL983113 UOH73 UOH65609 UOH131145 UOH196681 UOH262217 UOH327753 UOH393289 UOH458825 UOH524361 UOH589897 UOH655433 UOH720969 UOH786505 UOH852041 UOH917577 UOH983113 UYD73 UYD65609 UYD131145 UYD196681 UYD262217 UYD327753 UYD393289 UYD458825 UYD524361 UYD589897 UYD655433 UYD720969 UYD786505 UYD852041 UYD917577 UYD983113 VHZ73 VHZ65609 VHZ131145 VHZ196681 VHZ262217 VHZ327753 VHZ393289 VHZ458825 VHZ524361 VHZ589897 VHZ655433 VHZ720969 VHZ786505 VHZ852041 VHZ917577 VHZ983113 VRV73 VRV65609 VRV131145 VRV196681 VRV262217 VRV327753 VRV393289 VRV458825 VRV524361 VRV589897 VRV655433 VRV720969 VRV786505 VRV852041 VRV917577 VRV983113 WBR73 WBR65609 WBR131145 WBR196681 WBR262217 WBR327753 WBR393289 WBR458825 WBR524361 WBR589897 WBR655433 WBR720969 WBR786505 WBR852041 WBR917577 WBR983113 WLN73 WLN65609 WLN131145 WLN196681 WLN262217 WLN327753 WLN393289 WLN458825 WLN524361 WLN589897 WLN655433 WLN720969 WLN786505 WLN852041 WLN917577 WLN983113 WVJ73 WVJ65609 WVJ131145 WVJ196681 WVJ262217 WVJ327753 WVJ393289 WVJ458825 WVJ524361 WVJ589897 WVJ655433 WVJ720969 WVJ786505 WVJ852041 WVJ917577 WVJ983113" xr:uid="{00000000-0002-0000-0C00-000002000000}">
      <formula1>号</formula1>
    </dataValidation>
    <dataValidation type="list" allowBlank="1" showInputMessage="1" sqref="K81:K88 K65617:K65624 K131153:K131160 K196689:K196696 K262225:K262232 K327761:K327768 K393297:K393304 K458833:K458840 K524369:K524376 K589905:K589912 K655441:K655448 K720977:K720984 K786513:K786520 K852049:K852056 K917585:K917592 K983121:K983128 O78:O79 O65614:O65615 O131150:O131151 O196686:O196687 O262222:O262223 O327758:O327759 O393294:O393295 O458830:O458831 O524366:O524367 O589902:O589903 O655438:O655439 O720974:O720975 O786510:O786511 O852046:O852047 O917582:O917583 O983118:O983119 JG81:JG88 JG65617:JG65624 JG131153:JG131160 JG196689:JG196696 JG262225:JG262232 JG327761:JG327768 JG393297:JG393304 JG458833:JG458840 JG524369:JG524376 JG589905:JG589912 JG655441:JG655448 JG720977:JG720984 JG786513:JG786520 JG852049:JG852056 JG917585:JG917592 JG983121:JG983128 JK78:JK79 JK65614:JK65615 JK131150:JK131151 JK196686:JK196687 JK262222:JK262223 JK327758:JK327759 JK393294:JK393295 JK458830:JK458831 JK524366:JK524367 JK589902:JK589903 JK655438:JK655439 JK720974:JK720975 JK786510:JK786511 JK852046:JK852047 JK917582:JK917583 JK983118:JK983119 TC81:TC88 TC65617:TC65624 TC131153:TC131160 TC196689:TC196696 TC262225:TC262232 TC327761:TC327768 TC393297:TC393304 TC458833:TC458840 TC524369:TC524376 TC589905:TC589912 TC655441:TC655448 TC720977:TC720984 TC786513:TC786520 TC852049:TC852056 TC917585:TC917592 TC983121:TC983128 TG78:TG79 TG65614:TG65615 TG131150:TG131151 TG196686:TG196687 TG262222:TG262223 TG327758:TG327759 TG393294:TG393295 TG458830:TG458831 TG524366:TG524367 TG589902:TG589903 TG655438:TG655439 TG720974:TG720975 TG786510:TG786511 TG852046:TG852047 TG917582:TG917583 TG983118:TG983119 ACY81:ACY88 ACY65617:ACY65624 ACY131153:ACY131160 ACY196689:ACY196696 ACY262225:ACY262232 ACY327761:ACY327768 ACY393297:ACY393304 ACY458833:ACY458840 ACY524369:ACY524376 ACY589905:ACY589912 ACY655441:ACY655448 ACY720977:ACY720984 ACY786513:ACY786520 ACY852049:ACY852056 ACY917585:ACY917592 ACY983121:ACY983128 ADC78:ADC79 ADC65614:ADC65615 ADC131150:ADC131151 ADC196686:ADC196687 ADC262222:ADC262223 ADC327758:ADC327759 ADC393294:ADC393295 ADC458830:ADC458831 ADC524366:ADC524367 ADC589902:ADC589903 ADC655438:ADC655439 ADC720974:ADC720975 ADC786510:ADC786511 ADC852046:ADC852047 ADC917582:ADC917583 ADC983118:ADC983119 AMU81:AMU88 AMU65617:AMU65624 AMU131153:AMU131160 AMU196689:AMU196696 AMU262225:AMU262232 AMU327761:AMU327768 AMU393297:AMU393304 AMU458833:AMU458840 AMU524369:AMU524376 AMU589905:AMU589912 AMU655441:AMU655448 AMU720977:AMU720984 AMU786513:AMU786520 AMU852049:AMU852056 AMU917585:AMU917592 AMU983121:AMU983128 AMY78:AMY79 AMY65614:AMY65615 AMY131150:AMY131151 AMY196686:AMY196687 AMY262222:AMY262223 AMY327758:AMY327759 AMY393294:AMY393295 AMY458830:AMY458831 AMY524366:AMY524367 AMY589902:AMY589903 AMY655438:AMY655439 AMY720974:AMY720975 AMY786510:AMY786511 AMY852046:AMY852047 AMY917582:AMY917583 AMY983118:AMY983119 AWQ81:AWQ88 AWQ65617:AWQ65624 AWQ131153:AWQ131160 AWQ196689:AWQ196696 AWQ262225:AWQ262232 AWQ327761:AWQ327768 AWQ393297:AWQ393304 AWQ458833:AWQ458840 AWQ524369:AWQ524376 AWQ589905:AWQ589912 AWQ655441:AWQ655448 AWQ720977:AWQ720984 AWQ786513:AWQ786520 AWQ852049:AWQ852056 AWQ917585:AWQ917592 AWQ983121:AWQ983128 AWU78:AWU79 AWU65614:AWU65615 AWU131150:AWU131151 AWU196686:AWU196687 AWU262222:AWU262223 AWU327758:AWU327759 AWU393294:AWU393295 AWU458830:AWU458831 AWU524366:AWU524367 AWU589902:AWU589903 AWU655438:AWU655439 AWU720974:AWU720975 AWU786510:AWU786511 AWU852046:AWU852047 AWU917582:AWU917583 AWU983118:AWU983119 BGM81:BGM88 BGM65617:BGM65624 BGM131153:BGM131160 BGM196689:BGM196696 BGM262225:BGM262232 BGM327761:BGM327768 BGM393297:BGM393304 BGM458833:BGM458840 BGM524369:BGM524376 BGM589905:BGM589912 BGM655441:BGM655448 BGM720977:BGM720984 BGM786513:BGM786520 BGM852049:BGM852056 BGM917585:BGM917592 BGM983121:BGM983128 BGQ78:BGQ79 BGQ65614:BGQ65615 BGQ131150:BGQ131151 BGQ196686:BGQ196687 BGQ262222:BGQ262223 BGQ327758:BGQ327759 BGQ393294:BGQ393295 BGQ458830:BGQ458831 BGQ524366:BGQ524367 BGQ589902:BGQ589903 BGQ655438:BGQ655439 BGQ720974:BGQ720975 BGQ786510:BGQ786511 BGQ852046:BGQ852047 BGQ917582:BGQ917583 BGQ983118:BGQ983119 BQI81:BQI88 BQI65617:BQI65624 BQI131153:BQI131160 BQI196689:BQI196696 BQI262225:BQI262232 BQI327761:BQI327768 BQI393297:BQI393304 BQI458833:BQI458840 BQI524369:BQI524376 BQI589905:BQI589912 BQI655441:BQI655448 BQI720977:BQI720984 BQI786513:BQI786520 BQI852049:BQI852056 BQI917585:BQI917592 BQI983121:BQI983128 BQM78:BQM79 BQM65614:BQM65615 BQM131150:BQM131151 BQM196686:BQM196687 BQM262222:BQM262223 BQM327758:BQM327759 BQM393294:BQM393295 BQM458830:BQM458831 BQM524366:BQM524367 BQM589902:BQM589903 BQM655438:BQM655439 BQM720974:BQM720975 BQM786510:BQM786511 BQM852046:BQM852047 BQM917582:BQM917583 BQM983118:BQM983119 CAE81:CAE88 CAE65617:CAE65624 CAE131153:CAE131160 CAE196689:CAE196696 CAE262225:CAE262232 CAE327761:CAE327768 CAE393297:CAE393304 CAE458833:CAE458840 CAE524369:CAE524376 CAE589905:CAE589912 CAE655441:CAE655448 CAE720977:CAE720984 CAE786513:CAE786520 CAE852049:CAE852056 CAE917585:CAE917592 CAE983121:CAE983128 CAI78:CAI79 CAI65614:CAI65615 CAI131150:CAI131151 CAI196686:CAI196687 CAI262222:CAI262223 CAI327758:CAI327759 CAI393294:CAI393295 CAI458830:CAI458831 CAI524366:CAI524367 CAI589902:CAI589903 CAI655438:CAI655439 CAI720974:CAI720975 CAI786510:CAI786511 CAI852046:CAI852047 CAI917582:CAI917583 CAI983118:CAI983119 CKA81:CKA88 CKA65617:CKA65624 CKA131153:CKA131160 CKA196689:CKA196696 CKA262225:CKA262232 CKA327761:CKA327768 CKA393297:CKA393304 CKA458833:CKA458840 CKA524369:CKA524376 CKA589905:CKA589912 CKA655441:CKA655448 CKA720977:CKA720984 CKA786513:CKA786520 CKA852049:CKA852056 CKA917585:CKA917592 CKA983121:CKA983128 CKE78:CKE79 CKE65614:CKE65615 CKE131150:CKE131151 CKE196686:CKE196687 CKE262222:CKE262223 CKE327758:CKE327759 CKE393294:CKE393295 CKE458830:CKE458831 CKE524366:CKE524367 CKE589902:CKE589903 CKE655438:CKE655439 CKE720974:CKE720975 CKE786510:CKE786511 CKE852046:CKE852047 CKE917582:CKE917583 CKE983118:CKE983119 CTW81:CTW88 CTW65617:CTW65624 CTW131153:CTW131160 CTW196689:CTW196696 CTW262225:CTW262232 CTW327761:CTW327768 CTW393297:CTW393304 CTW458833:CTW458840 CTW524369:CTW524376 CTW589905:CTW589912 CTW655441:CTW655448 CTW720977:CTW720984 CTW786513:CTW786520 CTW852049:CTW852056 CTW917585:CTW917592 CTW983121:CTW983128 CUA78:CUA79 CUA65614:CUA65615 CUA131150:CUA131151 CUA196686:CUA196687 CUA262222:CUA262223 CUA327758:CUA327759 CUA393294:CUA393295 CUA458830:CUA458831 CUA524366:CUA524367 CUA589902:CUA589903 CUA655438:CUA655439 CUA720974:CUA720975 CUA786510:CUA786511 CUA852046:CUA852047 CUA917582:CUA917583 CUA983118:CUA983119 DDS81:DDS88 DDS65617:DDS65624 DDS131153:DDS131160 DDS196689:DDS196696 DDS262225:DDS262232 DDS327761:DDS327768 DDS393297:DDS393304 DDS458833:DDS458840 DDS524369:DDS524376 DDS589905:DDS589912 DDS655441:DDS655448 DDS720977:DDS720984 DDS786513:DDS786520 DDS852049:DDS852056 DDS917585:DDS917592 DDS983121:DDS983128 DDW78:DDW79 DDW65614:DDW65615 DDW131150:DDW131151 DDW196686:DDW196687 DDW262222:DDW262223 DDW327758:DDW327759 DDW393294:DDW393295 DDW458830:DDW458831 DDW524366:DDW524367 DDW589902:DDW589903 DDW655438:DDW655439 DDW720974:DDW720975 DDW786510:DDW786511 DDW852046:DDW852047 DDW917582:DDW917583 DDW983118:DDW983119 DNO81:DNO88 DNO65617:DNO65624 DNO131153:DNO131160 DNO196689:DNO196696 DNO262225:DNO262232 DNO327761:DNO327768 DNO393297:DNO393304 DNO458833:DNO458840 DNO524369:DNO524376 DNO589905:DNO589912 DNO655441:DNO655448 DNO720977:DNO720984 DNO786513:DNO786520 DNO852049:DNO852056 DNO917585:DNO917592 DNO983121:DNO983128 DNS78:DNS79 DNS65614:DNS65615 DNS131150:DNS131151 DNS196686:DNS196687 DNS262222:DNS262223 DNS327758:DNS327759 DNS393294:DNS393295 DNS458830:DNS458831 DNS524366:DNS524367 DNS589902:DNS589903 DNS655438:DNS655439 DNS720974:DNS720975 DNS786510:DNS786511 DNS852046:DNS852047 DNS917582:DNS917583 DNS983118:DNS983119 DXK81:DXK88 DXK65617:DXK65624 DXK131153:DXK131160 DXK196689:DXK196696 DXK262225:DXK262232 DXK327761:DXK327768 DXK393297:DXK393304 DXK458833:DXK458840 DXK524369:DXK524376 DXK589905:DXK589912 DXK655441:DXK655448 DXK720977:DXK720984 DXK786513:DXK786520 DXK852049:DXK852056 DXK917585:DXK917592 DXK983121:DXK983128 DXO78:DXO79 DXO65614:DXO65615 DXO131150:DXO131151 DXO196686:DXO196687 DXO262222:DXO262223 DXO327758:DXO327759 DXO393294:DXO393295 DXO458830:DXO458831 DXO524366:DXO524367 DXO589902:DXO589903 DXO655438:DXO655439 DXO720974:DXO720975 DXO786510:DXO786511 DXO852046:DXO852047 DXO917582:DXO917583 DXO983118:DXO983119 EHG81:EHG88 EHG65617:EHG65624 EHG131153:EHG131160 EHG196689:EHG196696 EHG262225:EHG262232 EHG327761:EHG327768 EHG393297:EHG393304 EHG458833:EHG458840 EHG524369:EHG524376 EHG589905:EHG589912 EHG655441:EHG655448 EHG720977:EHG720984 EHG786513:EHG786520 EHG852049:EHG852056 EHG917585:EHG917592 EHG983121:EHG983128 EHK78:EHK79 EHK65614:EHK65615 EHK131150:EHK131151 EHK196686:EHK196687 EHK262222:EHK262223 EHK327758:EHK327759 EHK393294:EHK393295 EHK458830:EHK458831 EHK524366:EHK524367 EHK589902:EHK589903 EHK655438:EHK655439 EHK720974:EHK720975 EHK786510:EHK786511 EHK852046:EHK852047 EHK917582:EHK917583 EHK983118:EHK983119 ERC81:ERC88 ERC65617:ERC65624 ERC131153:ERC131160 ERC196689:ERC196696 ERC262225:ERC262232 ERC327761:ERC327768 ERC393297:ERC393304 ERC458833:ERC458840 ERC524369:ERC524376 ERC589905:ERC589912 ERC655441:ERC655448 ERC720977:ERC720984 ERC786513:ERC786520 ERC852049:ERC852056 ERC917585:ERC917592 ERC983121:ERC983128 ERG78:ERG79 ERG65614:ERG65615 ERG131150:ERG131151 ERG196686:ERG196687 ERG262222:ERG262223 ERG327758:ERG327759 ERG393294:ERG393295 ERG458830:ERG458831 ERG524366:ERG524367 ERG589902:ERG589903 ERG655438:ERG655439 ERG720974:ERG720975 ERG786510:ERG786511 ERG852046:ERG852047 ERG917582:ERG917583 ERG983118:ERG983119 FAY81:FAY88 FAY65617:FAY65624 FAY131153:FAY131160 FAY196689:FAY196696 FAY262225:FAY262232 FAY327761:FAY327768 FAY393297:FAY393304 FAY458833:FAY458840 FAY524369:FAY524376 FAY589905:FAY589912 FAY655441:FAY655448 FAY720977:FAY720984 FAY786513:FAY786520 FAY852049:FAY852056 FAY917585:FAY917592 FAY983121:FAY983128 FBC78:FBC79 FBC65614:FBC65615 FBC131150:FBC131151 FBC196686:FBC196687 FBC262222:FBC262223 FBC327758:FBC327759 FBC393294:FBC393295 FBC458830:FBC458831 FBC524366:FBC524367 FBC589902:FBC589903 FBC655438:FBC655439 FBC720974:FBC720975 FBC786510:FBC786511 FBC852046:FBC852047 FBC917582:FBC917583 FBC983118:FBC983119 FKU81:FKU88 FKU65617:FKU65624 FKU131153:FKU131160 FKU196689:FKU196696 FKU262225:FKU262232 FKU327761:FKU327768 FKU393297:FKU393304 FKU458833:FKU458840 FKU524369:FKU524376 FKU589905:FKU589912 FKU655441:FKU655448 FKU720977:FKU720984 FKU786513:FKU786520 FKU852049:FKU852056 FKU917585:FKU917592 FKU983121:FKU983128 FKY78:FKY79 FKY65614:FKY65615 FKY131150:FKY131151 FKY196686:FKY196687 FKY262222:FKY262223 FKY327758:FKY327759 FKY393294:FKY393295 FKY458830:FKY458831 FKY524366:FKY524367 FKY589902:FKY589903 FKY655438:FKY655439 FKY720974:FKY720975 FKY786510:FKY786511 FKY852046:FKY852047 FKY917582:FKY917583 FKY983118:FKY983119 FUQ81:FUQ88 FUQ65617:FUQ65624 FUQ131153:FUQ131160 FUQ196689:FUQ196696 FUQ262225:FUQ262232 FUQ327761:FUQ327768 FUQ393297:FUQ393304 FUQ458833:FUQ458840 FUQ524369:FUQ524376 FUQ589905:FUQ589912 FUQ655441:FUQ655448 FUQ720977:FUQ720984 FUQ786513:FUQ786520 FUQ852049:FUQ852056 FUQ917585:FUQ917592 FUQ983121:FUQ983128 FUU78:FUU79 FUU65614:FUU65615 FUU131150:FUU131151 FUU196686:FUU196687 FUU262222:FUU262223 FUU327758:FUU327759 FUU393294:FUU393295 FUU458830:FUU458831 FUU524366:FUU524367 FUU589902:FUU589903 FUU655438:FUU655439 FUU720974:FUU720975 FUU786510:FUU786511 FUU852046:FUU852047 FUU917582:FUU917583 FUU983118:FUU983119 GEM81:GEM88 GEM65617:GEM65624 GEM131153:GEM131160 GEM196689:GEM196696 GEM262225:GEM262232 GEM327761:GEM327768 GEM393297:GEM393304 GEM458833:GEM458840 GEM524369:GEM524376 GEM589905:GEM589912 GEM655441:GEM655448 GEM720977:GEM720984 GEM786513:GEM786520 GEM852049:GEM852056 GEM917585:GEM917592 GEM983121:GEM983128 GEQ78:GEQ79 GEQ65614:GEQ65615 GEQ131150:GEQ131151 GEQ196686:GEQ196687 GEQ262222:GEQ262223 GEQ327758:GEQ327759 GEQ393294:GEQ393295 GEQ458830:GEQ458831 GEQ524366:GEQ524367 GEQ589902:GEQ589903 GEQ655438:GEQ655439 GEQ720974:GEQ720975 GEQ786510:GEQ786511 GEQ852046:GEQ852047 GEQ917582:GEQ917583 GEQ983118:GEQ983119 GOI81:GOI88 GOI65617:GOI65624 GOI131153:GOI131160 GOI196689:GOI196696 GOI262225:GOI262232 GOI327761:GOI327768 GOI393297:GOI393304 GOI458833:GOI458840 GOI524369:GOI524376 GOI589905:GOI589912 GOI655441:GOI655448 GOI720977:GOI720984 GOI786513:GOI786520 GOI852049:GOI852056 GOI917585:GOI917592 GOI983121:GOI983128 GOM78:GOM79 GOM65614:GOM65615 GOM131150:GOM131151 GOM196686:GOM196687 GOM262222:GOM262223 GOM327758:GOM327759 GOM393294:GOM393295 GOM458830:GOM458831 GOM524366:GOM524367 GOM589902:GOM589903 GOM655438:GOM655439 GOM720974:GOM720975 GOM786510:GOM786511 GOM852046:GOM852047 GOM917582:GOM917583 GOM983118:GOM983119 GYE81:GYE88 GYE65617:GYE65624 GYE131153:GYE131160 GYE196689:GYE196696 GYE262225:GYE262232 GYE327761:GYE327768 GYE393297:GYE393304 GYE458833:GYE458840 GYE524369:GYE524376 GYE589905:GYE589912 GYE655441:GYE655448 GYE720977:GYE720984 GYE786513:GYE786520 GYE852049:GYE852056 GYE917585:GYE917592 GYE983121:GYE983128 GYI78:GYI79 GYI65614:GYI65615 GYI131150:GYI131151 GYI196686:GYI196687 GYI262222:GYI262223 GYI327758:GYI327759 GYI393294:GYI393295 GYI458830:GYI458831 GYI524366:GYI524367 GYI589902:GYI589903 GYI655438:GYI655439 GYI720974:GYI720975 GYI786510:GYI786511 GYI852046:GYI852047 GYI917582:GYI917583 GYI983118:GYI983119 HIA81:HIA88 HIA65617:HIA65624 HIA131153:HIA131160 HIA196689:HIA196696 HIA262225:HIA262232 HIA327761:HIA327768 HIA393297:HIA393304 HIA458833:HIA458840 HIA524369:HIA524376 HIA589905:HIA589912 HIA655441:HIA655448 HIA720977:HIA720984 HIA786513:HIA786520 HIA852049:HIA852056 HIA917585:HIA917592 HIA983121:HIA983128 HIE78:HIE79 HIE65614:HIE65615 HIE131150:HIE131151 HIE196686:HIE196687 HIE262222:HIE262223 HIE327758:HIE327759 HIE393294:HIE393295 HIE458830:HIE458831 HIE524366:HIE524367 HIE589902:HIE589903 HIE655438:HIE655439 HIE720974:HIE720975 HIE786510:HIE786511 HIE852046:HIE852047 HIE917582:HIE917583 HIE983118:HIE983119 HRW81:HRW88 HRW65617:HRW65624 HRW131153:HRW131160 HRW196689:HRW196696 HRW262225:HRW262232 HRW327761:HRW327768 HRW393297:HRW393304 HRW458833:HRW458840 HRW524369:HRW524376 HRW589905:HRW589912 HRW655441:HRW655448 HRW720977:HRW720984 HRW786513:HRW786520 HRW852049:HRW852056 HRW917585:HRW917592 HRW983121:HRW983128 HSA78:HSA79 HSA65614:HSA65615 HSA131150:HSA131151 HSA196686:HSA196687 HSA262222:HSA262223 HSA327758:HSA327759 HSA393294:HSA393295 HSA458830:HSA458831 HSA524366:HSA524367 HSA589902:HSA589903 HSA655438:HSA655439 HSA720974:HSA720975 HSA786510:HSA786511 HSA852046:HSA852047 HSA917582:HSA917583 HSA983118:HSA983119 IBS81:IBS88 IBS65617:IBS65624 IBS131153:IBS131160 IBS196689:IBS196696 IBS262225:IBS262232 IBS327761:IBS327768 IBS393297:IBS393304 IBS458833:IBS458840 IBS524369:IBS524376 IBS589905:IBS589912 IBS655441:IBS655448 IBS720977:IBS720984 IBS786513:IBS786520 IBS852049:IBS852056 IBS917585:IBS917592 IBS983121:IBS983128 IBW78:IBW79 IBW65614:IBW65615 IBW131150:IBW131151 IBW196686:IBW196687 IBW262222:IBW262223 IBW327758:IBW327759 IBW393294:IBW393295 IBW458830:IBW458831 IBW524366:IBW524367 IBW589902:IBW589903 IBW655438:IBW655439 IBW720974:IBW720975 IBW786510:IBW786511 IBW852046:IBW852047 IBW917582:IBW917583 IBW983118:IBW983119 ILO81:ILO88 ILO65617:ILO65624 ILO131153:ILO131160 ILO196689:ILO196696 ILO262225:ILO262232 ILO327761:ILO327768 ILO393297:ILO393304 ILO458833:ILO458840 ILO524369:ILO524376 ILO589905:ILO589912 ILO655441:ILO655448 ILO720977:ILO720984 ILO786513:ILO786520 ILO852049:ILO852056 ILO917585:ILO917592 ILO983121:ILO983128 ILS78:ILS79 ILS65614:ILS65615 ILS131150:ILS131151 ILS196686:ILS196687 ILS262222:ILS262223 ILS327758:ILS327759 ILS393294:ILS393295 ILS458830:ILS458831 ILS524366:ILS524367 ILS589902:ILS589903 ILS655438:ILS655439 ILS720974:ILS720975 ILS786510:ILS786511 ILS852046:ILS852047 ILS917582:ILS917583 ILS983118:ILS983119 IVK81:IVK88 IVK65617:IVK65624 IVK131153:IVK131160 IVK196689:IVK196696 IVK262225:IVK262232 IVK327761:IVK327768 IVK393297:IVK393304 IVK458833:IVK458840 IVK524369:IVK524376 IVK589905:IVK589912 IVK655441:IVK655448 IVK720977:IVK720984 IVK786513:IVK786520 IVK852049:IVK852056 IVK917585:IVK917592 IVK983121:IVK983128 IVO78:IVO79 IVO65614:IVO65615 IVO131150:IVO131151 IVO196686:IVO196687 IVO262222:IVO262223 IVO327758:IVO327759 IVO393294:IVO393295 IVO458830:IVO458831 IVO524366:IVO524367 IVO589902:IVO589903 IVO655438:IVO655439 IVO720974:IVO720975 IVO786510:IVO786511 IVO852046:IVO852047 IVO917582:IVO917583 IVO983118:IVO983119 JFG81:JFG88 JFG65617:JFG65624 JFG131153:JFG131160 JFG196689:JFG196696 JFG262225:JFG262232 JFG327761:JFG327768 JFG393297:JFG393304 JFG458833:JFG458840 JFG524369:JFG524376 JFG589905:JFG589912 JFG655441:JFG655448 JFG720977:JFG720984 JFG786513:JFG786520 JFG852049:JFG852056 JFG917585:JFG917592 JFG983121:JFG983128 JFK78:JFK79 JFK65614:JFK65615 JFK131150:JFK131151 JFK196686:JFK196687 JFK262222:JFK262223 JFK327758:JFK327759 JFK393294:JFK393295 JFK458830:JFK458831 JFK524366:JFK524367 JFK589902:JFK589903 JFK655438:JFK655439 JFK720974:JFK720975 JFK786510:JFK786511 JFK852046:JFK852047 JFK917582:JFK917583 JFK983118:JFK983119 JPC81:JPC88 JPC65617:JPC65624 JPC131153:JPC131160 JPC196689:JPC196696 JPC262225:JPC262232 JPC327761:JPC327768 JPC393297:JPC393304 JPC458833:JPC458840 JPC524369:JPC524376 JPC589905:JPC589912 JPC655441:JPC655448 JPC720977:JPC720984 JPC786513:JPC786520 JPC852049:JPC852056 JPC917585:JPC917592 JPC983121:JPC983128 JPG78:JPG79 JPG65614:JPG65615 JPG131150:JPG131151 JPG196686:JPG196687 JPG262222:JPG262223 JPG327758:JPG327759 JPG393294:JPG393295 JPG458830:JPG458831 JPG524366:JPG524367 JPG589902:JPG589903 JPG655438:JPG655439 JPG720974:JPG720975 JPG786510:JPG786511 JPG852046:JPG852047 JPG917582:JPG917583 JPG983118:JPG983119 JYY81:JYY88 JYY65617:JYY65624 JYY131153:JYY131160 JYY196689:JYY196696 JYY262225:JYY262232 JYY327761:JYY327768 JYY393297:JYY393304 JYY458833:JYY458840 JYY524369:JYY524376 JYY589905:JYY589912 JYY655441:JYY655448 JYY720977:JYY720984 JYY786513:JYY786520 JYY852049:JYY852056 JYY917585:JYY917592 JYY983121:JYY983128 JZC78:JZC79 JZC65614:JZC65615 JZC131150:JZC131151 JZC196686:JZC196687 JZC262222:JZC262223 JZC327758:JZC327759 JZC393294:JZC393295 JZC458830:JZC458831 JZC524366:JZC524367 JZC589902:JZC589903 JZC655438:JZC655439 JZC720974:JZC720975 JZC786510:JZC786511 JZC852046:JZC852047 JZC917582:JZC917583 JZC983118:JZC983119 KIU81:KIU88 KIU65617:KIU65624 KIU131153:KIU131160 KIU196689:KIU196696 KIU262225:KIU262232 KIU327761:KIU327768 KIU393297:KIU393304 KIU458833:KIU458840 KIU524369:KIU524376 KIU589905:KIU589912 KIU655441:KIU655448 KIU720977:KIU720984 KIU786513:KIU786520 KIU852049:KIU852056 KIU917585:KIU917592 KIU983121:KIU983128 KIY78:KIY79 KIY65614:KIY65615 KIY131150:KIY131151 KIY196686:KIY196687 KIY262222:KIY262223 KIY327758:KIY327759 KIY393294:KIY393295 KIY458830:KIY458831 KIY524366:KIY524367 KIY589902:KIY589903 KIY655438:KIY655439 KIY720974:KIY720975 KIY786510:KIY786511 KIY852046:KIY852047 KIY917582:KIY917583 KIY983118:KIY983119 KSQ81:KSQ88 KSQ65617:KSQ65624 KSQ131153:KSQ131160 KSQ196689:KSQ196696 KSQ262225:KSQ262232 KSQ327761:KSQ327768 KSQ393297:KSQ393304 KSQ458833:KSQ458840 KSQ524369:KSQ524376 KSQ589905:KSQ589912 KSQ655441:KSQ655448 KSQ720977:KSQ720984 KSQ786513:KSQ786520 KSQ852049:KSQ852056 KSQ917585:KSQ917592 KSQ983121:KSQ983128 KSU78:KSU79 KSU65614:KSU65615 KSU131150:KSU131151 KSU196686:KSU196687 KSU262222:KSU262223 KSU327758:KSU327759 KSU393294:KSU393295 KSU458830:KSU458831 KSU524366:KSU524367 KSU589902:KSU589903 KSU655438:KSU655439 KSU720974:KSU720975 KSU786510:KSU786511 KSU852046:KSU852047 KSU917582:KSU917583 KSU983118:KSU983119 LCM81:LCM88 LCM65617:LCM65624 LCM131153:LCM131160 LCM196689:LCM196696 LCM262225:LCM262232 LCM327761:LCM327768 LCM393297:LCM393304 LCM458833:LCM458840 LCM524369:LCM524376 LCM589905:LCM589912 LCM655441:LCM655448 LCM720977:LCM720984 LCM786513:LCM786520 LCM852049:LCM852056 LCM917585:LCM917592 LCM983121:LCM983128 LCQ78:LCQ79 LCQ65614:LCQ65615 LCQ131150:LCQ131151 LCQ196686:LCQ196687 LCQ262222:LCQ262223 LCQ327758:LCQ327759 LCQ393294:LCQ393295 LCQ458830:LCQ458831 LCQ524366:LCQ524367 LCQ589902:LCQ589903 LCQ655438:LCQ655439 LCQ720974:LCQ720975 LCQ786510:LCQ786511 LCQ852046:LCQ852047 LCQ917582:LCQ917583 LCQ983118:LCQ983119 LMI81:LMI88 LMI65617:LMI65624 LMI131153:LMI131160 LMI196689:LMI196696 LMI262225:LMI262232 LMI327761:LMI327768 LMI393297:LMI393304 LMI458833:LMI458840 LMI524369:LMI524376 LMI589905:LMI589912 LMI655441:LMI655448 LMI720977:LMI720984 LMI786513:LMI786520 LMI852049:LMI852056 LMI917585:LMI917592 LMI983121:LMI983128 LMM78:LMM79 LMM65614:LMM65615 LMM131150:LMM131151 LMM196686:LMM196687 LMM262222:LMM262223 LMM327758:LMM327759 LMM393294:LMM393295 LMM458830:LMM458831 LMM524366:LMM524367 LMM589902:LMM589903 LMM655438:LMM655439 LMM720974:LMM720975 LMM786510:LMM786511 LMM852046:LMM852047 LMM917582:LMM917583 LMM983118:LMM983119 LWE81:LWE88 LWE65617:LWE65624 LWE131153:LWE131160 LWE196689:LWE196696 LWE262225:LWE262232 LWE327761:LWE327768 LWE393297:LWE393304 LWE458833:LWE458840 LWE524369:LWE524376 LWE589905:LWE589912 LWE655441:LWE655448 LWE720977:LWE720984 LWE786513:LWE786520 LWE852049:LWE852056 LWE917585:LWE917592 LWE983121:LWE983128 LWI78:LWI79 LWI65614:LWI65615 LWI131150:LWI131151 LWI196686:LWI196687 LWI262222:LWI262223 LWI327758:LWI327759 LWI393294:LWI393295 LWI458830:LWI458831 LWI524366:LWI524367 LWI589902:LWI589903 LWI655438:LWI655439 LWI720974:LWI720975 LWI786510:LWI786511 LWI852046:LWI852047 LWI917582:LWI917583 LWI983118:LWI983119 MGA81:MGA88 MGA65617:MGA65624 MGA131153:MGA131160 MGA196689:MGA196696 MGA262225:MGA262232 MGA327761:MGA327768 MGA393297:MGA393304 MGA458833:MGA458840 MGA524369:MGA524376 MGA589905:MGA589912 MGA655441:MGA655448 MGA720977:MGA720984 MGA786513:MGA786520 MGA852049:MGA852056 MGA917585:MGA917592 MGA983121:MGA983128 MGE78:MGE79 MGE65614:MGE65615 MGE131150:MGE131151 MGE196686:MGE196687 MGE262222:MGE262223 MGE327758:MGE327759 MGE393294:MGE393295 MGE458830:MGE458831 MGE524366:MGE524367 MGE589902:MGE589903 MGE655438:MGE655439 MGE720974:MGE720975 MGE786510:MGE786511 MGE852046:MGE852047 MGE917582:MGE917583 MGE983118:MGE983119 MPW81:MPW88 MPW65617:MPW65624 MPW131153:MPW131160 MPW196689:MPW196696 MPW262225:MPW262232 MPW327761:MPW327768 MPW393297:MPW393304 MPW458833:MPW458840 MPW524369:MPW524376 MPW589905:MPW589912 MPW655441:MPW655448 MPW720977:MPW720984 MPW786513:MPW786520 MPW852049:MPW852056 MPW917585:MPW917592 MPW983121:MPW983128 MQA78:MQA79 MQA65614:MQA65615 MQA131150:MQA131151 MQA196686:MQA196687 MQA262222:MQA262223 MQA327758:MQA327759 MQA393294:MQA393295 MQA458830:MQA458831 MQA524366:MQA524367 MQA589902:MQA589903 MQA655438:MQA655439 MQA720974:MQA720975 MQA786510:MQA786511 MQA852046:MQA852047 MQA917582:MQA917583 MQA983118:MQA983119 MZS81:MZS88 MZS65617:MZS65624 MZS131153:MZS131160 MZS196689:MZS196696 MZS262225:MZS262232 MZS327761:MZS327768 MZS393297:MZS393304 MZS458833:MZS458840 MZS524369:MZS524376 MZS589905:MZS589912 MZS655441:MZS655448 MZS720977:MZS720984 MZS786513:MZS786520 MZS852049:MZS852056 MZS917585:MZS917592 MZS983121:MZS983128 MZW78:MZW79 MZW65614:MZW65615 MZW131150:MZW131151 MZW196686:MZW196687 MZW262222:MZW262223 MZW327758:MZW327759 MZW393294:MZW393295 MZW458830:MZW458831 MZW524366:MZW524367 MZW589902:MZW589903 MZW655438:MZW655439 MZW720974:MZW720975 MZW786510:MZW786511 MZW852046:MZW852047 MZW917582:MZW917583 MZW983118:MZW983119 NJO81:NJO88 NJO65617:NJO65624 NJO131153:NJO131160 NJO196689:NJO196696 NJO262225:NJO262232 NJO327761:NJO327768 NJO393297:NJO393304 NJO458833:NJO458840 NJO524369:NJO524376 NJO589905:NJO589912 NJO655441:NJO655448 NJO720977:NJO720984 NJO786513:NJO786520 NJO852049:NJO852056 NJO917585:NJO917592 NJO983121:NJO983128 NJS78:NJS79 NJS65614:NJS65615 NJS131150:NJS131151 NJS196686:NJS196687 NJS262222:NJS262223 NJS327758:NJS327759 NJS393294:NJS393295 NJS458830:NJS458831 NJS524366:NJS524367 NJS589902:NJS589903 NJS655438:NJS655439 NJS720974:NJS720975 NJS786510:NJS786511 NJS852046:NJS852047 NJS917582:NJS917583 NJS983118:NJS983119 NTK81:NTK88 NTK65617:NTK65624 NTK131153:NTK131160 NTK196689:NTK196696 NTK262225:NTK262232 NTK327761:NTK327768 NTK393297:NTK393304 NTK458833:NTK458840 NTK524369:NTK524376 NTK589905:NTK589912 NTK655441:NTK655448 NTK720977:NTK720984 NTK786513:NTK786520 NTK852049:NTK852056 NTK917585:NTK917592 NTK983121:NTK983128 NTO78:NTO79 NTO65614:NTO65615 NTO131150:NTO131151 NTO196686:NTO196687 NTO262222:NTO262223 NTO327758:NTO327759 NTO393294:NTO393295 NTO458830:NTO458831 NTO524366:NTO524367 NTO589902:NTO589903 NTO655438:NTO655439 NTO720974:NTO720975 NTO786510:NTO786511 NTO852046:NTO852047 NTO917582:NTO917583 NTO983118:NTO983119 ODG81:ODG88 ODG65617:ODG65624 ODG131153:ODG131160 ODG196689:ODG196696 ODG262225:ODG262232 ODG327761:ODG327768 ODG393297:ODG393304 ODG458833:ODG458840 ODG524369:ODG524376 ODG589905:ODG589912 ODG655441:ODG655448 ODG720977:ODG720984 ODG786513:ODG786520 ODG852049:ODG852056 ODG917585:ODG917592 ODG983121:ODG983128 ODK78:ODK79 ODK65614:ODK65615 ODK131150:ODK131151 ODK196686:ODK196687 ODK262222:ODK262223 ODK327758:ODK327759 ODK393294:ODK393295 ODK458830:ODK458831 ODK524366:ODK524367 ODK589902:ODK589903 ODK655438:ODK655439 ODK720974:ODK720975 ODK786510:ODK786511 ODK852046:ODK852047 ODK917582:ODK917583 ODK983118:ODK983119 ONC81:ONC88 ONC65617:ONC65624 ONC131153:ONC131160 ONC196689:ONC196696 ONC262225:ONC262232 ONC327761:ONC327768 ONC393297:ONC393304 ONC458833:ONC458840 ONC524369:ONC524376 ONC589905:ONC589912 ONC655441:ONC655448 ONC720977:ONC720984 ONC786513:ONC786520 ONC852049:ONC852056 ONC917585:ONC917592 ONC983121:ONC983128 ONG78:ONG79 ONG65614:ONG65615 ONG131150:ONG131151 ONG196686:ONG196687 ONG262222:ONG262223 ONG327758:ONG327759 ONG393294:ONG393295 ONG458830:ONG458831 ONG524366:ONG524367 ONG589902:ONG589903 ONG655438:ONG655439 ONG720974:ONG720975 ONG786510:ONG786511 ONG852046:ONG852047 ONG917582:ONG917583 ONG983118:ONG983119 OWY81:OWY88 OWY65617:OWY65624 OWY131153:OWY131160 OWY196689:OWY196696 OWY262225:OWY262232 OWY327761:OWY327768 OWY393297:OWY393304 OWY458833:OWY458840 OWY524369:OWY524376 OWY589905:OWY589912 OWY655441:OWY655448 OWY720977:OWY720984 OWY786513:OWY786520 OWY852049:OWY852056 OWY917585:OWY917592 OWY983121:OWY983128 OXC78:OXC79 OXC65614:OXC65615 OXC131150:OXC131151 OXC196686:OXC196687 OXC262222:OXC262223 OXC327758:OXC327759 OXC393294:OXC393295 OXC458830:OXC458831 OXC524366:OXC524367 OXC589902:OXC589903 OXC655438:OXC655439 OXC720974:OXC720975 OXC786510:OXC786511 OXC852046:OXC852047 OXC917582:OXC917583 OXC983118:OXC983119 PGU81:PGU88 PGU65617:PGU65624 PGU131153:PGU131160 PGU196689:PGU196696 PGU262225:PGU262232 PGU327761:PGU327768 PGU393297:PGU393304 PGU458833:PGU458840 PGU524369:PGU524376 PGU589905:PGU589912 PGU655441:PGU655448 PGU720977:PGU720984 PGU786513:PGU786520 PGU852049:PGU852056 PGU917585:PGU917592 PGU983121:PGU983128 PGY78:PGY79 PGY65614:PGY65615 PGY131150:PGY131151 PGY196686:PGY196687 PGY262222:PGY262223 PGY327758:PGY327759 PGY393294:PGY393295 PGY458830:PGY458831 PGY524366:PGY524367 PGY589902:PGY589903 PGY655438:PGY655439 PGY720974:PGY720975 PGY786510:PGY786511 PGY852046:PGY852047 PGY917582:PGY917583 PGY983118:PGY983119 PQQ81:PQQ88 PQQ65617:PQQ65624 PQQ131153:PQQ131160 PQQ196689:PQQ196696 PQQ262225:PQQ262232 PQQ327761:PQQ327768 PQQ393297:PQQ393304 PQQ458833:PQQ458840 PQQ524369:PQQ524376 PQQ589905:PQQ589912 PQQ655441:PQQ655448 PQQ720977:PQQ720984 PQQ786513:PQQ786520 PQQ852049:PQQ852056 PQQ917585:PQQ917592 PQQ983121:PQQ983128 PQU78:PQU79 PQU65614:PQU65615 PQU131150:PQU131151 PQU196686:PQU196687 PQU262222:PQU262223 PQU327758:PQU327759 PQU393294:PQU393295 PQU458830:PQU458831 PQU524366:PQU524367 PQU589902:PQU589903 PQU655438:PQU655439 PQU720974:PQU720975 PQU786510:PQU786511 PQU852046:PQU852047 PQU917582:PQU917583 PQU983118:PQU983119 QAM81:QAM88 QAM65617:QAM65624 QAM131153:QAM131160 QAM196689:QAM196696 QAM262225:QAM262232 QAM327761:QAM327768 QAM393297:QAM393304 QAM458833:QAM458840 QAM524369:QAM524376 QAM589905:QAM589912 QAM655441:QAM655448 QAM720977:QAM720984 QAM786513:QAM786520 QAM852049:QAM852056 QAM917585:QAM917592 QAM983121:QAM983128 QAQ78:QAQ79 QAQ65614:QAQ65615 QAQ131150:QAQ131151 QAQ196686:QAQ196687 QAQ262222:QAQ262223 QAQ327758:QAQ327759 QAQ393294:QAQ393295 QAQ458830:QAQ458831 QAQ524366:QAQ524367 QAQ589902:QAQ589903 QAQ655438:QAQ655439 QAQ720974:QAQ720975 QAQ786510:QAQ786511 QAQ852046:QAQ852047 QAQ917582:QAQ917583 QAQ983118:QAQ983119 QKI81:QKI88 QKI65617:QKI65624 QKI131153:QKI131160 QKI196689:QKI196696 QKI262225:QKI262232 QKI327761:QKI327768 QKI393297:QKI393304 QKI458833:QKI458840 QKI524369:QKI524376 QKI589905:QKI589912 QKI655441:QKI655448 QKI720977:QKI720984 QKI786513:QKI786520 QKI852049:QKI852056 QKI917585:QKI917592 QKI983121:QKI983128 QKM78:QKM79 QKM65614:QKM65615 QKM131150:QKM131151 QKM196686:QKM196687 QKM262222:QKM262223 QKM327758:QKM327759 QKM393294:QKM393295 QKM458830:QKM458831 QKM524366:QKM524367 QKM589902:QKM589903 QKM655438:QKM655439 QKM720974:QKM720975 QKM786510:QKM786511 QKM852046:QKM852047 QKM917582:QKM917583 QKM983118:QKM983119 QUE81:QUE88 QUE65617:QUE65624 QUE131153:QUE131160 QUE196689:QUE196696 QUE262225:QUE262232 QUE327761:QUE327768 QUE393297:QUE393304 QUE458833:QUE458840 QUE524369:QUE524376 QUE589905:QUE589912 QUE655441:QUE655448 QUE720977:QUE720984 QUE786513:QUE786520 QUE852049:QUE852056 QUE917585:QUE917592 QUE983121:QUE983128 QUI78:QUI79 QUI65614:QUI65615 QUI131150:QUI131151 QUI196686:QUI196687 QUI262222:QUI262223 QUI327758:QUI327759 QUI393294:QUI393295 QUI458830:QUI458831 QUI524366:QUI524367 QUI589902:QUI589903 QUI655438:QUI655439 QUI720974:QUI720975 QUI786510:QUI786511 QUI852046:QUI852047 QUI917582:QUI917583 QUI983118:QUI983119 REA81:REA88 REA65617:REA65624 REA131153:REA131160 REA196689:REA196696 REA262225:REA262232 REA327761:REA327768 REA393297:REA393304 REA458833:REA458840 REA524369:REA524376 REA589905:REA589912 REA655441:REA655448 REA720977:REA720984 REA786513:REA786520 REA852049:REA852056 REA917585:REA917592 REA983121:REA983128 REE78:REE79 REE65614:REE65615 REE131150:REE131151 REE196686:REE196687 REE262222:REE262223 REE327758:REE327759 REE393294:REE393295 REE458830:REE458831 REE524366:REE524367 REE589902:REE589903 REE655438:REE655439 REE720974:REE720975 REE786510:REE786511 REE852046:REE852047 REE917582:REE917583 REE983118:REE983119 RNW81:RNW88 RNW65617:RNW65624 RNW131153:RNW131160 RNW196689:RNW196696 RNW262225:RNW262232 RNW327761:RNW327768 RNW393297:RNW393304 RNW458833:RNW458840 RNW524369:RNW524376 RNW589905:RNW589912 RNW655441:RNW655448 RNW720977:RNW720984 RNW786513:RNW786520 RNW852049:RNW852056 RNW917585:RNW917592 RNW983121:RNW983128 ROA78:ROA79 ROA65614:ROA65615 ROA131150:ROA131151 ROA196686:ROA196687 ROA262222:ROA262223 ROA327758:ROA327759 ROA393294:ROA393295 ROA458830:ROA458831 ROA524366:ROA524367 ROA589902:ROA589903 ROA655438:ROA655439 ROA720974:ROA720975 ROA786510:ROA786511 ROA852046:ROA852047 ROA917582:ROA917583 ROA983118:ROA983119 RXS81:RXS88 RXS65617:RXS65624 RXS131153:RXS131160 RXS196689:RXS196696 RXS262225:RXS262232 RXS327761:RXS327768 RXS393297:RXS393304 RXS458833:RXS458840 RXS524369:RXS524376 RXS589905:RXS589912 RXS655441:RXS655448 RXS720977:RXS720984 RXS786513:RXS786520 RXS852049:RXS852056 RXS917585:RXS917592 RXS983121:RXS983128 RXW78:RXW79 RXW65614:RXW65615 RXW131150:RXW131151 RXW196686:RXW196687 RXW262222:RXW262223 RXW327758:RXW327759 RXW393294:RXW393295 RXW458830:RXW458831 RXW524366:RXW524367 RXW589902:RXW589903 RXW655438:RXW655439 RXW720974:RXW720975 RXW786510:RXW786511 RXW852046:RXW852047 RXW917582:RXW917583 RXW983118:RXW983119 SHO81:SHO88 SHO65617:SHO65624 SHO131153:SHO131160 SHO196689:SHO196696 SHO262225:SHO262232 SHO327761:SHO327768 SHO393297:SHO393304 SHO458833:SHO458840 SHO524369:SHO524376 SHO589905:SHO589912 SHO655441:SHO655448 SHO720977:SHO720984 SHO786513:SHO786520 SHO852049:SHO852056 SHO917585:SHO917592 SHO983121:SHO983128 SHS78:SHS79 SHS65614:SHS65615 SHS131150:SHS131151 SHS196686:SHS196687 SHS262222:SHS262223 SHS327758:SHS327759 SHS393294:SHS393295 SHS458830:SHS458831 SHS524366:SHS524367 SHS589902:SHS589903 SHS655438:SHS655439 SHS720974:SHS720975 SHS786510:SHS786511 SHS852046:SHS852047 SHS917582:SHS917583 SHS983118:SHS983119 SRK81:SRK88 SRK65617:SRK65624 SRK131153:SRK131160 SRK196689:SRK196696 SRK262225:SRK262232 SRK327761:SRK327768 SRK393297:SRK393304 SRK458833:SRK458840 SRK524369:SRK524376 SRK589905:SRK589912 SRK655441:SRK655448 SRK720977:SRK720984 SRK786513:SRK786520 SRK852049:SRK852056 SRK917585:SRK917592 SRK983121:SRK983128 SRO78:SRO79 SRO65614:SRO65615 SRO131150:SRO131151 SRO196686:SRO196687 SRO262222:SRO262223 SRO327758:SRO327759 SRO393294:SRO393295 SRO458830:SRO458831 SRO524366:SRO524367 SRO589902:SRO589903 SRO655438:SRO655439 SRO720974:SRO720975 SRO786510:SRO786511 SRO852046:SRO852047 SRO917582:SRO917583 SRO983118:SRO983119 TBG81:TBG88 TBG65617:TBG65624 TBG131153:TBG131160 TBG196689:TBG196696 TBG262225:TBG262232 TBG327761:TBG327768 TBG393297:TBG393304 TBG458833:TBG458840 TBG524369:TBG524376 TBG589905:TBG589912 TBG655441:TBG655448 TBG720977:TBG720984 TBG786513:TBG786520 TBG852049:TBG852056 TBG917585:TBG917592 TBG983121:TBG983128 TBK78:TBK79 TBK65614:TBK65615 TBK131150:TBK131151 TBK196686:TBK196687 TBK262222:TBK262223 TBK327758:TBK327759 TBK393294:TBK393295 TBK458830:TBK458831 TBK524366:TBK524367 TBK589902:TBK589903 TBK655438:TBK655439 TBK720974:TBK720975 TBK786510:TBK786511 TBK852046:TBK852047 TBK917582:TBK917583 TBK983118:TBK983119 TLC81:TLC88 TLC65617:TLC65624 TLC131153:TLC131160 TLC196689:TLC196696 TLC262225:TLC262232 TLC327761:TLC327768 TLC393297:TLC393304 TLC458833:TLC458840 TLC524369:TLC524376 TLC589905:TLC589912 TLC655441:TLC655448 TLC720977:TLC720984 TLC786513:TLC786520 TLC852049:TLC852056 TLC917585:TLC917592 TLC983121:TLC983128 TLG78:TLG79 TLG65614:TLG65615 TLG131150:TLG131151 TLG196686:TLG196687 TLG262222:TLG262223 TLG327758:TLG327759 TLG393294:TLG393295 TLG458830:TLG458831 TLG524366:TLG524367 TLG589902:TLG589903 TLG655438:TLG655439 TLG720974:TLG720975 TLG786510:TLG786511 TLG852046:TLG852047 TLG917582:TLG917583 TLG983118:TLG983119 TUY81:TUY88 TUY65617:TUY65624 TUY131153:TUY131160 TUY196689:TUY196696 TUY262225:TUY262232 TUY327761:TUY327768 TUY393297:TUY393304 TUY458833:TUY458840 TUY524369:TUY524376 TUY589905:TUY589912 TUY655441:TUY655448 TUY720977:TUY720984 TUY786513:TUY786520 TUY852049:TUY852056 TUY917585:TUY917592 TUY983121:TUY983128 TVC78:TVC79 TVC65614:TVC65615 TVC131150:TVC131151 TVC196686:TVC196687 TVC262222:TVC262223 TVC327758:TVC327759 TVC393294:TVC393295 TVC458830:TVC458831 TVC524366:TVC524367 TVC589902:TVC589903 TVC655438:TVC655439 TVC720974:TVC720975 TVC786510:TVC786511 TVC852046:TVC852047 TVC917582:TVC917583 TVC983118:TVC983119 UEU81:UEU88 UEU65617:UEU65624 UEU131153:UEU131160 UEU196689:UEU196696 UEU262225:UEU262232 UEU327761:UEU327768 UEU393297:UEU393304 UEU458833:UEU458840 UEU524369:UEU524376 UEU589905:UEU589912 UEU655441:UEU655448 UEU720977:UEU720984 UEU786513:UEU786520 UEU852049:UEU852056 UEU917585:UEU917592 UEU983121:UEU983128 UEY78:UEY79 UEY65614:UEY65615 UEY131150:UEY131151 UEY196686:UEY196687 UEY262222:UEY262223 UEY327758:UEY327759 UEY393294:UEY393295 UEY458830:UEY458831 UEY524366:UEY524367 UEY589902:UEY589903 UEY655438:UEY655439 UEY720974:UEY720975 UEY786510:UEY786511 UEY852046:UEY852047 UEY917582:UEY917583 UEY983118:UEY983119 UOQ81:UOQ88 UOQ65617:UOQ65624 UOQ131153:UOQ131160 UOQ196689:UOQ196696 UOQ262225:UOQ262232 UOQ327761:UOQ327768 UOQ393297:UOQ393304 UOQ458833:UOQ458840 UOQ524369:UOQ524376 UOQ589905:UOQ589912 UOQ655441:UOQ655448 UOQ720977:UOQ720984 UOQ786513:UOQ786520 UOQ852049:UOQ852056 UOQ917585:UOQ917592 UOQ983121:UOQ983128 UOU78:UOU79 UOU65614:UOU65615 UOU131150:UOU131151 UOU196686:UOU196687 UOU262222:UOU262223 UOU327758:UOU327759 UOU393294:UOU393295 UOU458830:UOU458831 UOU524366:UOU524367 UOU589902:UOU589903 UOU655438:UOU655439 UOU720974:UOU720975 UOU786510:UOU786511 UOU852046:UOU852047 UOU917582:UOU917583 UOU983118:UOU983119 UYM81:UYM88 UYM65617:UYM65624 UYM131153:UYM131160 UYM196689:UYM196696 UYM262225:UYM262232 UYM327761:UYM327768 UYM393297:UYM393304 UYM458833:UYM458840 UYM524369:UYM524376 UYM589905:UYM589912 UYM655441:UYM655448 UYM720977:UYM720984 UYM786513:UYM786520 UYM852049:UYM852056 UYM917585:UYM917592 UYM983121:UYM983128 UYQ78:UYQ79 UYQ65614:UYQ65615 UYQ131150:UYQ131151 UYQ196686:UYQ196687 UYQ262222:UYQ262223 UYQ327758:UYQ327759 UYQ393294:UYQ393295 UYQ458830:UYQ458831 UYQ524366:UYQ524367 UYQ589902:UYQ589903 UYQ655438:UYQ655439 UYQ720974:UYQ720975 UYQ786510:UYQ786511 UYQ852046:UYQ852047 UYQ917582:UYQ917583 UYQ983118:UYQ983119 VII81:VII88 VII65617:VII65624 VII131153:VII131160 VII196689:VII196696 VII262225:VII262232 VII327761:VII327768 VII393297:VII393304 VII458833:VII458840 VII524369:VII524376 VII589905:VII589912 VII655441:VII655448 VII720977:VII720984 VII786513:VII786520 VII852049:VII852056 VII917585:VII917592 VII983121:VII983128 VIM78:VIM79 VIM65614:VIM65615 VIM131150:VIM131151 VIM196686:VIM196687 VIM262222:VIM262223 VIM327758:VIM327759 VIM393294:VIM393295 VIM458830:VIM458831 VIM524366:VIM524367 VIM589902:VIM589903 VIM655438:VIM655439 VIM720974:VIM720975 VIM786510:VIM786511 VIM852046:VIM852047 VIM917582:VIM917583 VIM983118:VIM983119 VSE81:VSE88 VSE65617:VSE65624 VSE131153:VSE131160 VSE196689:VSE196696 VSE262225:VSE262232 VSE327761:VSE327768 VSE393297:VSE393304 VSE458833:VSE458840 VSE524369:VSE524376 VSE589905:VSE589912 VSE655441:VSE655448 VSE720977:VSE720984 VSE786513:VSE786520 VSE852049:VSE852056 VSE917585:VSE917592 VSE983121:VSE983128 VSI78:VSI79 VSI65614:VSI65615 VSI131150:VSI131151 VSI196686:VSI196687 VSI262222:VSI262223 VSI327758:VSI327759 VSI393294:VSI393295 VSI458830:VSI458831 VSI524366:VSI524367 VSI589902:VSI589903 VSI655438:VSI655439 VSI720974:VSI720975 VSI786510:VSI786511 VSI852046:VSI852047 VSI917582:VSI917583 VSI983118:VSI983119 WCA81:WCA88 WCA65617:WCA65624 WCA131153:WCA131160 WCA196689:WCA196696 WCA262225:WCA262232 WCA327761:WCA327768 WCA393297:WCA393304 WCA458833:WCA458840 WCA524369:WCA524376 WCA589905:WCA589912 WCA655441:WCA655448 WCA720977:WCA720984 WCA786513:WCA786520 WCA852049:WCA852056 WCA917585:WCA917592 WCA983121:WCA983128 WCE78:WCE79 WCE65614:WCE65615 WCE131150:WCE131151 WCE196686:WCE196687 WCE262222:WCE262223 WCE327758:WCE327759 WCE393294:WCE393295 WCE458830:WCE458831 WCE524366:WCE524367 WCE589902:WCE589903 WCE655438:WCE655439 WCE720974:WCE720975 WCE786510:WCE786511 WCE852046:WCE852047 WCE917582:WCE917583 WCE983118:WCE983119 WLW81:WLW88 WLW65617:WLW65624 WLW131153:WLW131160 WLW196689:WLW196696 WLW262225:WLW262232 WLW327761:WLW327768 WLW393297:WLW393304 WLW458833:WLW458840 WLW524369:WLW524376 WLW589905:WLW589912 WLW655441:WLW655448 WLW720977:WLW720984 WLW786513:WLW786520 WLW852049:WLW852056 WLW917585:WLW917592 WLW983121:WLW983128 WMA78:WMA79 WMA65614:WMA65615 WMA131150:WMA131151 WMA196686:WMA196687 WMA262222:WMA262223 WMA327758:WMA327759 WMA393294:WMA393295 WMA458830:WMA458831 WMA524366:WMA524367 WMA589902:WMA589903 WMA655438:WMA655439 WMA720974:WMA720975 WMA786510:WMA786511 WMA852046:WMA852047 WMA917582:WMA917583 WMA983118:WMA983119 WVS81:WVS88 WVS65617:WVS65624 WVS131153:WVS131160 WVS196689:WVS196696 WVS262225:WVS262232 WVS327761:WVS327768 WVS393297:WVS393304 WVS458833:WVS458840 WVS524369:WVS524376 WVS589905:WVS589912 WVS655441:WVS655448 WVS720977:WVS720984 WVS786513:WVS786520 WVS852049:WVS852056 WVS917585:WVS917592 WVS983121:WVS983128 WVW78:WVW79 WVW65614:WVW65615 WVW131150:WVW131151 WVW196686:WVW196687 WVW262222:WVW262223 WVW327758:WVW327759 WVW393294:WVW393295 WVW458830:WVW458831 WVW524366:WVW524367 WVW589902:WVW589903 WVW655438:WVW655439 WVW720974:WVW720975 WVW786510:WVW786511 WVW852046:WVW852047 WVW917582:WVW917583 WVW983118:WVW983119" xr:uid="{00000000-0002-0000-0C00-000003000000}">
      <formula1>数字</formula1>
    </dataValidation>
    <dataValidation type="list" allowBlank="1" showInputMessage="1" showErrorMessage="1" sqref="N81:W88 N65617:W65624 N131153:W131160 N196689:W196696 N262225:W262232 N327761:W327768 N393297:W393304 N458833:W458840 N524369:W524376 N589905:W589912 N655441:W655448 N720977:W720984 N786513:W786520 N852049:W852056 N917585:W917592 N983121:W983128 JJ81:JS88 JJ65617:JS65624 JJ131153:JS131160 JJ196689:JS196696 JJ262225:JS262232 JJ327761:JS327768 JJ393297:JS393304 JJ458833:JS458840 JJ524369:JS524376 JJ589905:JS589912 JJ655441:JS655448 JJ720977:JS720984 JJ786513:JS786520 JJ852049:JS852056 JJ917585:JS917592 JJ983121:JS983128 TF81:TO88 TF65617:TO65624 TF131153:TO131160 TF196689:TO196696 TF262225:TO262232 TF327761:TO327768 TF393297:TO393304 TF458833:TO458840 TF524369:TO524376 TF589905:TO589912 TF655441:TO655448 TF720977:TO720984 TF786513:TO786520 TF852049:TO852056 TF917585:TO917592 TF983121:TO983128 ADB81:ADK88 ADB65617:ADK65624 ADB131153:ADK131160 ADB196689:ADK196696 ADB262225:ADK262232 ADB327761:ADK327768 ADB393297:ADK393304 ADB458833:ADK458840 ADB524369:ADK524376 ADB589905:ADK589912 ADB655441:ADK655448 ADB720977:ADK720984 ADB786513:ADK786520 ADB852049:ADK852056 ADB917585:ADK917592 ADB983121:ADK983128 AMX81:ANG88 AMX65617:ANG65624 AMX131153:ANG131160 AMX196689:ANG196696 AMX262225:ANG262232 AMX327761:ANG327768 AMX393297:ANG393304 AMX458833:ANG458840 AMX524369:ANG524376 AMX589905:ANG589912 AMX655441:ANG655448 AMX720977:ANG720984 AMX786513:ANG786520 AMX852049:ANG852056 AMX917585:ANG917592 AMX983121:ANG983128 AWT81:AXC88 AWT65617:AXC65624 AWT131153:AXC131160 AWT196689:AXC196696 AWT262225:AXC262232 AWT327761:AXC327768 AWT393297:AXC393304 AWT458833:AXC458840 AWT524369:AXC524376 AWT589905:AXC589912 AWT655441:AXC655448 AWT720977:AXC720984 AWT786513:AXC786520 AWT852049:AXC852056 AWT917585:AXC917592 AWT983121:AXC983128 BGP81:BGY88 BGP65617:BGY65624 BGP131153:BGY131160 BGP196689:BGY196696 BGP262225:BGY262232 BGP327761:BGY327768 BGP393297:BGY393304 BGP458833:BGY458840 BGP524369:BGY524376 BGP589905:BGY589912 BGP655441:BGY655448 BGP720977:BGY720984 BGP786513:BGY786520 BGP852049:BGY852056 BGP917585:BGY917592 BGP983121:BGY983128 BQL81:BQU88 BQL65617:BQU65624 BQL131153:BQU131160 BQL196689:BQU196696 BQL262225:BQU262232 BQL327761:BQU327768 BQL393297:BQU393304 BQL458833:BQU458840 BQL524369:BQU524376 BQL589905:BQU589912 BQL655441:BQU655448 BQL720977:BQU720984 BQL786513:BQU786520 BQL852049:BQU852056 BQL917585:BQU917592 BQL983121:BQU983128 CAH81:CAQ88 CAH65617:CAQ65624 CAH131153:CAQ131160 CAH196689:CAQ196696 CAH262225:CAQ262232 CAH327761:CAQ327768 CAH393297:CAQ393304 CAH458833:CAQ458840 CAH524369:CAQ524376 CAH589905:CAQ589912 CAH655441:CAQ655448 CAH720977:CAQ720984 CAH786513:CAQ786520 CAH852049:CAQ852056 CAH917585:CAQ917592 CAH983121:CAQ983128 CKD81:CKM88 CKD65617:CKM65624 CKD131153:CKM131160 CKD196689:CKM196696 CKD262225:CKM262232 CKD327761:CKM327768 CKD393297:CKM393304 CKD458833:CKM458840 CKD524369:CKM524376 CKD589905:CKM589912 CKD655441:CKM655448 CKD720977:CKM720984 CKD786513:CKM786520 CKD852049:CKM852056 CKD917585:CKM917592 CKD983121:CKM983128 CTZ81:CUI88 CTZ65617:CUI65624 CTZ131153:CUI131160 CTZ196689:CUI196696 CTZ262225:CUI262232 CTZ327761:CUI327768 CTZ393297:CUI393304 CTZ458833:CUI458840 CTZ524369:CUI524376 CTZ589905:CUI589912 CTZ655441:CUI655448 CTZ720977:CUI720984 CTZ786513:CUI786520 CTZ852049:CUI852056 CTZ917585:CUI917592 CTZ983121:CUI983128 DDV81:DEE88 DDV65617:DEE65624 DDV131153:DEE131160 DDV196689:DEE196696 DDV262225:DEE262232 DDV327761:DEE327768 DDV393297:DEE393304 DDV458833:DEE458840 DDV524369:DEE524376 DDV589905:DEE589912 DDV655441:DEE655448 DDV720977:DEE720984 DDV786513:DEE786520 DDV852049:DEE852056 DDV917585:DEE917592 DDV983121:DEE983128 DNR81:DOA88 DNR65617:DOA65624 DNR131153:DOA131160 DNR196689:DOA196696 DNR262225:DOA262232 DNR327761:DOA327768 DNR393297:DOA393304 DNR458833:DOA458840 DNR524369:DOA524376 DNR589905:DOA589912 DNR655441:DOA655448 DNR720977:DOA720984 DNR786513:DOA786520 DNR852049:DOA852056 DNR917585:DOA917592 DNR983121:DOA983128 DXN81:DXW88 DXN65617:DXW65624 DXN131153:DXW131160 DXN196689:DXW196696 DXN262225:DXW262232 DXN327761:DXW327768 DXN393297:DXW393304 DXN458833:DXW458840 DXN524369:DXW524376 DXN589905:DXW589912 DXN655441:DXW655448 DXN720977:DXW720984 DXN786513:DXW786520 DXN852049:DXW852056 DXN917585:DXW917592 DXN983121:DXW983128 EHJ81:EHS88 EHJ65617:EHS65624 EHJ131153:EHS131160 EHJ196689:EHS196696 EHJ262225:EHS262232 EHJ327761:EHS327768 EHJ393297:EHS393304 EHJ458833:EHS458840 EHJ524369:EHS524376 EHJ589905:EHS589912 EHJ655441:EHS655448 EHJ720977:EHS720984 EHJ786513:EHS786520 EHJ852049:EHS852056 EHJ917585:EHS917592 EHJ983121:EHS983128 ERF81:ERO88 ERF65617:ERO65624 ERF131153:ERO131160 ERF196689:ERO196696 ERF262225:ERO262232 ERF327761:ERO327768 ERF393297:ERO393304 ERF458833:ERO458840 ERF524369:ERO524376 ERF589905:ERO589912 ERF655441:ERO655448 ERF720977:ERO720984 ERF786513:ERO786520 ERF852049:ERO852056 ERF917585:ERO917592 ERF983121:ERO983128 FBB81:FBK88 FBB65617:FBK65624 FBB131153:FBK131160 FBB196689:FBK196696 FBB262225:FBK262232 FBB327761:FBK327768 FBB393297:FBK393304 FBB458833:FBK458840 FBB524369:FBK524376 FBB589905:FBK589912 FBB655441:FBK655448 FBB720977:FBK720984 FBB786513:FBK786520 FBB852049:FBK852056 FBB917585:FBK917592 FBB983121:FBK983128 FKX81:FLG88 FKX65617:FLG65624 FKX131153:FLG131160 FKX196689:FLG196696 FKX262225:FLG262232 FKX327761:FLG327768 FKX393297:FLG393304 FKX458833:FLG458840 FKX524369:FLG524376 FKX589905:FLG589912 FKX655441:FLG655448 FKX720977:FLG720984 FKX786513:FLG786520 FKX852049:FLG852056 FKX917585:FLG917592 FKX983121:FLG983128 FUT81:FVC88 FUT65617:FVC65624 FUT131153:FVC131160 FUT196689:FVC196696 FUT262225:FVC262232 FUT327761:FVC327768 FUT393297:FVC393304 FUT458833:FVC458840 FUT524369:FVC524376 FUT589905:FVC589912 FUT655441:FVC655448 FUT720977:FVC720984 FUT786513:FVC786520 FUT852049:FVC852056 FUT917585:FVC917592 FUT983121:FVC983128 GEP81:GEY88 GEP65617:GEY65624 GEP131153:GEY131160 GEP196689:GEY196696 GEP262225:GEY262232 GEP327761:GEY327768 GEP393297:GEY393304 GEP458833:GEY458840 GEP524369:GEY524376 GEP589905:GEY589912 GEP655441:GEY655448 GEP720977:GEY720984 GEP786513:GEY786520 GEP852049:GEY852056 GEP917585:GEY917592 GEP983121:GEY983128 GOL81:GOU88 GOL65617:GOU65624 GOL131153:GOU131160 GOL196689:GOU196696 GOL262225:GOU262232 GOL327761:GOU327768 GOL393297:GOU393304 GOL458833:GOU458840 GOL524369:GOU524376 GOL589905:GOU589912 GOL655441:GOU655448 GOL720977:GOU720984 GOL786513:GOU786520 GOL852049:GOU852056 GOL917585:GOU917592 GOL983121:GOU983128 GYH81:GYQ88 GYH65617:GYQ65624 GYH131153:GYQ131160 GYH196689:GYQ196696 GYH262225:GYQ262232 GYH327761:GYQ327768 GYH393297:GYQ393304 GYH458833:GYQ458840 GYH524369:GYQ524376 GYH589905:GYQ589912 GYH655441:GYQ655448 GYH720977:GYQ720984 GYH786513:GYQ786520 GYH852049:GYQ852056 GYH917585:GYQ917592 GYH983121:GYQ983128 HID81:HIM88 HID65617:HIM65624 HID131153:HIM131160 HID196689:HIM196696 HID262225:HIM262232 HID327761:HIM327768 HID393297:HIM393304 HID458833:HIM458840 HID524369:HIM524376 HID589905:HIM589912 HID655441:HIM655448 HID720977:HIM720984 HID786513:HIM786520 HID852049:HIM852056 HID917585:HIM917592 HID983121:HIM983128 HRZ81:HSI88 HRZ65617:HSI65624 HRZ131153:HSI131160 HRZ196689:HSI196696 HRZ262225:HSI262232 HRZ327761:HSI327768 HRZ393297:HSI393304 HRZ458833:HSI458840 HRZ524369:HSI524376 HRZ589905:HSI589912 HRZ655441:HSI655448 HRZ720977:HSI720984 HRZ786513:HSI786520 HRZ852049:HSI852056 HRZ917585:HSI917592 HRZ983121:HSI983128 IBV81:ICE88 IBV65617:ICE65624 IBV131153:ICE131160 IBV196689:ICE196696 IBV262225:ICE262232 IBV327761:ICE327768 IBV393297:ICE393304 IBV458833:ICE458840 IBV524369:ICE524376 IBV589905:ICE589912 IBV655441:ICE655448 IBV720977:ICE720984 IBV786513:ICE786520 IBV852049:ICE852056 IBV917585:ICE917592 IBV983121:ICE983128 ILR81:IMA88 ILR65617:IMA65624 ILR131153:IMA131160 ILR196689:IMA196696 ILR262225:IMA262232 ILR327761:IMA327768 ILR393297:IMA393304 ILR458833:IMA458840 ILR524369:IMA524376 ILR589905:IMA589912 ILR655441:IMA655448 ILR720977:IMA720984 ILR786513:IMA786520 ILR852049:IMA852056 ILR917585:IMA917592 ILR983121:IMA983128 IVN81:IVW88 IVN65617:IVW65624 IVN131153:IVW131160 IVN196689:IVW196696 IVN262225:IVW262232 IVN327761:IVW327768 IVN393297:IVW393304 IVN458833:IVW458840 IVN524369:IVW524376 IVN589905:IVW589912 IVN655441:IVW655448 IVN720977:IVW720984 IVN786513:IVW786520 IVN852049:IVW852056 IVN917585:IVW917592 IVN983121:IVW983128 JFJ81:JFS88 JFJ65617:JFS65624 JFJ131153:JFS131160 JFJ196689:JFS196696 JFJ262225:JFS262232 JFJ327761:JFS327768 JFJ393297:JFS393304 JFJ458833:JFS458840 JFJ524369:JFS524376 JFJ589905:JFS589912 JFJ655441:JFS655448 JFJ720977:JFS720984 JFJ786513:JFS786520 JFJ852049:JFS852056 JFJ917585:JFS917592 JFJ983121:JFS983128 JPF81:JPO88 JPF65617:JPO65624 JPF131153:JPO131160 JPF196689:JPO196696 JPF262225:JPO262232 JPF327761:JPO327768 JPF393297:JPO393304 JPF458833:JPO458840 JPF524369:JPO524376 JPF589905:JPO589912 JPF655441:JPO655448 JPF720977:JPO720984 JPF786513:JPO786520 JPF852049:JPO852056 JPF917585:JPO917592 JPF983121:JPO983128 JZB81:JZK88 JZB65617:JZK65624 JZB131153:JZK131160 JZB196689:JZK196696 JZB262225:JZK262232 JZB327761:JZK327768 JZB393297:JZK393304 JZB458833:JZK458840 JZB524369:JZK524376 JZB589905:JZK589912 JZB655441:JZK655448 JZB720977:JZK720984 JZB786513:JZK786520 JZB852049:JZK852056 JZB917585:JZK917592 JZB983121:JZK983128 KIX81:KJG88 KIX65617:KJG65624 KIX131153:KJG131160 KIX196689:KJG196696 KIX262225:KJG262232 KIX327761:KJG327768 KIX393297:KJG393304 KIX458833:KJG458840 KIX524369:KJG524376 KIX589905:KJG589912 KIX655441:KJG655448 KIX720977:KJG720984 KIX786513:KJG786520 KIX852049:KJG852056 KIX917585:KJG917592 KIX983121:KJG983128 KST81:KTC88 KST65617:KTC65624 KST131153:KTC131160 KST196689:KTC196696 KST262225:KTC262232 KST327761:KTC327768 KST393297:KTC393304 KST458833:KTC458840 KST524369:KTC524376 KST589905:KTC589912 KST655441:KTC655448 KST720977:KTC720984 KST786513:KTC786520 KST852049:KTC852056 KST917585:KTC917592 KST983121:KTC983128 LCP81:LCY88 LCP65617:LCY65624 LCP131153:LCY131160 LCP196689:LCY196696 LCP262225:LCY262232 LCP327761:LCY327768 LCP393297:LCY393304 LCP458833:LCY458840 LCP524369:LCY524376 LCP589905:LCY589912 LCP655441:LCY655448 LCP720977:LCY720984 LCP786513:LCY786520 LCP852049:LCY852056 LCP917585:LCY917592 LCP983121:LCY983128 LML81:LMU88 LML65617:LMU65624 LML131153:LMU131160 LML196689:LMU196696 LML262225:LMU262232 LML327761:LMU327768 LML393297:LMU393304 LML458833:LMU458840 LML524369:LMU524376 LML589905:LMU589912 LML655441:LMU655448 LML720977:LMU720984 LML786513:LMU786520 LML852049:LMU852056 LML917585:LMU917592 LML983121:LMU983128 LWH81:LWQ88 LWH65617:LWQ65624 LWH131153:LWQ131160 LWH196689:LWQ196696 LWH262225:LWQ262232 LWH327761:LWQ327768 LWH393297:LWQ393304 LWH458833:LWQ458840 LWH524369:LWQ524376 LWH589905:LWQ589912 LWH655441:LWQ655448 LWH720977:LWQ720984 LWH786513:LWQ786520 LWH852049:LWQ852056 LWH917585:LWQ917592 LWH983121:LWQ983128 MGD81:MGM88 MGD65617:MGM65624 MGD131153:MGM131160 MGD196689:MGM196696 MGD262225:MGM262232 MGD327761:MGM327768 MGD393297:MGM393304 MGD458833:MGM458840 MGD524369:MGM524376 MGD589905:MGM589912 MGD655441:MGM655448 MGD720977:MGM720984 MGD786513:MGM786520 MGD852049:MGM852056 MGD917585:MGM917592 MGD983121:MGM983128 MPZ81:MQI88 MPZ65617:MQI65624 MPZ131153:MQI131160 MPZ196689:MQI196696 MPZ262225:MQI262232 MPZ327761:MQI327768 MPZ393297:MQI393304 MPZ458833:MQI458840 MPZ524369:MQI524376 MPZ589905:MQI589912 MPZ655441:MQI655448 MPZ720977:MQI720984 MPZ786513:MQI786520 MPZ852049:MQI852056 MPZ917585:MQI917592 MPZ983121:MQI983128 MZV81:NAE88 MZV65617:NAE65624 MZV131153:NAE131160 MZV196689:NAE196696 MZV262225:NAE262232 MZV327761:NAE327768 MZV393297:NAE393304 MZV458833:NAE458840 MZV524369:NAE524376 MZV589905:NAE589912 MZV655441:NAE655448 MZV720977:NAE720984 MZV786513:NAE786520 MZV852049:NAE852056 MZV917585:NAE917592 MZV983121:NAE983128 NJR81:NKA88 NJR65617:NKA65624 NJR131153:NKA131160 NJR196689:NKA196696 NJR262225:NKA262232 NJR327761:NKA327768 NJR393297:NKA393304 NJR458833:NKA458840 NJR524369:NKA524376 NJR589905:NKA589912 NJR655441:NKA655448 NJR720977:NKA720984 NJR786513:NKA786520 NJR852049:NKA852056 NJR917585:NKA917592 NJR983121:NKA983128 NTN81:NTW88 NTN65617:NTW65624 NTN131153:NTW131160 NTN196689:NTW196696 NTN262225:NTW262232 NTN327761:NTW327768 NTN393297:NTW393304 NTN458833:NTW458840 NTN524369:NTW524376 NTN589905:NTW589912 NTN655441:NTW655448 NTN720977:NTW720984 NTN786513:NTW786520 NTN852049:NTW852056 NTN917585:NTW917592 NTN983121:NTW983128 ODJ81:ODS88 ODJ65617:ODS65624 ODJ131153:ODS131160 ODJ196689:ODS196696 ODJ262225:ODS262232 ODJ327761:ODS327768 ODJ393297:ODS393304 ODJ458833:ODS458840 ODJ524369:ODS524376 ODJ589905:ODS589912 ODJ655441:ODS655448 ODJ720977:ODS720984 ODJ786513:ODS786520 ODJ852049:ODS852056 ODJ917585:ODS917592 ODJ983121:ODS983128 ONF81:ONO88 ONF65617:ONO65624 ONF131153:ONO131160 ONF196689:ONO196696 ONF262225:ONO262232 ONF327761:ONO327768 ONF393297:ONO393304 ONF458833:ONO458840 ONF524369:ONO524376 ONF589905:ONO589912 ONF655441:ONO655448 ONF720977:ONO720984 ONF786513:ONO786520 ONF852049:ONO852056 ONF917585:ONO917592 ONF983121:ONO983128 OXB81:OXK88 OXB65617:OXK65624 OXB131153:OXK131160 OXB196689:OXK196696 OXB262225:OXK262232 OXB327761:OXK327768 OXB393297:OXK393304 OXB458833:OXK458840 OXB524369:OXK524376 OXB589905:OXK589912 OXB655441:OXK655448 OXB720977:OXK720984 OXB786513:OXK786520 OXB852049:OXK852056 OXB917585:OXK917592 OXB983121:OXK983128 PGX81:PHG88 PGX65617:PHG65624 PGX131153:PHG131160 PGX196689:PHG196696 PGX262225:PHG262232 PGX327761:PHG327768 PGX393297:PHG393304 PGX458833:PHG458840 PGX524369:PHG524376 PGX589905:PHG589912 PGX655441:PHG655448 PGX720977:PHG720984 PGX786513:PHG786520 PGX852049:PHG852056 PGX917585:PHG917592 PGX983121:PHG983128 PQT81:PRC88 PQT65617:PRC65624 PQT131153:PRC131160 PQT196689:PRC196696 PQT262225:PRC262232 PQT327761:PRC327768 PQT393297:PRC393304 PQT458833:PRC458840 PQT524369:PRC524376 PQT589905:PRC589912 PQT655441:PRC655448 PQT720977:PRC720984 PQT786513:PRC786520 PQT852049:PRC852056 PQT917585:PRC917592 PQT983121:PRC983128 QAP81:QAY88 QAP65617:QAY65624 QAP131153:QAY131160 QAP196689:QAY196696 QAP262225:QAY262232 QAP327761:QAY327768 QAP393297:QAY393304 QAP458833:QAY458840 QAP524369:QAY524376 QAP589905:QAY589912 QAP655441:QAY655448 QAP720977:QAY720984 QAP786513:QAY786520 QAP852049:QAY852056 QAP917585:QAY917592 QAP983121:QAY983128 QKL81:QKU88 QKL65617:QKU65624 QKL131153:QKU131160 QKL196689:QKU196696 QKL262225:QKU262232 QKL327761:QKU327768 QKL393297:QKU393304 QKL458833:QKU458840 QKL524369:QKU524376 QKL589905:QKU589912 QKL655441:QKU655448 QKL720977:QKU720984 QKL786513:QKU786520 QKL852049:QKU852056 QKL917585:QKU917592 QKL983121:QKU983128 QUH81:QUQ88 QUH65617:QUQ65624 QUH131153:QUQ131160 QUH196689:QUQ196696 QUH262225:QUQ262232 QUH327761:QUQ327768 QUH393297:QUQ393304 QUH458833:QUQ458840 QUH524369:QUQ524376 QUH589905:QUQ589912 QUH655441:QUQ655448 QUH720977:QUQ720984 QUH786513:QUQ786520 QUH852049:QUQ852056 QUH917585:QUQ917592 QUH983121:QUQ983128 RED81:REM88 RED65617:REM65624 RED131153:REM131160 RED196689:REM196696 RED262225:REM262232 RED327761:REM327768 RED393297:REM393304 RED458833:REM458840 RED524369:REM524376 RED589905:REM589912 RED655441:REM655448 RED720977:REM720984 RED786513:REM786520 RED852049:REM852056 RED917585:REM917592 RED983121:REM983128 RNZ81:ROI88 RNZ65617:ROI65624 RNZ131153:ROI131160 RNZ196689:ROI196696 RNZ262225:ROI262232 RNZ327761:ROI327768 RNZ393297:ROI393304 RNZ458833:ROI458840 RNZ524369:ROI524376 RNZ589905:ROI589912 RNZ655441:ROI655448 RNZ720977:ROI720984 RNZ786513:ROI786520 RNZ852049:ROI852056 RNZ917585:ROI917592 RNZ983121:ROI983128 RXV81:RYE88 RXV65617:RYE65624 RXV131153:RYE131160 RXV196689:RYE196696 RXV262225:RYE262232 RXV327761:RYE327768 RXV393297:RYE393304 RXV458833:RYE458840 RXV524369:RYE524376 RXV589905:RYE589912 RXV655441:RYE655448 RXV720977:RYE720984 RXV786513:RYE786520 RXV852049:RYE852056 RXV917585:RYE917592 RXV983121:RYE983128 SHR81:SIA88 SHR65617:SIA65624 SHR131153:SIA131160 SHR196689:SIA196696 SHR262225:SIA262232 SHR327761:SIA327768 SHR393297:SIA393304 SHR458833:SIA458840 SHR524369:SIA524376 SHR589905:SIA589912 SHR655441:SIA655448 SHR720977:SIA720984 SHR786513:SIA786520 SHR852049:SIA852056 SHR917585:SIA917592 SHR983121:SIA983128 SRN81:SRW88 SRN65617:SRW65624 SRN131153:SRW131160 SRN196689:SRW196696 SRN262225:SRW262232 SRN327761:SRW327768 SRN393297:SRW393304 SRN458833:SRW458840 SRN524369:SRW524376 SRN589905:SRW589912 SRN655441:SRW655448 SRN720977:SRW720984 SRN786513:SRW786520 SRN852049:SRW852056 SRN917585:SRW917592 SRN983121:SRW983128 TBJ81:TBS88 TBJ65617:TBS65624 TBJ131153:TBS131160 TBJ196689:TBS196696 TBJ262225:TBS262232 TBJ327761:TBS327768 TBJ393297:TBS393304 TBJ458833:TBS458840 TBJ524369:TBS524376 TBJ589905:TBS589912 TBJ655441:TBS655448 TBJ720977:TBS720984 TBJ786513:TBS786520 TBJ852049:TBS852056 TBJ917585:TBS917592 TBJ983121:TBS983128 TLF81:TLO88 TLF65617:TLO65624 TLF131153:TLO131160 TLF196689:TLO196696 TLF262225:TLO262232 TLF327761:TLO327768 TLF393297:TLO393304 TLF458833:TLO458840 TLF524369:TLO524376 TLF589905:TLO589912 TLF655441:TLO655448 TLF720977:TLO720984 TLF786513:TLO786520 TLF852049:TLO852056 TLF917585:TLO917592 TLF983121:TLO983128 TVB81:TVK88 TVB65617:TVK65624 TVB131153:TVK131160 TVB196689:TVK196696 TVB262225:TVK262232 TVB327761:TVK327768 TVB393297:TVK393304 TVB458833:TVK458840 TVB524369:TVK524376 TVB589905:TVK589912 TVB655441:TVK655448 TVB720977:TVK720984 TVB786513:TVK786520 TVB852049:TVK852056 TVB917585:TVK917592 TVB983121:TVK983128 UEX81:UFG88 UEX65617:UFG65624 UEX131153:UFG131160 UEX196689:UFG196696 UEX262225:UFG262232 UEX327761:UFG327768 UEX393297:UFG393304 UEX458833:UFG458840 UEX524369:UFG524376 UEX589905:UFG589912 UEX655441:UFG655448 UEX720977:UFG720984 UEX786513:UFG786520 UEX852049:UFG852056 UEX917585:UFG917592 UEX983121:UFG983128 UOT81:UPC88 UOT65617:UPC65624 UOT131153:UPC131160 UOT196689:UPC196696 UOT262225:UPC262232 UOT327761:UPC327768 UOT393297:UPC393304 UOT458833:UPC458840 UOT524369:UPC524376 UOT589905:UPC589912 UOT655441:UPC655448 UOT720977:UPC720984 UOT786513:UPC786520 UOT852049:UPC852056 UOT917585:UPC917592 UOT983121:UPC983128 UYP81:UYY88 UYP65617:UYY65624 UYP131153:UYY131160 UYP196689:UYY196696 UYP262225:UYY262232 UYP327761:UYY327768 UYP393297:UYY393304 UYP458833:UYY458840 UYP524369:UYY524376 UYP589905:UYY589912 UYP655441:UYY655448 UYP720977:UYY720984 UYP786513:UYY786520 UYP852049:UYY852056 UYP917585:UYY917592 UYP983121:UYY983128 VIL81:VIU88 VIL65617:VIU65624 VIL131153:VIU131160 VIL196689:VIU196696 VIL262225:VIU262232 VIL327761:VIU327768 VIL393297:VIU393304 VIL458833:VIU458840 VIL524369:VIU524376 VIL589905:VIU589912 VIL655441:VIU655448 VIL720977:VIU720984 VIL786513:VIU786520 VIL852049:VIU852056 VIL917585:VIU917592 VIL983121:VIU983128 VSH81:VSQ88 VSH65617:VSQ65624 VSH131153:VSQ131160 VSH196689:VSQ196696 VSH262225:VSQ262232 VSH327761:VSQ327768 VSH393297:VSQ393304 VSH458833:VSQ458840 VSH524369:VSQ524376 VSH589905:VSQ589912 VSH655441:VSQ655448 VSH720977:VSQ720984 VSH786513:VSQ786520 VSH852049:VSQ852056 VSH917585:VSQ917592 VSH983121:VSQ983128 WCD81:WCM88 WCD65617:WCM65624 WCD131153:WCM131160 WCD196689:WCM196696 WCD262225:WCM262232 WCD327761:WCM327768 WCD393297:WCM393304 WCD458833:WCM458840 WCD524369:WCM524376 WCD589905:WCM589912 WCD655441:WCM655448 WCD720977:WCM720984 WCD786513:WCM786520 WCD852049:WCM852056 WCD917585:WCM917592 WCD983121:WCM983128 WLZ81:WMI88 WLZ65617:WMI65624 WLZ131153:WMI131160 WLZ196689:WMI196696 WLZ262225:WMI262232 WLZ327761:WMI327768 WLZ393297:WMI393304 WLZ458833:WMI458840 WLZ524369:WMI524376 WLZ589905:WMI589912 WLZ655441:WMI655448 WLZ720977:WMI720984 WLZ786513:WMI786520 WLZ852049:WMI852056 WLZ917585:WMI917592 WLZ983121:WMI983128 WVV81:WWE88 WVV65617:WWE65624 WVV131153:WWE131160 WVV196689:WWE196696 WVV262225:WWE262232 WVV327761:WWE327768 WVV393297:WWE393304 WVV458833:WWE458840 WVV524369:WWE524376 WVV589905:WWE589912 WVV655441:WWE655448 WVV720977:WWE720984 WVV786513:WWE786520 WVV852049:WWE852056 WVV917585:WWE917592 WVV983121:WWE983128" xr:uid="{00000000-0002-0000-0C00-000004000000}">
      <formula1>特定工程</formula1>
    </dataValidation>
    <dataValidation type="list" allowBlank="1" showInputMessage="1" sqref="G81:G88 G65617:G65624 G131153:G131160 G196689:G196696 G262225:G262232 G327761:G327768 G393297:G393304 G458833:G458840 G524369:G524376 G589905:G589912 G655441:G655448 G720977:G720984 G786513:G786520 G852049:G852056 G917585:G917592 G983121:G983128 K78:K79 K65614:K65615 K131150:K131151 K196686:K196687 K262222:K262223 K327758:K327759 K393294:K393295 K458830:K458831 K524366:K524367 K589902:K589903 K655438:K655439 K720974:K720975 K786510:K786511 K852046:K852047 K917582:K917583 K983118:K983119 JC81:JC88 JC65617:JC65624 JC131153:JC131160 JC196689:JC196696 JC262225:JC262232 JC327761:JC327768 JC393297:JC393304 JC458833:JC458840 JC524369:JC524376 JC589905:JC589912 JC655441:JC655448 JC720977:JC720984 JC786513:JC786520 JC852049:JC852056 JC917585:JC917592 JC983121:JC983128 JG78:JG79 JG65614:JG65615 JG131150:JG131151 JG196686:JG196687 JG262222:JG262223 JG327758:JG327759 JG393294:JG393295 JG458830:JG458831 JG524366:JG524367 JG589902:JG589903 JG655438:JG655439 JG720974:JG720975 JG786510:JG786511 JG852046:JG852047 JG917582:JG917583 JG983118:JG983119 SY81:SY88 SY65617:SY65624 SY131153:SY131160 SY196689:SY196696 SY262225:SY262232 SY327761:SY327768 SY393297:SY393304 SY458833:SY458840 SY524369:SY524376 SY589905:SY589912 SY655441:SY655448 SY720977:SY720984 SY786513:SY786520 SY852049:SY852056 SY917585:SY917592 SY983121:SY983128 TC78:TC79 TC65614:TC65615 TC131150:TC131151 TC196686:TC196687 TC262222:TC262223 TC327758:TC327759 TC393294:TC393295 TC458830:TC458831 TC524366:TC524367 TC589902:TC589903 TC655438:TC655439 TC720974:TC720975 TC786510:TC786511 TC852046:TC852047 TC917582:TC917583 TC983118:TC983119 ACU81:ACU88 ACU65617:ACU65624 ACU131153:ACU131160 ACU196689:ACU196696 ACU262225:ACU262232 ACU327761:ACU327768 ACU393297:ACU393304 ACU458833:ACU458840 ACU524369:ACU524376 ACU589905:ACU589912 ACU655441:ACU655448 ACU720977:ACU720984 ACU786513:ACU786520 ACU852049:ACU852056 ACU917585:ACU917592 ACU983121:ACU983128 ACY78:ACY79 ACY65614:ACY65615 ACY131150:ACY131151 ACY196686:ACY196687 ACY262222:ACY262223 ACY327758:ACY327759 ACY393294:ACY393295 ACY458830:ACY458831 ACY524366:ACY524367 ACY589902:ACY589903 ACY655438:ACY655439 ACY720974:ACY720975 ACY786510:ACY786511 ACY852046:ACY852047 ACY917582:ACY917583 ACY983118:ACY983119 AMQ81:AMQ88 AMQ65617:AMQ65624 AMQ131153:AMQ131160 AMQ196689:AMQ196696 AMQ262225:AMQ262232 AMQ327761:AMQ327768 AMQ393297:AMQ393304 AMQ458833:AMQ458840 AMQ524369:AMQ524376 AMQ589905:AMQ589912 AMQ655441:AMQ655448 AMQ720977:AMQ720984 AMQ786513:AMQ786520 AMQ852049:AMQ852056 AMQ917585:AMQ917592 AMQ983121:AMQ983128 AMU78:AMU79 AMU65614:AMU65615 AMU131150:AMU131151 AMU196686:AMU196687 AMU262222:AMU262223 AMU327758:AMU327759 AMU393294:AMU393295 AMU458830:AMU458831 AMU524366:AMU524367 AMU589902:AMU589903 AMU655438:AMU655439 AMU720974:AMU720975 AMU786510:AMU786511 AMU852046:AMU852047 AMU917582:AMU917583 AMU983118:AMU983119 AWM81:AWM88 AWM65617:AWM65624 AWM131153:AWM131160 AWM196689:AWM196696 AWM262225:AWM262232 AWM327761:AWM327768 AWM393297:AWM393304 AWM458833:AWM458840 AWM524369:AWM524376 AWM589905:AWM589912 AWM655441:AWM655448 AWM720977:AWM720984 AWM786513:AWM786520 AWM852049:AWM852056 AWM917585:AWM917592 AWM983121:AWM983128 AWQ78:AWQ79 AWQ65614:AWQ65615 AWQ131150:AWQ131151 AWQ196686:AWQ196687 AWQ262222:AWQ262223 AWQ327758:AWQ327759 AWQ393294:AWQ393295 AWQ458830:AWQ458831 AWQ524366:AWQ524367 AWQ589902:AWQ589903 AWQ655438:AWQ655439 AWQ720974:AWQ720975 AWQ786510:AWQ786511 AWQ852046:AWQ852047 AWQ917582:AWQ917583 AWQ983118:AWQ983119 BGI81:BGI88 BGI65617:BGI65624 BGI131153:BGI131160 BGI196689:BGI196696 BGI262225:BGI262232 BGI327761:BGI327768 BGI393297:BGI393304 BGI458833:BGI458840 BGI524369:BGI524376 BGI589905:BGI589912 BGI655441:BGI655448 BGI720977:BGI720984 BGI786513:BGI786520 BGI852049:BGI852056 BGI917585:BGI917592 BGI983121:BGI983128 BGM78:BGM79 BGM65614:BGM65615 BGM131150:BGM131151 BGM196686:BGM196687 BGM262222:BGM262223 BGM327758:BGM327759 BGM393294:BGM393295 BGM458830:BGM458831 BGM524366:BGM524367 BGM589902:BGM589903 BGM655438:BGM655439 BGM720974:BGM720975 BGM786510:BGM786511 BGM852046:BGM852047 BGM917582:BGM917583 BGM983118:BGM983119 BQE81:BQE88 BQE65617:BQE65624 BQE131153:BQE131160 BQE196689:BQE196696 BQE262225:BQE262232 BQE327761:BQE327768 BQE393297:BQE393304 BQE458833:BQE458840 BQE524369:BQE524376 BQE589905:BQE589912 BQE655441:BQE655448 BQE720977:BQE720984 BQE786513:BQE786520 BQE852049:BQE852056 BQE917585:BQE917592 BQE983121:BQE983128 BQI78:BQI79 BQI65614:BQI65615 BQI131150:BQI131151 BQI196686:BQI196687 BQI262222:BQI262223 BQI327758:BQI327759 BQI393294:BQI393295 BQI458830:BQI458831 BQI524366:BQI524367 BQI589902:BQI589903 BQI655438:BQI655439 BQI720974:BQI720975 BQI786510:BQI786511 BQI852046:BQI852047 BQI917582:BQI917583 BQI983118:BQI983119 CAA81:CAA88 CAA65617:CAA65624 CAA131153:CAA131160 CAA196689:CAA196696 CAA262225:CAA262232 CAA327761:CAA327768 CAA393297:CAA393304 CAA458833:CAA458840 CAA524369:CAA524376 CAA589905:CAA589912 CAA655441:CAA655448 CAA720977:CAA720984 CAA786513:CAA786520 CAA852049:CAA852056 CAA917585:CAA917592 CAA983121:CAA983128 CAE78:CAE79 CAE65614:CAE65615 CAE131150:CAE131151 CAE196686:CAE196687 CAE262222:CAE262223 CAE327758:CAE327759 CAE393294:CAE393295 CAE458830:CAE458831 CAE524366:CAE524367 CAE589902:CAE589903 CAE655438:CAE655439 CAE720974:CAE720975 CAE786510:CAE786511 CAE852046:CAE852047 CAE917582:CAE917583 CAE983118:CAE983119 CJW81:CJW88 CJW65617:CJW65624 CJW131153:CJW131160 CJW196689:CJW196696 CJW262225:CJW262232 CJW327761:CJW327768 CJW393297:CJW393304 CJW458833:CJW458840 CJW524369:CJW524376 CJW589905:CJW589912 CJW655441:CJW655448 CJW720977:CJW720984 CJW786513:CJW786520 CJW852049:CJW852056 CJW917585:CJW917592 CJW983121:CJW983128 CKA78:CKA79 CKA65614:CKA65615 CKA131150:CKA131151 CKA196686:CKA196687 CKA262222:CKA262223 CKA327758:CKA327759 CKA393294:CKA393295 CKA458830:CKA458831 CKA524366:CKA524367 CKA589902:CKA589903 CKA655438:CKA655439 CKA720974:CKA720975 CKA786510:CKA786511 CKA852046:CKA852047 CKA917582:CKA917583 CKA983118:CKA983119 CTS81:CTS88 CTS65617:CTS65624 CTS131153:CTS131160 CTS196689:CTS196696 CTS262225:CTS262232 CTS327761:CTS327768 CTS393297:CTS393304 CTS458833:CTS458840 CTS524369:CTS524376 CTS589905:CTS589912 CTS655441:CTS655448 CTS720977:CTS720984 CTS786513:CTS786520 CTS852049:CTS852056 CTS917585:CTS917592 CTS983121:CTS983128 CTW78:CTW79 CTW65614:CTW65615 CTW131150:CTW131151 CTW196686:CTW196687 CTW262222:CTW262223 CTW327758:CTW327759 CTW393294:CTW393295 CTW458830:CTW458831 CTW524366:CTW524367 CTW589902:CTW589903 CTW655438:CTW655439 CTW720974:CTW720975 CTW786510:CTW786511 CTW852046:CTW852047 CTW917582:CTW917583 CTW983118:CTW983119 DDO81:DDO88 DDO65617:DDO65624 DDO131153:DDO131160 DDO196689:DDO196696 DDO262225:DDO262232 DDO327761:DDO327768 DDO393297:DDO393304 DDO458833:DDO458840 DDO524369:DDO524376 DDO589905:DDO589912 DDO655441:DDO655448 DDO720977:DDO720984 DDO786513:DDO786520 DDO852049:DDO852056 DDO917585:DDO917592 DDO983121:DDO983128 DDS78:DDS79 DDS65614:DDS65615 DDS131150:DDS131151 DDS196686:DDS196687 DDS262222:DDS262223 DDS327758:DDS327759 DDS393294:DDS393295 DDS458830:DDS458831 DDS524366:DDS524367 DDS589902:DDS589903 DDS655438:DDS655439 DDS720974:DDS720975 DDS786510:DDS786511 DDS852046:DDS852047 DDS917582:DDS917583 DDS983118:DDS983119 DNK81:DNK88 DNK65617:DNK65624 DNK131153:DNK131160 DNK196689:DNK196696 DNK262225:DNK262232 DNK327761:DNK327768 DNK393297:DNK393304 DNK458833:DNK458840 DNK524369:DNK524376 DNK589905:DNK589912 DNK655441:DNK655448 DNK720977:DNK720984 DNK786513:DNK786520 DNK852049:DNK852056 DNK917585:DNK917592 DNK983121:DNK983128 DNO78:DNO79 DNO65614:DNO65615 DNO131150:DNO131151 DNO196686:DNO196687 DNO262222:DNO262223 DNO327758:DNO327759 DNO393294:DNO393295 DNO458830:DNO458831 DNO524366:DNO524367 DNO589902:DNO589903 DNO655438:DNO655439 DNO720974:DNO720975 DNO786510:DNO786511 DNO852046:DNO852047 DNO917582:DNO917583 DNO983118:DNO983119 DXG81:DXG88 DXG65617:DXG65624 DXG131153:DXG131160 DXG196689:DXG196696 DXG262225:DXG262232 DXG327761:DXG327768 DXG393297:DXG393304 DXG458833:DXG458840 DXG524369:DXG524376 DXG589905:DXG589912 DXG655441:DXG655448 DXG720977:DXG720984 DXG786513:DXG786520 DXG852049:DXG852056 DXG917585:DXG917592 DXG983121:DXG983128 DXK78:DXK79 DXK65614:DXK65615 DXK131150:DXK131151 DXK196686:DXK196687 DXK262222:DXK262223 DXK327758:DXK327759 DXK393294:DXK393295 DXK458830:DXK458831 DXK524366:DXK524367 DXK589902:DXK589903 DXK655438:DXK655439 DXK720974:DXK720975 DXK786510:DXK786511 DXK852046:DXK852047 DXK917582:DXK917583 DXK983118:DXK983119 EHC81:EHC88 EHC65617:EHC65624 EHC131153:EHC131160 EHC196689:EHC196696 EHC262225:EHC262232 EHC327761:EHC327768 EHC393297:EHC393304 EHC458833:EHC458840 EHC524369:EHC524376 EHC589905:EHC589912 EHC655441:EHC655448 EHC720977:EHC720984 EHC786513:EHC786520 EHC852049:EHC852056 EHC917585:EHC917592 EHC983121:EHC983128 EHG78:EHG79 EHG65614:EHG65615 EHG131150:EHG131151 EHG196686:EHG196687 EHG262222:EHG262223 EHG327758:EHG327759 EHG393294:EHG393295 EHG458830:EHG458831 EHG524366:EHG524367 EHG589902:EHG589903 EHG655438:EHG655439 EHG720974:EHG720975 EHG786510:EHG786511 EHG852046:EHG852047 EHG917582:EHG917583 EHG983118:EHG983119 EQY81:EQY88 EQY65617:EQY65624 EQY131153:EQY131160 EQY196689:EQY196696 EQY262225:EQY262232 EQY327761:EQY327768 EQY393297:EQY393304 EQY458833:EQY458840 EQY524369:EQY524376 EQY589905:EQY589912 EQY655441:EQY655448 EQY720977:EQY720984 EQY786513:EQY786520 EQY852049:EQY852056 EQY917585:EQY917592 EQY983121:EQY983128 ERC78:ERC79 ERC65614:ERC65615 ERC131150:ERC131151 ERC196686:ERC196687 ERC262222:ERC262223 ERC327758:ERC327759 ERC393294:ERC393295 ERC458830:ERC458831 ERC524366:ERC524367 ERC589902:ERC589903 ERC655438:ERC655439 ERC720974:ERC720975 ERC786510:ERC786511 ERC852046:ERC852047 ERC917582:ERC917583 ERC983118:ERC983119 FAU81:FAU88 FAU65617:FAU65624 FAU131153:FAU131160 FAU196689:FAU196696 FAU262225:FAU262232 FAU327761:FAU327768 FAU393297:FAU393304 FAU458833:FAU458840 FAU524369:FAU524376 FAU589905:FAU589912 FAU655441:FAU655448 FAU720977:FAU720984 FAU786513:FAU786520 FAU852049:FAU852056 FAU917585:FAU917592 FAU983121:FAU983128 FAY78:FAY79 FAY65614:FAY65615 FAY131150:FAY131151 FAY196686:FAY196687 FAY262222:FAY262223 FAY327758:FAY327759 FAY393294:FAY393295 FAY458830:FAY458831 FAY524366:FAY524367 FAY589902:FAY589903 FAY655438:FAY655439 FAY720974:FAY720975 FAY786510:FAY786511 FAY852046:FAY852047 FAY917582:FAY917583 FAY983118:FAY983119 FKQ81:FKQ88 FKQ65617:FKQ65624 FKQ131153:FKQ131160 FKQ196689:FKQ196696 FKQ262225:FKQ262232 FKQ327761:FKQ327768 FKQ393297:FKQ393304 FKQ458833:FKQ458840 FKQ524369:FKQ524376 FKQ589905:FKQ589912 FKQ655441:FKQ655448 FKQ720977:FKQ720984 FKQ786513:FKQ786520 FKQ852049:FKQ852056 FKQ917585:FKQ917592 FKQ983121:FKQ983128 FKU78:FKU79 FKU65614:FKU65615 FKU131150:FKU131151 FKU196686:FKU196687 FKU262222:FKU262223 FKU327758:FKU327759 FKU393294:FKU393295 FKU458830:FKU458831 FKU524366:FKU524367 FKU589902:FKU589903 FKU655438:FKU655439 FKU720974:FKU720975 FKU786510:FKU786511 FKU852046:FKU852047 FKU917582:FKU917583 FKU983118:FKU983119 FUM81:FUM88 FUM65617:FUM65624 FUM131153:FUM131160 FUM196689:FUM196696 FUM262225:FUM262232 FUM327761:FUM327768 FUM393297:FUM393304 FUM458833:FUM458840 FUM524369:FUM524376 FUM589905:FUM589912 FUM655441:FUM655448 FUM720977:FUM720984 FUM786513:FUM786520 FUM852049:FUM852056 FUM917585:FUM917592 FUM983121:FUM983128 FUQ78:FUQ79 FUQ65614:FUQ65615 FUQ131150:FUQ131151 FUQ196686:FUQ196687 FUQ262222:FUQ262223 FUQ327758:FUQ327759 FUQ393294:FUQ393295 FUQ458830:FUQ458831 FUQ524366:FUQ524367 FUQ589902:FUQ589903 FUQ655438:FUQ655439 FUQ720974:FUQ720975 FUQ786510:FUQ786511 FUQ852046:FUQ852047 FUQ917582:FUQ917583 FUQ983118:FUQ983119 GEI81:GEI88 GEI65617:GEI65624 GEI131153:GEI131160 GEI196689:GEI196696 GEI262225:GEI262232 GEI327761:GEI327768 GEI393297:GEI393304 GEI458833:GEI458840 GEI524369:GEI524376 GEI589905:GEI589912 GEI655441:GEI655448 GEI720977:GEI720984 GEI786513:GEI786520 GEI852049:GEI852056 GEI917585:GEI917592 GEI983121:GEI983128 GEM78:GEM79 GEM65614:GEM65615 GEM131150:GEM131151 GEM196686:GEM196687 GEM262222:GEM262223 GEM327758:GEM327759 GEM393294:GEM393295 GEM458830:GEM458831 GEM524366:GEM524367 GEM589902:GEM589903 GEM655438:GEM655439 GEM720974:GEM720975 GEM786510:GEM786511 GEM852046:GEM852047 GEM917582:GEM917583 GEM983118:GEM983119 GOE81:GOE88 GOE65617:GOE65624 GOE131153:GOE131160 GOE196689:GOE196696 GOE262225:GOE262232 GOE327761:GOE327768 GOE393297:GOE393304 GOE458833:GOE458840 GOE524369:GOE524376 GOE589905:GOE589912 GOE655441:GOE655448 GOE720977:GOE720984 GOE786513:GOE786520 GOE852049:GOE852056 GOE917585:GOE917592 GOE983121:GOE983128 GOI78:GOI79 GOI65614:GOI65615 GOI131150:GOI131151 GOI196686:GOI196687 GOI262222:GOI262223 GOI327758:GOI327759 GOI393294:GOI393295 GOI458830:GOI458831 GOI524366:GOI524367 GOI589902:GOI589903 GOI655438:GOI655439 GOI720974:GOI720975 GOI786510:GOI786511 GOI852046:GOI852047 GOI917582:GOI917583 GOI983118:GOI983119 GYA81:GYA88 GYA65617:GYA65624 GYA131153:GYA131160 GYA196689:GYA196696 GYA262225:GYA262232 GYA327761:GYA327768 GYA393297:GYA393304 GYA458833:GYA458840 GYA524369:GYA524376 GYA589905:GYA589912 GYA655441:GYA655448 GYA720977:GYA720984 GYA786513:GYA786520 GYA852049:GYA852056 GYA917585:GYA917592 GYA983121:GYA983128 GYE78:GYE79 GYE65614:GYE65615 GYE131150:GYE131151 GYE196686:GYE196687 GYE262222:GYE262223 GYE327758:GYE327759 GYE393294:GYE393295 GYE458830:GYE458831 GYE524366:GYE524367 GYE589902:GYE589903 GYE655438:GYE655439 GYE720974:GYE720975 GYE786510:GYE786511 GYE852046:GYE852047 GYE917582:GYE917583 GYE983118:GYE983119 HHW81:HHW88 HHW65617:HHW65624 HHW131153:HHW131160 HHW196689:HHW196696 HHW262225:HHW262232 HHW327761:HHW327768 HHW393297:HHW393304 HHW458833:HHW458840 HHW524369:HHW524376 HHW589905:HHW589912 HHW655441:HHW655448 HHW720977:HHW720984 HHW786513:HHW786520 HHW852049:HHW852056 HHW917585:HHW917592 HHW983121:HHW983128 HIA78:HIA79 HIA65614:HIA65615 HIA131150:HIA131151 HIA196686:HIA196687 HIA262222:HIA262223 HIA327758:HIA327759 HIA393294:HIA393295 HIA458830:HIA458831 HIA524366:HIA524367 HIA589902:HIA589903 HIA655438:HIA655439 HIA720974:HIA720975 HIA786510:HIA786511 HIA852046:HIA852047 HIA917582:HIA917583 HIA983118:HIA983119 HRS81:HRS88 HRS65617:HRS65624 HRS131153:HRS131160 HRS196689:HRS196696 HRS262225:HRS262232 HRS327761:HRS327768 HRS393297:HRS393304 HRS458833:HRS458840 HRS524369:HRS524376 HRS589905:HRS589912 HRS655441:HRS655448 HRS720977:HRS720984 HRS786513:HRS786520 HRS852049:HRS852056 HRS917585:HRS917592 HRS983121:HRS983128 HRW78:HRW79 HRW65614:HRW65615 HRW131150:HRW131151 HRW196686:HRW196687 HRW262222:HRW262223 HRW327758:HRW327759 HRW393294:HRW393295 HRW458830:HRW458831 HRW524366:HRW524367 HRW589902:HRW589903 HRW655438:HRW655439 HRW720974:HRW720975 HRW786510:HRW786511 HRW852046:HRW852047 HRW917582:HRW917583 HRW983118:HRW983119 IBO81:IBO88 IBO65617:IBO65624 IBO131153:IBO131160 IBO196689:IBO196696 IBO262225:IBO262232 IBO327761:IBO327768 IBO393297:IBO393304 IBO458833:IBO458840 IBO524369:IBO524376 IBO589905:IBO589912 IBO655441:IBO655448 IBO720977:IBO720984 IBO786513:IBO786520 IBO852049:IBO852056 IBO917585:IBO917592 IBO983121:IBO983128 IBS78:IBS79 IBS65614:IBS65615 IBS131150:IBS131151 IBS196686:IBS196687 IBS262222:IBS262223 IBS327758:IBS327759 IBS393294:IBS393295 IBS458830:IBS458831 IBS524366:IBS524367 IBS589902:IBS589903 IBS655438:IBS655439 IBS720974:IBS720975 IBS786510:IBS786511 IBS852046:IBS852047 IBS917582:IBS917583 IBS983118:IBS983119 ILK81:ILK88 ILK65617:ILK65624 ILK131153:ILK131160 ILK196689:ILK196696 ILK262225:ILK262232 ILK327761:ILK327768 ILK393297:ILK393304 ILK458833:ILK458840 ILK524369:ILK524376 ILK589905:ILK589912 ILK655441:ILK655448 ILK720977:ILK720984 ILK786513:ILK786520 ILK852049:ILK852056 ILK917585:ILK917592 ILK983121:ILK983128 ILO78:ILO79 ILO65614:ILO65615 ILO131150:ILO131151 ILO196686:ILO196687 ILO262222:ILO262223 ILO327758:ILO327759 ILO393294:ILO393295 ILO458830:ILO458831 ILO524366:ILO524367 ILO589902:ILO589903 ILO655438:ILO655439 ILO720974:ILO720975 ILO786510:ILO786511 ILO852046:ILO852047 ILO917582:ILO917583 ILO983118:ILO983119 IVG81:IVG88 IVG65617:IVG65624 IVG131153:IVG131160 IVG196689:IVG196696 IVG262225:IVG262232 IVG327761:IVG327768 IVG393297:IVG393304 IVG458833:IVG458840 IVG524369:IVG524376 IVG589905:IVG589912 IVG655441:IVG655448 IVG720977:IVG720984 IVG786513:IVG786520 IVG852049:IVG852056 IVG917585:IVG917592 IVG983121:IVG983128 IVK78:IVK79 IVK65614:IVK65615 IVK131150:IVK131151 IVK196686:IVK196687 IVK262222:IVK262223 IVK327758:IVK327759 IVK393294:IVK393295 IVK458830:IVK458831 IVK524366:IVK524367 IVK589902:IVK589903 IVK655438:IVK655439 IVK720974:IVK720975 IVK786510:IVK786511 IVK852046:IVK852047 IVK917582:IVK917583 IVK983118:IVK983119 JFC81:JFC88 JFC65617:JFC65624 JFC131153:JFC131160 JFC196689:JFC196696 JFC262225:JFC262232 JFC327761:JFC327768 JFC393297:JFC393304 JFC458833:JFC458840 JFC524369:JFC524376 JFC589905:JFC589912 JFC655441:JFC655448 JFC720977:JFC720984 JFC786513:JFC786520 JFC852049:JFC852056 JFC917585:JFC917592 JFC983121:JFC983128 JFG78:JFG79 JFG65614:JFG65615 JFG131150:JFG131151 JFG196686:JFG196687 JFG262222:JFG262223 JFG327758:JFG327759 JFG393294:JFG393295 JFG458830:JFG458831 JFG524366:JFG524367 JFG589902:JFG589903 JFG655438:JFG655439 JFG720974:JFG720975 JFG786510:JFG786511 JFG852046:JFG852047 JFG917582:JFG917583 JFG983118:JFG983119 JOY81:JOY88 JOY65617:JOY65624 JOY131153:JOY131160 JOY196689:JOY196696 JOY262225:JOY262232 JOY327761:JOY327768 JOY393297:JOY393304 JOY458833:JOY458840 JOY524369:JOY524376 JOY589905:JOY589912 JOY655441:JOY655448 JOY720977:JOY720984 JOY786513:JOY786520 JOY852049:JOY852056 JOY917585:JOY917592 JOY983121:JOY983128 JPC78:JPC79 JPC65614:JPC65615 JPC131150:JPC131151 JPC196686:JPC196687 JPC262222:JPC262223 JPC327758:JPC327759 JPC393294:JPC393295 JPC458830:JPC458831 JPC524366:JPC524367 JPC589902:JPC589903 JPC655438:JPC655439 JPC720974:JPC720975 JPC786510:JPC786511 JPC852046:JPC852047 JPC917582:JPC917583 JPC983118:JPC983119 JYU81:JYU88 JYU65617:JYU65624 JYU131153:JYU131160 JYU196689:JYU196696 JYU262225:JYU262232 JYU327761:JYU327768 JYU393297:JYU393304 JYU458833:JYU458840 JYU524369:JYU524376 JYU589905:JYU589912 JYU655441:JYU655448 JYU720977:JYU720984 JYU786513:JYU786520 JYU852049:JYU852056 JYU917585:JYU917592 JYU983121:JYU983128 JYY78:JYY79 JYY65614:JYY65615 JYY131150:JYY131151 JYY196686:JYY196687 JYY262222:JYY262223 JYY327758:JYY327759 JYY393294:JYY393295 JYY458830:JYY458831 JYY524366:JYY524367 JYY589902:JYY589903 JYY655438:JYY655439 JYY720974:JYY720975 JYY786510:JYY786511 JYY852046:JYY852047 JYY917582:JYY917583 JYY983118:JYY983119 KIQ81:KIQ88 KIQ65617:KIQ65624 KIQ131153:KIQ131160 KIQ196689:KIQ196696 KIQ262225:KIQ262232 KIQ327761:KIQ327768 KIQ393297:KIQ393304 KIQ458833:KIQ458840 KIQ524369:KIQ524376 KIQ589905:KIQ589912 KIQ655441:KIQ655448 KIQ720977:KIQ720984 KIQ786513:KIQ786520 KIQ852049:KIQ852056 KIQ917585:KIQ917592 KIQ983121:KIQ983128 KIU78:KIU79 KIU65614:KIU65615 KIU131150:KIU131151 KIU196686:KIU196687 KIU262222:KIU262223 KIU327758:KIU327759 KIU393294:KIU393295 KIU458830:KIU458831 KIU524366:KIU524367 KIU589902:KIU589903 KIU655438:KIU655439 KIU720974:KIU720975 KIU786510:KIU786511 KIU852046:KIU852047 KIU917582:KIU917583 KIU983118:KIU983119 KSM81:KSM88 KSM65617:KSM65624 KSM131153:KSM131160 KSM196689:KSM196696 KSM262225:KSM262232 KSM327761:KSM327768 KSM393297:KSM393304 KSM458833:KSM458840 KSM524369:KSM524376 KSM589905:KSM589912 KSM655441:KSM655448 KSM720977:KSM720984 KSM786513:KSM786520 KSM852049:KSM852056 KSM917585:KSM917592 KSM983121:KSM983128 KSQ78:KSQ79 KSQ65614:KSQ65615 KSQ131150:KSQ131151 KSQ196686:KSQ196687 KSQ262222:KSQ262223 KSQ327758:KSQ327759 KSQ393294:KSQ393295 KSQ458830:KSQ458831 KSQ524366:KSQ524367 KSQ589902:KSQ589903 KSQ655438:KSQ655439 KSQ720974:KSQ720975 KSQ786510:KSQ786511 KSQ852046:KSQ852047 KSQ917582:KSQ917583 KSQ983118:KSQ983119 LCI81:LCI88 LCI65617:LCI65624 LCI131153:LCI131160 LCI196689:LCI196696 LCI262225:LCI262232 LCI327761:LCI327768 LCI393297:LCI393304 LCI458833:LCI458840 LCI524369:LCI524376 LCI589905:LCI589912 LCI655441:LCI655448 LCI720977:LCI720984 LCI786513:LCI786520 LCI852049:LCI852056 LCI917585:LCI917592 LCI983121:LCI983128 LCM78:LCM79 LCM65614:LCM65615 LCM131150:LCM131151 LCM196686:LCM196687 LCM262222:LCM262223 LCM327758:LCM327759 LCM393294:LCM393295 LCM458830:LCM458831 LCM524366:LCM524367 LCM589902:LCM589903 LCM655438:LCM655439 LCM720974:LCM720975 LCM786510:LCM786511 LCM852046:LCM852047 LCM917582:LCM917583 LCM983118:LCM983119 LME81:LME88 LME65617:LME65624 LME131153:LME131160 LME196689:LME196696 LME262225:LME262232 LME327761:LME327768 LME393297:LME393304 LME458833:LME458840 LME524369:LME524376 LME589905:LME589912 LME655441:LME655448 LME720977:LME720984 LME786513:LME786520 LME852049:LME852056 LME917585:LME917592 LME983121:LME983128 LMI78:LMI79 LMI65614:LMI65615 LMI131150:LMI131151 LMI196686:LMI196687 LMI262222:LMI262223 LMI327758:LMI327759 LMI393294:LMI393295 LMI458830:LMI458831 LMI524366:LMI524367 LMI589902:LMI589903 LMI655438:LMI655439 LMI720974:LMI720975 LMI786510:LMI786511 LMI852046:LMI852047 LMI917582:LMI917583 LMI983118:LMI983119 LWA81:LWA88 LWA65617:LWA65624 LWA131153:LWA131160 LWA196689:LWA196696 LWA262225:LWA262232 LWA327761:LWA327768 LWA393297:LWA393304 LWA458833:LWA458840 LWA524369:LWA524376 LWA589905:LWA589912 LWA655441:LWA655448 LWA720977:LWA720984 LWA786513:LWA786520 LWA852049:LWA852056 LWA917585:LWA917592 LWA983121:LWA983128 LWE78:LWE79 LWE65614:LWE65615 LWE131150:LWE131151 LWE196686:LWE196687 LWE262222:LWE262223 LWE327758:LWE327759 LWE393294:LWE393295 LWE458830:LWE458831 LWE524366:LWE524367 LWE589902:LWE589903 LWE655438:LWE655439 LWE720974:LWE720975 LWE786510:LWE786511 LWE852046:LWE852047 LWE917582:LWE917583 LWE983118:LWE983119 MFW81:MFW88 MFW65617:MFW65624 MFW131153:MFW131160 MFW196689:MFW196696 MFW262225:MFW262232 MFW327761:MFW327768 MFW393297:MFW393304 MFW458833:MFW458840 MFW524369:MFW524376 MFW589905:MFW589912 MFW655441:MFW655448 MFW720977:MFW720984 MFW786513:MFW786520 MFW852049:MFW852056 MFW917585:MFW917592 MFW983121:MFW983128 MGA78:MGA79 MGA65614:MGA65615 MGA131150:MGA131151 MGA196686:MGA196687 MGA262222:MGA262223 MGA327758:MGA327759 MGA393294:MGA393295 MGA458830:MGA458831 MGA524366:MGA524367 MGA589902:MGA589903 MGA655438:MGA655439 MGA720974:MGA720975 MGA786510:MGA786511 MGA852046:MGA852047 MGA917582:MGA917583 MGA983118:MGA983119 MPS81:MPS88 MPS65617:MPS65624 MPS131153:MPS131160 MPS196689:MPS196696 MPS262225:MPS262232 MPS327761:MPS327768 MPS393297:MPS393304 MPS458833:MPS458840 MPS524369:MPS524376 MPS589905:MPS589912 MPS655441:MPS655448 MPS720977:MPS720984 MPS786513:MPS786520 MPS852049:MPS852056 MPS917585:MPS917592 MPS983121:MPS983128 MPW78:MPW79 MPW65614:MPW65615 MPW131150:MPW131151 MPW196686:MPW196687 MPW262222:MPW262223 MPW327758:MPW327759 MPW393294:MPW393295 MPW458830:MPW458831 MPW524366:MPW524367 MPW589902:MPW589903 MPW655438:MPW655439 MPW720974:MPW720975 MPW786510:MPW786511 MPW852046:MPW852047 MPW917582:MPW917583 MPW983118:MPW983119 MZO81:MZO88 MZO65617:MZO65624 MZO131153:MZO131160 MZO196689:MZO196696 MZO262225:MZO262232 MZO327761:MZO327768 MZO393297:MZO393304 MZO458833:MZO458840 MZO524369:MZO524376 MZO589905:MZO589912 MZO655441:MZO655448 MZO720977:MZO720984 MZO786513:MZO786520 MZO852049:MZO852056 MZO917585:MZO917592 MZO983121:MZO983128 MZS78:MZS79 MZS65614:MZS65615 MZS131150:MZS131151 MZS196686:MZS196687 MZS262222:MZS262223 MZS327758:MZS327759 MZS393294:MZS393295 MZS458830:MZS458831 MZS524366:MZS524367 MZS589902:MZS589903 MZS655438:MZS655439 MZS720974:MZS720975 MZS786510:MZS786511 MZS852046:MZS852047 MZS917582:MZS917583 MZS983118:MZS983119 NJK81:NJK88 NJK65617:NJK65624 NJK131153:NJK131160 NJK196689:NJK196696 NJK262225:NJK262232 NJK327761:NJK327768 NJK393297:NJK393304 NJK458833:NJK458840 NJK524369:NJK524376 NJK589905:NJK589912 NJK655441:NJK655448 NJK720977:NJK720984 NJK786513:NJK786520 NJK852049:NJK852056 NJK917585:NJK917592 NJK983121:NJK983128 NJO78:NJO79 NJO65614:NJO65615 NJO131150:NJO131151 NJO196686:NJO196687 NJO262222:NJO262223 NJO327758:NJO327759 NJO393294:NJO393295 NJO458830:NJO458831 NJO524366:NJO524367 NJO589902:NJO589903 NJO655438:NJO655439 NJO720974:NJO720975 NJO786510:NJO786511 NJO852046:NJO852047 NJO917582:NJO917583 NJO983118:NJO983119 NTG81:NTG88 NTG65617:NTG65624 NTG131153:NTG131160 NTG196689:NTG196696 NTG262225:NTG262232 NTG327761:NTG327768 NTG393297:NTG393304 NTG458833:NTG458840 NTG524369:NTG524376 NTG589905:NTG589912 NTG655441:NTG655448 NTG720977:NTG720984 NTG786513:NTG786520 NTG852049:NTG852056 NTG917585:NTG917592 NTG983121:NTG983128 NTK78:NTK79 NTK65614:NTK65615 NTK131150:NTK131151 NTK196686:NTK196687 NTK262222:NTK262223 NTK327758:NTK327759 NTK393294:NTK393295 NTK458830:NTK458831 NTK524366:NTK524367 NTK589902:NTK589903 NTK655438:NTK655439 NTK720974:NTK720975 NTK786510:NTK786511 NTK852046:NTK852047 NTK917582:NTK917583 NTK983118:NTK983119 ODC81:ODC88 ODC65617:ODC65624 ODC131153:ODC131160 ODC196689:ODC196696 ODC262225:ODC262232 ODC327761:ODC327768 ODC393297:ODC393304 ODC458833:ODC458840 ODC524369:ODC524376 ODC589905:ODC589912 ODC655441:ODC655448 ODC720977:ODC720984 ODC786513:ODC786520 ODC852049:ODC852056 ODC917585:ODC917592 ODC983121:ODC983128 ODG78:ODG79 ODG65614:ODG65615 ODG131150:ODG131151 ODG196686:ODG196687 ODG262222:ODG262223 ODG327758:ODG327759 ODG393294:ODG393295 ODG458830:ODG458831 ODG524366:ODG524367 ODG589902:ODG589903 ODG655438:ODG655439 ODG720974:ODG720975 ODG786510:ODG786511 ODG852046:ODG852047 ODG917582:ODG917583 ODG983118:ODG983119 OMY81:OMY88 OMY65617:OMY65624 OMY131153:OMY131160 OMY196689:OMY196696 OMY262225:OMY262232 OMY327761:OMY327768 OMY393297:OMY393304 OMY458833:OMY458840 OMY524369:OMY524376 OMY589905:OMY589912 OMY655441:OMY655448 OMY720977:OMY720984 OMY786513:OMY786520 OMY852049:OMY852056 OMY917585:OMY917592 OMY983121:OMY983128 ONC78:ONC79 ONC65614:ONC65615 ONC131150:ONC131151 ONC196686:ONC196687 ONC262222:ONC262223 ONC327758:ONC327759 ONC393294:ONC393295 ONC458830:ONC458831 ONC524366:ONC524367 ONC589902:ONC589903 ONC655438:ONC655439 ONC720974:ONC720975 ONC786510:ONC786511 ONC852046:ONC852047 ONC917582:ONC917583 ONC983118:ONC983119 OWU81:OWU88 OWU65617:OWU65624 OWU131153:OWU131160 OWU196689:OWU196696 OWU262225:OWU262232 OWU327761:OWU327768 OWU393297:OWU393304 OWU458833:OWU458840 OWU524369:OWU524376 OWU589905:OWU589912 OWU655441:OWU655448 OWU720977:OWU720984 OWU786513:OWU786520 OWU852049:OWU852056 OWU917585:OWU917592 OWU983121:OWU983128 OWY78:OWY79 OWY65614:OWY65615 OWY131150:OWY131151 OWY196686:OWY196687 OWY262222:OWY262223 OWY327758:OWY327759 OWY393294:OWY393295 OWY458830:OWY458831 OWY524366:OWY524367 OWY589902:OWY589903 OWY655438:OWY655439 OWY720974:OWY720975 OWY786510:OWY786511 OWY852046:OWY852047 OWY917582:OWY917583 OWY983118:OWY983119 PGQ81:PGQ88 PGQ65617:PGQ65624 PGQ131153:PGQ131160 PGQ196689:PGQ196696 PGQ262225:PGQ262232 PGQ327761:PGQ327768 PGQ393297:PGQ393304 PGQ458833:PGQ458840 PGQ524369:PGQ524376 PGQ589905:PGQ589912 PGQ655441:PGQ655448 PGQ720977:PGQ720984 PGQ786513:PGQ786520 PGQ852049:PGQ852056 PGQ917585:PGQ917592 PGQ983121:PGQ983128 PGU78:PGU79 PGU65614:PGU65615 PGU131150:PGU131151 PGU196686:PGU196687 PGU262222:PGU262223 PGU327758:PGU327759 PGU393294:PGU393295 PGU458830:PGU458831 PGU524366:PGU524367 PGU589902:PGU589903 PGU655438:PGU655439 PGU720974:PGU720975 PGU786510:PGU786511 PGU852046:PGU852047 PGU917582:PGU917583 PGU983118:PGU983119 PQM81:PQM88 PQM65617:PQM65624 PQM131153:PQM131160 PQM196689:PQM196696 PQM262225:PQM262232 PQM327761:PQM327768 PQM393297:PQM393304 PQM458833:PQM458840 PQM524369:PQM524376 PQM589905:PQM589912 PQM655441:PQM655448 PQM720977:PQM720984 PQM786513:PQM786520 PQM852049:PQM852056 PQM917585:PQM917592 PQM983121:PQM983128 PQQ78:PQQ79 PQQ65614:PQQ65615 PQQ131150:PQQ131151 PQQ196686:PQQ196687 PQQ262222:PQQ262223 PQQ327758:PQQ327759 PQQ393294:PQQ393295 PQQ458830:PQQ458831 PQQ524366:PQQ524367 PQQ589902:PQQ589903 PQQ655438:PQQ655439 PQQ720974:PQQ720975 PQQ786510:PQQ786511 PQQ852046:PQQ852047 PQQ917582:PQQ917583 PQQ983118:PQQ983119 QAI81:QAI88 QAI65617:QAI65624 QAI131153:QAI131160 QAI196689:QAI196696 QAI262225:QAI262232 QAI327761:QAI327768 QAI393297:QAI393304 QAI458833:QAI458840 QAI524369:QAI524376 QAI589905:QAI589912 QAI655441:QAI655448 QAI720977:QAI720984 QAI786513:QAI786520 QAI852049:QAI852056 QAI917585:QAI917592 QAI983121:QAI983128 QAM78:QAM79 QAM65614:QAM65615 QAM131150:QAM131151 QAM196686:QAM196687 QAM262222:QAM262223 QAM327758:QAM327759 QAM393294:QAM393295 QAM458830:QAM458831 QAM524366:QAM524367 QAM589902:QAM589903 QAM655438:QAM655439 QAM720974:QAM720975 QAM786510:QAM786511 QAM852046:QAM852047 QAM917582:QAM917583 QAM983118:QAM983119 QKE81:QKE88 QKE65617:QKE65624 QKE131153:QKE131160 QKE196689:QKE196696 QKE262225:QKE262232 QKE327761:QKE327768 QKE393297:QKE393304 QKE458833:QKE458840 QKE524369:QKE524376 QKE589905:QKE589912 QKE655441:QKE655448 QKE720977:QKE720984 QKE786513:QKE786520 QKE852049:QKE852056 QKE917585:QKE917592 QKE983121:QKE983128 QKI78:QKI79 QKI65614:QKI65615 QKI131150:QKI131151 QKI196686:QKI196687 QKI262222:QKI262223 QKI327758:QKI327759 QKI393294:QKI393295 QKI458830:QKI458831 QKI524366:QKI524367 QKI589902:QKI589903 QKI655438:QKI655439 QKI720974:QKI720975 QKI786510:QKI786511 QKI852046:QKI852047 QKI917582:QKI917583 QKI983118:QKI983119 QUA81:QUA88 QUA65617:QUA65624 QUA131153:QUA131160 QUA196689:QUA196696 QUA262225:QUA262232 QUA327761:QUA327768 QUA393297:QUA393304 QUA458833:QUA458840 QUA524369:QUA524376 QUA589905:QUA589912 QUA655441:QUA655448 QUA720977:QUA720984 QUA786513:QUA786520 QUA852049:QUA852056 QUA917585:QUA917592 QUA983121:QUA983128 QUE78:QUE79 QUE65614:QUE65615 QUE131150:QUE131151 QUE196686:QUE196687 QUE262222:QUE262223 QUE327758:QUE327759 QUE393294:QUE393295 QUE458830:QUE458831 QUE524366:QUE524367 QUE589902:QUE589903 QUE655438:QUE655439 QUE720974:QUE720975 QUE786510:QUE786511 QUE852046:QUE852047 QUE917582:QUE917583 QUE983118:QUE983119 RDW81:RDW88 RDW65617:RDW65624 RDW131153:RDW131160 RDW196689:RDW196696 RDW262225:RDW262232 RDW327761:RDW327768 RDW393297:RDW393304 RDW458833:RDW458840 RDW524369:RDW524376 RDW589905:RDW589912 RDW655441:RDW655448 RDW720977:RDW720984 RDW786513:RDW786520 RDW852049:RDW852056 RDW917585:RDW917592 RDW983121:RDW983128 REA78:REA79 REA65614:REA65615 REA131150:REA131151 REA196686:REA196687 REA262222:REA262223 REA327758:REA327759 REA393294:REA393295 REA458830:REA458831 REA524366:REA524367 REA589902:REA589903 REA655438:REA655439 REA720974:REA720975 REA786510:REA786511 REA852046:REA852047 REA917582:REA917583 REA983118:REA983119 RNS81:RNS88 RNS65617:RNS65624 RNS131153:RNS131160 RNS196689:RNS196696 RNS262225:RNS262232 RNS327761:RNS327768 RNS393297:RNS393304 RNS458833:RNS458840 RNS524369:RNS524376 RNS589905:RNS589912 RNS655441:RNS655448 RNS720977:RNS720984 RNS786513:RNS786520 RNS852049:RNS852056 RNS917585:RNS917592 RNS983121:RNS983128 RNW78:RNW79 RNW65614:RNW65615 RNW131150:RNW131151 RNW196686:RNW196687 RNW262222:RNW262223 RNW327758:RNW327759 RNW393294:RNW393295 RNW458830:RNW458831 RNW524366:RNW524367 RNW589902:RNW589903 RNW655438:RNW655439 RNW720974:RNW720975 RNW786510:RNW786511 RNW852046:RNW852047 RNW917582:RNW917583 RNW983118:RNW983119 RXO81:RXO88 RXO65617:RXO65624 RXO131153:RXO131160 RXO196689:RXO196696 RXO262225:RXO262232 RXO327761:RXO327768 RXO393297:RXO393304 RXO458833:RXO458840 RXO524369:RXO524376 RXO589905:RXO589912 RXO655441:RXO655448 RXO720977:RXO720984 RXO786513:RXO786520 RXO852049:RXO852056 RXO917585:RXO917592 RXO983121:RXO983128 RXS78:RXS79 RXS65614:RXS65615 RXS131150:RXS131151 RXS196686:RXS196687 RXS262222:RXS262223 RXS327758:RXS327759 RXS393294:RXS393295 RXS458830:RXS458831 RXS524366:RXS524367 RXS589902:RXS589903 RXS655438:RXS655439 RXS720974:RXS720975 RXS786510:RXS786511 RXS852046:RXS852047 RXS917582:RXS917583 RXS983118:RXS983119 SHK81:SHK88 SHK65617:SHK65624 SHK131153:SHK131160 SHK196689:SHK196696 SHK262225:SHK262232 SHK327761:SHK327768 SHK393297:SHK393304 SHK458833:SHK458840 SHK524369:SHK524376 SHK589905:SHK589912 SHK655441:SHK655448 SHK720977:SHK720984 SHK786513:SHK786520 SHK852049:SHK852056 SHK917585:SHK917592 SHK983121:SHK983128 SHO78:SHO79 SHO65614:SHO65615 SHO131150:SHO131151 SHO196686:SHO196687 SHO262222:SHO262223 SHO327758:SHO327759 SHO393294:SHO393295 SHO458830:SHO458831 SHO524366:SHO524367 SHO589902:SHO589903 SHO655438:SHO655439 SHO720974:SHO720975 SHO786510:SHO786511 SHO852046:SHO852047 SHO917582:SHO917583 SHO983118:SHO983119 SRG81:SRG88 SRG65617:SRG65624 SRG131153:SRG131160 SRG196689:SRG196696 SRG262225:SRG262232 SRG327761:SRG327768 SRG393297:SRG393304 SRG458833:SRG458840 SRG524369:SRG524376 SRG589905:SRG589912 SRG655441:SRG655448 SRG720977:SRG720984 SRG786513:SRG786520 SRG852049:SRG852056 SRG917585:SRG917592 SRG983121:SRG983128 SRK78:SRK79 SRK65614:SRK65615 SRK131150:SRK131151 SRK196686:SRK196687 SRK262222:SRK262223 SRK327758:SRK327759 SRK393294:SRK393295 SRK458830:SRK458831 SRK524366:SRK524367 SRK589902:SRK589903 SRK655438:SRK655439 SRK720974:SRK720975 SRK786510:SRK786511 SRK852046:SRK852047 SRK917582:SRK917583 SRK983118:SRK983119 TBC81:TBC88 TBC65617:TBC65624 TBC131153:TBC131160 TBC196689:TBC196696 TBC262225:TBC262232 TBC327761:TBC327768 TBC393297:TBC393304 TBC458833:TBC458840 TBC524369:TBC524376 TBC589905:TBC589912 TBC655441:TBC655448 TBC720977:TBC720984 TBC786513:TBC786520 TBC852049:TBC852056 TBC917585:TBC917592 TBC983121:TBC983128 TBG78:TBG79 TBG65614:TBG65615 TBG131150:TBG131151 TBG196686:TBG196687 TBG262222:TBG262223 TBG327758:TBG327759 TBG393294:TBG393295 TBG458830:TBG458831 TBG524366:TBG524367 TBG589902:TBG589903 TBG655438:TBG655439 TBG720974:TBG720975 TBG786510:TBG786511 TBG852046:TBG852047 TBG917582:TBG917583 TBG983118:TBG983119 TKY81:TKY88 TKY65617:TKY65624 TKY131153:TKY131160 TKY196689:TKY196696 TKY262225:TKY262232 TKY327761:TKY327768 TKY393297:TKY393304 TKY458833:TKY458840 TKY524369:TKY524376 TKY589905:TKY589912 TKY655441:TKY655448 TKY720977:TKY720984 TKY786513:TKY786520 TKY852049:TKY852056 TKY917585:TKY917592 TKY983121:TKY983128 TLC78:TLC79 TLC65614:TLC65615 TLC131150:TLC131151 TLC196686:TLC196687 TLC262222:TLC262223 TLC327758:TLC327759 TLC393294:TLC393295 TLC458830:TLC458831 TLC524366:TLC524367 TLC589902:TLC589903 TLC655438:TLC655439 TLC720974:TLC720975 TLC786510:TLC786511 TLC852046:TLC852047 TLC917582:TLC917583 TLC983118:TLC983119 TUU81:TUU88 TUU65617:TUU65624 TUU131153:TUU131160 TUU196689:TUU196696 TUU262225:TUU262232 TUU327761:TUU327768 TUU393297:TUU393304 TUU458833:TUU458840 TUU524369:TUU524376 TUU589905:TUU589912 TUU655441:TUU655448 TUU720977:TUU720984 TUU786513:TUU786520 TUU852049:TUU852056 TUU917585:TUU917592 TUU983121:TUU983128 TUY78:TUY79 TUY65614:TUY65615 TUY131150:TUY131151 TUY196686:TUY196687 TUY262222:TUY262223 TUY327758:TUY327759 TUY393294:TUY393295 TUY458830:TUY458831 TUY524366:TUY524367 TUY589902:TUY589903 TUY655438:TUY655439 TUY720974:TUY720975 TUY786510:TUY786511 TUY852046:TUY852047 TUY917582:TUY917583 TUY983118:TUY983119 UEQ81:UEQ88 UEQ65617:UEQ65624 UEQ131153:UEQ131160 UEQ196689:UEQ196696 UEQ262225:UEQ262232 UEQ327761:UEQ327768 UEQ393297:UEQ393304 UEQ458833:UEQ458840 UEQ524369:UEQ524376 UEQ589905:UEQ589912 UEQ655441:UEQ655448 UEQ720977:UEQ720984 UEQ786513:UEQ786520 UEQ852049:UEQ852056 UEQ917585:UEQ917592 UEQ983121:UEQ983128 UEU78:UEU79 UEU65614:UEU65615 UEU131150:UEU131151 UEU196686:UEU196687 UEU262222:UEU262223 UEU327758:UEU327759 UEU393294:UEU393295 UEU458830:UEU458831 UEU524366:UEU524367 UEU589902:UEU589903 UEU655438:UEU655439 UEU720974:UEU720975 UEU786510:UEU786511 UEU852046:UEU852047 UEU917582:UEU917583 UEU983118:UEU983119 UOM81:UOM88 UOM65617:UOM65624 UOM131153:UOM131160 UOM196689:UOM196696 UOM262225:UOM262232 UOM327761:UOM327768 UOM393297:UOM393304 UOM458833:UOM458840 UOM524369:UOM524376 UOM589905:UOM589912 UOM655441:UOM655448 UOM720977:UOM720984 UOM786513:UOM786520 UOM852049:UOM852056 UOM917585:UOM917592 UOM983121:UOM983128 UOQ78:UOQ79 UOQ65614:UOQ65615 UOQ131150:UOQ131151 UOQ196686:UOQ196687 UOQ262222:UOQ262223 UOQ327758:UOQ327759 UOQ393294:UOQ393295 UOQ458830:UOQ458831 UOQ524366:UOQ524367 UOQ589902:UOQ589903 UOQ655438:UOQ655439 UOQ720974:UOQ720975 UOQ786510:UOQ786511 UOQ852046:UOQ852047 UOQ917582:UOQ917583 UOQ983118:UOQ983119 UYI81:UYI88 UYI65617:UYI65624 UYI131153:UYI131160 UYI196689:UYI196696 UYI262225:UYI262232 UYI327761:UYI327768 UYI393297:UYI393304 UYI458833:UYI458840 UYI524369:UYI524376 UYI589905:UYI589912 UYI655441:UYI655448 UYI720977:UYI720984 UYI786513:UYI786520 UYI852049:UYI852056 UYI917585:UYI917592 UYI983121:UYI983128 UYM78:UYM79 UYM65614:UYM65615 UYM131150:UYM131151 UYM196686:UYM196687 UYM262222:UYM262223 UYM327758:UYM327759 UYM393294:UYM393295 UYM458830:UYM458831 UYM524366:UYM524367 UYM589902:UYM589903 UYM655438:UYM655439 UYM720974:UYM720975 UYM786510:UYM786511 UYM852046:UYM852047 UYM917582:UYM917583 UYM983118:UYM983119 VIE81:VIE88 VIE65617:VIE65624 VIE131153:VIE131160 VIE196689:VIE196696 VIE262225:VIE262232 VIE327761:VIE327768 VIE393297:VIE393304 VIE458833:VIE458840 VIE524369:VIE524376 VIE589905:VIE589912 VIE655441:VIE655448 VIE720977:VIE720984 VIE786513:VIE786520 VIE852049:VIE852056 VIE917585:VIE917592 VIE983121:VIE983128 VII78:VII79 VII65614:VII65615 VII131150:VII131151 VII196686:VII196687 VII262222:VII262223 VII327758:VII327759 VII393294:VII393295 VII458830:VII458831 VII524366:VII524367 VII589902:VII589903 VII655438:VII655439 VII720974:VII720975 VII786510:VII786511 VII852046:VII852047 VII917582:VII917583 VII983118:VII983119 VSA81:VSA88 VSA65617:VSA65624 VSA131153:VSA131160 VSA196689:VSA196696 VSA262225:VSA262232 VSA327761:VSA327768 VSA393297:VSA393304 VSA458833:VSA458840 VSA524369:VSA524376 VSA589905:VSA589912 VSA655441:VSA655448 VSA720977:VSA720984 VSA786513:VSA786520 VSA852049:VSA852056 VSA917585:VSA917592 VSA983121:VSA983128 VSE78:VSE79 VSE65614:VSE65615 VSE131150:VSE131151 VSE196686:VSE196687 VSE262222:VSE262223 VSE327758:VSE327759 VSE393294:VSE393295 VSE458830:VSE458831 VSE524366:VSE524367 VSE589902:VSE589903 VSE655438:VSE655439 VSE720974:VSE720975 VSE786510:VSE786511 VSE852046:VSE852047 VSE917582:VSE917583 VSE983118:VSE983119 WBW81:WBW88 WBW65617:WBW65624 WBW131153:WBW131160 WBW196689:WBW196696 WBW262225:WBW262232 WBW327761:WBW327768 WBW393297:WBW393304 WBW458833:WBW458840 WBW524369:WBW524376 WBW589905:WBW589912 WBW655441:WBW655448 WBW720977:WBW720984 WBW786513:WBW786520 WBW852049:WBW852056 WBW917585:WBW917592 WBW983121:WBW983128 WCA78:WCA79 WCA65614:WCA65615 WCA131150:WCA131151 WCA196686:WCA196687 WCA262222:WCA262223 WCA327758:WCA327759 WCA393294:WCA393295 WCA458830:WCA458831 WCA524366:WCA524367 WCA589902:WCA589903 WCA655438:WCA655439 WCA720974:WCA720975 WCA786510:WCA786511 WCA852046:WCA852047 WCA917582:WCA917583 WCA983118:WCA983119 WLS81:WLS88 WLS65617:WLS65624 WLS131153:WLS131160 WLS196689:WLS196696 WLS262225:WLS262232 WLS327761:WLS327768 WLS393297:WLS393304 WLS458833:WLS458840 WLS524369:WLS524376 WLS589905:WLS589912 WLS655441:WLS655448 WLS720977:WLS720984 WLS786513:WLS786520 WLS852049:WLS852056 WLS917585:WLS917592 WLS983121:WLS983128 WLW78:WLW79 WLW65614:WLW65615 WLW131150:WLW131151 WLW196686:WLW196687 WLW262222:WLW262223 WLW327758:WLW327759 WLW393294:WLW393295 WLW458830:WLW458831 WLW524366:WLW524367 WLW589902:WLW589903 WLW655438:WLW655439 WLW720974:WLW720975 WLW786510:WLW786511 WLW852046:WLW852047 WLW917582:WLW917583 WLW983118:WLW983119 WVO81:WVO88 WVO65617:WVO65624 WVO131153:WVO131160 WVO196689:WVO196696 WVO262225:WVO262232 WVO327761:WVO327768 WVO393297:WVO393304 WVO458833:WVO458840 WVO524369:WVO524376 WVO589905:WVO589912 WVO655441:WVO655448 WVO720977:WVO720984 WVO786513:WVO786520 WVO852049:WVO852056 WVO917585:WVO917592 WVO983121:WVO983128 WVS78:WVS79 WVS65614:WVS65615 WVS131150:WVS131151 WVS196686:WVS196687 WVS262222:WVS262223 WVS327758:WVS327759 WVS393294:WVS393295 WVS458830:WVS458831 WVS524366:WVS524367 WVS589902:WVS589903 WVS655438:WVS655439 WVS720974:WVS720975 WVS786510:WVS786511 WVS852046:WVS852047 WVS917582:WVS917583 WVS983118:WVS983119" xr:uid="{00000000-0002-0000-0C00-000005000000}">
      <formula1>年度</formula1>
    </dataValidation>
  </dataValidations>
  <hyperlinks>
    <hyperlink ref="Y95" location="第三面!Y1" display="ページ上部へ" xr:uid="{00000000-0004-0000-0C00-000000000000}"/>
  </hyperlinks>
  <pageMargins left="0.70866141732283472" right="0.70866141732283472" top="0.59055118110236227" bottom="0.59055118110236227" header="0.31496062992125984" footer="0.31496062992125984"/>
  <pageSetup paperSize="9" fitToHeight="2"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6F9CE53-2E20-4F28-9719-6B81FE71F702}">
          <x14:formula1>
            <xm:f>しろくろ</xm:f>
          </x14:formula1>
          <xm:sqref>R9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WVZ9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B6:B7 IX6:IX7 ST6:ST7 ACP6:ACP7 AML6:AML7 AWH6:AWH7 BGD6:BGD7 BPZ6:BPZ7 BZV6:BZV7 CJR6:CJR7 CTN6:CTN7 DDJ6:DDJ7 DNF6:DNF7 DXB6:DXB7 EGX6:EGX7 EQT6:EQT7 FAP6:FAP7 FKL6:FKL7 FUH6:FUH7 GED6:GED7 GNZ6:GNZ7 GXV6:GXV7 HHR6:HHR7 HRN6:HRN7 IBJ6:IBJ7 ILF6:ILF7 IVB6:IVB7 JEX6:JEX7 JOT6:JOT7 JYP6:JYP7 KIL6:KIL7 KSH6:KSH7 LCD6:LCD7 LLZ6:LLZ7 LVV6:LVV7 MFR6:MFR7 MPN6:MPN7 MZJ6:MZJ7 NJF6:NJF7 NTB6:NTB7 OCX6:OCX7 OMT6:OMT7 OWP6:OWP7 PGL6:PGL7 PQH6:PQH7 QAD6:QAD7 QJZ6:QJZ7 QTV6:QTV7 RDR6:RDR7 RNN6:RNN7 RXJ6:RXJ7 SHF6:SHF7 SRB6:SRB7 TAX6:TAX7 TKT6:TKT7 TUP6:TUP7 UEL6:UEL7 UOH6:UOH7 UYD6:UYD7 VHZ6:VHZ7 VRV6:VRV7 WBR6:WBR7 WLN6:WLN7 WVJ6:WVJ7 B65542:B65543 IX65542:IX65543 ST65542:ST65543 ACP65542:ACP65543 AML65542:AML65543 AWH65542:AWH65543 BGD65542:BGD65543 BPZ65542:BPZ65543 BZV65542:BZV65543 CJR65542:CJR65543 CTN65542:CTN65543 DDJ65542:DDJ65543 DNF65542:DNF65543 DXB65542:DXB65543 EGX65542:EGX65543 EQT65542:EQT65543 FAP65542:FAP65543 FKL65542:FKL65543 FUH65542:FUH65543 GED65542:GED65543 GNZ65542:GNZ65543 GXV65542:GXV65543 HHR65542:HHR65543 HRN65542:HRN65543 IBJ65542:IBJ65543 ILF65542:ILF65543 IVB65542:IVB65543 JEX65542:JEX65543 JOT65542:JOT65543 JYP65542:JYP65543 KIL65542:KIL65543 KSH65542:KSH65543 LCD65542:LCD65543 LLZ65542:LLZ65543 LVV65542:LVV65543 MFR65542:MFR65543 MPN65542:MPN65543 MZJ65542:MZJ65543 NJF65542:NJF65543 NTB65542:NTB65543 OCX65542:OCX65543 OMT65542:OMT65543 OWP65542:OWP65543 PGL65542:PGL65543 PQH65542:PQH65543 QAD65542:QAD65543 QJZ65542:QJZ65543 QTV65542:QTV65543 RDR65542:RDR65543 RNN65542:RNN65543 RXJ65542:RXJ65543 SHF65542:SHF65543 SRB65542:SRB65543 TAX65542:TAX65543 TKT65542:TKT65543 TUP65542:TUP65543 UEL65542:UEL65543 UOH65542:UOH65543 UYD65542:UYD65543 VHZ65542:VHZ65543 VRV65542:VRV65543 WBR65542:WBR65543 WLN65542:WLN65543 WVJ65542:WVJ65543 B131078:B131079 IX131078:IX131079 ST131078:ST131079 ACP131078:ACP131079 AML131078:AML131079 AWH131078:AWH131079 BGD131078:BGD131079 BPZ131078:BPZ131079 BZV131078:BZV131079 CJR131078:CJR131079 CTN131078:CTN131079 DDJ131078:DDJ131079 DNF131078:DNF131079 DXB131078:DXB131079 EGX131078:EGX131079 EQT131078:EQT131079 FAP131078:FAP131079 FKL131078:FKL131079 FUH131078:FUH131079 GED131078:GED131079 GNZ131078:GNZ131079 GXV131078:GXV131079 HHR131078:HHR131079 HRN131078:HRN131079 IBJ131078:IBJ131079 ILF131078:ILF131079 IVB131078:IVB131079 JEX131078:JEX131079 JOT131078:JOT131079 JYP131078:JYP131079 KIL131078:KIL131079 KSH131078:KSH131079 LCD131078:LCD131079 LLZ131078:LLZ131079 LVV131078:LVV131079 MFR131078:MFR131079 MPN131078:MPN131079 MZJ131078:MZJ131079 NJF131078:NJF131079 NTB131078:NTB131079 OCX131078:OCX131079 OMT131078:OMT131079 OWP131078:OWP131079 PGL131078:PGL131079 PQH131078:PQH131079 QAD131078:QAD131079 QJZ131078:QJZ131079 QTV131078:QTV131079 RDR131078:RDR131079 RNN131078:RNN131079 RXJ131078:RXJ131079 SHF131078:SHF131079 SRB131078:SRB131079 TAX131078:TAX131079 TKT131078:TKT131079 TUP131078:TUP131079 UEL131078:UEL131079 UOH131078:UOH131079 UYD131078:UYD131079 VHZ131078:VHZ131079 VRV131078:VRV131079 WBR131078:WBR131079 WLN131078:WLN131079 WVJ131078:WVJ131079 B196614:B196615 IX196614:IX196615 ST196614:ST196615 ACP196614:ACP196615 AML196614:AML196615 AWH196614:AWH196615 BGD196614:BGD196615 BPZ196614:BPZ196615 BZV196614:BZV196615 CJR196614:CJR196615 CTN196614:CTN196615 DDJ196614:DDJ196615 DNF196614:DNF196615 DXB196614:DXB196615 EGX196614:EGX196615 EQT196614:EQT196615 FAP196614:FAP196615 FKL196614:FKL196615 FUH196614:FUH196615 GED196614:GED196615 GNZ196614:GNZ196615 GXV196614:GXV196615 HHR196614:HHR196615 HRN196614:HRN196615 IBJ196614:IBJ196615 ILF196614:ILF196615 IVB196614:IVB196615 JEX196614:JEX196615 JOT196614:JOT196615 JYP196614:JYP196615 KIL196614:KIL196615 KSH196614:KSH196615 LCD196614:LCD196615 LLZ196614:LLZ196615 LVV196614:LVV196615 MFR196614:MFR196615 MPN196614:MPN196615 MZJ196614:MZJ196615 NJF196614:NJF196615 NTB196614:NTB196615 OCX196614:OCX196615 OMT196614:OMT196615 OWP196614:OWP196615 PGL196614:PGL196615 PQH196614:PQH196615 QAD196614:QAD196615 QJZ196614:QJZ196615 QTV196614:QTV196615 RDR196614:RDR196615 RNN196614:RNN196615 RXJ196614:RXJ196615 SHF196614:SHF196615 SRB196614:SRB196615 TAX196614:TAX196615 TKT196614:TKT196615 TUP196614:TUP196615 UEL196614:UEL196615 UOH196614:UOH196615 UYD196614:UYD196615 VHZ196614:VHZ196615 VRV196614:VRV196615 WBR196614:WBR196615 WLN196614:WLN196615 WVJ196614:WVJ196615 B262150:B262151 IX262150:IX262151 ST262150:ST262151 ACP262150:ACP262151 AML262150:AML262151 AWH262150:AWH262151 BGD262150:BGD262151 BPZ262150:BPZ262151 BZV262150:BZV262151 CJR262150:CJR262151 CTN262150:CTN262151 DDJ262150:DDJ262151 DNF262150:DNF262151 DXB262150:DXB262151 EGX262150:EGX262151 EQT262150:EQT262151 FAP262150:FAP262151 FKL262150:FKL262151 FUH262150:FUH262151 GED262150:GED262151 GNZ262150:GNZ262151 GXV262150:GXV262151 HHR262150:HHR262151 HRN262150:HRN262151 IBJ262150:IBJ262151 ILF262150:ILF262151 IVB262150:IVB262151 JEX262150:JEX262151 JOT262150:JOT262151 JYP262150:JYP262151 KIL262150:KIL262151 KSH262150:KSH262151 LCD262150:LCD262151 LLZ262150:LLZ262151 LVV262150:LVV262151 MFR262150:MFR262151 MPN262150:MPN262151 MZJ262150:MZJ262151 NJF262150:NJF262151 NTB262150:NTB262151 OCX262150:OCX262151 OMT262150:OMT262151 OWP262150:OWP262151 PGL262150:PGL262151 PQH262150:PQH262151 QAD262150:QAD262151 QJZ262150:QJZ262151 QTV262150:QTV262151 RDR262150:RDR262151 RNN262150:RNN262151 RXJ262150:RXJ262151 SHF262150:SHF262151 SRB262150:SRB262151 TAX262150:TAX262151 TKT262150:TKT262151 TUP262150:TUP262151 UEL262150:UEL262151 UOH262150:UOH262151 UYD262150:UYD262151 VHZ262150:VHZ262151 VRV262150:VRV262151 WBR262150:WBR262151 WLN262150:WLN262151 WVJ262150:WVJ262151 B327686:B327687 IX327686:IX327687 ST327686:ST327687 ACP327686:ACP327687 AML327686:AML327687 AWH327686:AWH327687 BGD327686:BGD327687 BPZ327686:BPZ327687 BZV327686:BZV327687 CJR327686:CJR327687 CTN327686:CTN327687 DDJ327686:DDJ327687 DNF327686:DNF327687 DXB327686:DXB327687 EGX327686:EGX327687 EQT327686:EQT327687 FAP327686:FAP327687 FKL327686:FKL327687 FUH327686:FUH327687 GED327686:GED327687 GNZ327686:GNZ327687 GXV327686:GXV327687 HHR327686:HHR327687 HRN327686:HRN327687 IBJ327686:IBJ327687 ILF327686:ILF327687 IVB327686:IVB327687 JEX327686:JEX327687 JOT327686:JOT327687 JYP327686:JYP327687 KIL327686:KIL327687 KSH327686:KSH327687 LCD327686:LCD327687 LLZ327686:LLZ327687 LVV327686:LVV327687 MFR327686:MFR327687 MPN327686:MPN327687 MZJ327686:MZJ327687 NJF327686:NJF327687 NTB327686:NTB327687 OCX327686:OCX327687 OMT327686:OMT327687 OWP327686:OWP327687 PGL327686:PGL327687 PQH327686:PQH327687 QAD327686:QAD327687 QJZ327686:QJZ327687 QTV327686:QTV327687 RDR327686:RDR327687 RNN327686:RNN327687 RXJ327686:RXJ327687 SHF327686:SHF327687 SRB327686:SRB327687 TAX327686:TAX327687 TKT327686:TKT327687 TUP327686:TUP327687 UEL327686:UEL327687 UOH327686:UOH327687 UYD327686:UYD327687 VHZ327686:VHZ327687 VRV327686:VRV327687 WBR327686:WBR327687 WLN327686:WLN327687 WVJ327686:WVJ327687 B393222:B393223 IX393222:IX393223 ST393222:ST393223 ACP393222:ACP393223 AML393222:AML393223 AWH393222:AWH393223 BGD393222:BGD393223 BPZ393222:BPZ393223 BZV393222:BZV393223 CJR393222:CJR393223 CTN393222:CTN393223 DDJ393222:DDJ393223 DNF393222:DNF393223 DXB393222:DXB393223 EGX393222:EGX393223 EQT393222:EQT393223 FAP393222:FAP393223 FKL393222:FKL393223 FUH393222:FUH393223 GED393222:GED393223 GNZ393222:GNZ393223 GXV393222:GXV393223 HHR393222:HHR393223 HRN393222:HRN393223 IBJ393222:IBJ393223 ILF393222:ILF393223 IVB393222:IVB393223 JEX393222:JEX393223 JOT393222:JOT393223 JYP393222:JYP393223 KIL393222:KIL393223 KSH393222:KSH393223 LCD393222:LCD393223 LLZ393222:LLZ393223 LVV393222:LVV393223 MFR393222:MFR393223 MPN393222:MPN393223 MZJ393222:MZJ393223 NJF393222:NJF393223 NTB393222:NTB393223 OCX393222:OCX393223 OMT393222:OMT393223 OWP393222:OWP393223 PGL393222:PGL393223 PQH393222:PQH393223 QAD393222:QAD393223 QJZ393222:QJZ393223 QTV393222:QTV393223 RDR393222:RDR393223 RNN393222:RNN393223 RXJ393222:RXJ393223 SHF393222:SHF393223 SRB393222:SRB393223 TAX393222:TAX393223 TKT393222:TKT393223 TUP393222:TUP393223 UEL393222:UEL393223 UOH393222:UOH393223 UYD393222:UYD393223 VHZ393222:VHZ393223 VRV393222:VRV393223 WBR393222:WBR393223 WLN393222:WLN393223 WVJ393222:WVJ393223 B458758:B458759 IX458758:IX458759 ST458758:ST458759 ACP458758:ACP458759 AML458758:AML458759 AWH458758:AWH458759 BGD458758:BGD458759 BPZ458758:BPZ458759 BZV458758:BZV458759 CJR458758:CJR458759 CTN458758:CTN458759 DDJ458758:DDJ458759 DNF458758:DNF458759 DXB458758:DXB458759 EGX458758:EGX458759 EQT458758:EQT458759 FAP458758:FAP458759 FKL458758:FKL458759 FUH458758:FUH458759 GED458758:GED458759 GNZ458758:GNZ458759 GXV458758:GXV458759 HHR458758:HHR458759 HRN458758:HRN458759 IBJ458758:IBJ458759 ILF458758:ILF458759 IVB458758:IVB458759 JEX458758:JEX458759 JOT458758:JOT458759 JYP458758:JYP458759 KIL458758:KIL458759 KSH458758:KSH458759 LCD458758:LCD458759 LLZ458758:LLZ458759 LVV458758:LVV458759 MFR458758:MFR458759 MPN458758:MPN458759 MZJ458758:MZJ458759 NJF458758:NJF458759 NTB458758:NTB458759 OCX458758:OCX458759 OMT458758:OMT458759 OWP458758:OWP458759 PGL458758:PGL458759 PQH458758:PQH458759 QAD458758:QAD458759 QJZ458758:QJZ458759 QTV458758:QTV458759 RDR458758:RDR458759 RNN458758:RNN458759 RXJ458758:RXJ458759 SHF458758:SHF458759 SRB458758:SRB458759 TAX458758:TAX458759 TKT458758:TKT458759 TUP458758:TUP458759 UEL458758:UEL458759 UOH458758:UOH458759 UYD458758:UYD458759 VHZ458758:VHZ458759 VRV458758:VRV458759 WBR458758:WBR458759 WLN458758:WLN458759 WVJ458758:WVJ458759 B524294:B524295 IX524294:IX524295 ST524294:ST524295 ACP524294:ACP524295 AML524294:AML524295 AWH524294:AWH524295 BGD524294:BGD524295 BPZ524294:BPZ524295 BZV524294:BZV524295 CJR524294:CJR524295 CTN524294:CTN524295 DDJ524294:DDJ524295 DNF524294:DNF524295 DXB524294:DXB524295 EGX524294:EGX524295 EQT524294:EQT524295 FAP524294:FAP524295 FKL524294:FKL524295 FUH524294:FUH524295 GED524294:GED524295 GNZ524294:GNZ524295 GXV524294:GXV524295 HHR524294:HHR524295 HRN524294:HRN524295 IBJ524294:IBJ524295 ILF524294:ILF524295 IVB524294:IVB524295 JEX524294:JEX524295 JOT524294:JOT524295 JYP524294:JYP524295 KIL524294:KIL524295 KSH524294:KSH524295 LCD524294:LCD524295 LLZ524294:LLZ524295 LVV524294:LVV524295 MFR524294:MFR524295 MPN524294:MPN524295 MZJ524294:MZJ524295 NJF524294:NJF524295 NTB524294:NTB524295 OCX524294:OCX524295 OMT524294:OMT524295 OWP524294:OWP524295 PGL524294:PGL524295 PQH524294:PQH524295 QAD524294:QAD524295 QJZ524294:QJZ524295 QTV524294:QTV524295 RDR524294:RDR524295 RNN524294:RNN524295 RXJ524294:RXJ524295 SHF524294:SHF524295 SRB524294:SRB524295 TAX524294:TAX524295 TKT524294:TKT524295 TUP524294:TUP524295 UEL524294:UEL524295 UOH524294:UOH524295 UYD524294:UYD524295 VHZ524294:VHZ524295 VRV524294:VRV524295 WBR524294:WBR524295 WLN524294:WLN524295 WVJ524294:WVJ524295 B589830:B589831 IX589830:IX589831 ST589830:ST589831 ACP589830:ACP589831 AML589830:AML589831 AWH589830:AWH589831 BGD589830:BGD589831 BPZ589830:BPZ589831 BZV589830:BZV589831 CJR589830:CJR589831 CTN589830:CTN589831 DDJ589830:DDJ589831 DNF589830:DNF589831 DXB589830:DXB589831 EGX589830:EGX589831 EQT589830:EQT589831 FAP589830:FAP589831 FKL589830:FKL589831 FUH589830:FUH589831 GED589830:GED589831 GNZ589830:GNZ589831 GXV589830:GXV589831 HHR589830:HHR589831 HRN589830:HRN589831 IBJ589830:IBJ589831 ILF589830:ILF589831 IVB589830:IVB589831 JEX589830:JEX589831 JOT589830:JOT589831 JYP589830:JYP589831 KIL589830:KIL589831 KSH589830:KSH589831 LCD589830:LCD589831 LLZ589830:LLZ589831 LVV589830:LVV589831 MFR589830:MFR589831 MPN589830:MPN589831 MZJ589830:MZJ589831 NJF589830:NJF589831 NTB589830:NTB589831 OCX589830:OCX589831 OMT589830:OMT589831 OWP589830:OWP589831 PGL589830:PGL589831 PQH589830:PQH589831 QAD589830:QAD589831 QJZ589830:QJZ589831 QTV589830:QTV589831 RDR589830:RDR589831 RNN589830:RNN589831 RXJ589830:RXJ589831 SHF589830:SHF589831 SRB589830:SRB589831 TAX589830:TAX589831 TKT589830:TKT589831 TUP589830:TUP589831 UEL589830:UEL589831 UOH589830:UOH589831 UYD589830:UYD589831 VHZ589830:VHZ589831 VRV589830:VRV589831 WBR589830:WBR589831 WLN589830:WLN589831 WVJ589830:WVJ589831 B655366:B655367 IX655366:IX655367 ST655366:ST655367 ACP655366:ACP655367 AML655366:AML655367 AWH655366:AWH655367 BGD655366:BGD655367 BPZ655366:BPZ655367 BZV655366:BZV655367 CJR655366:CJR655367 CTN655366:CTN655367 DDJ655366:DDJ655367 DNF655366:DNF655367 DXB655366:DXB655367 EGX655366:EGX655367 EQT655366:EQT655367 FAP655366:FAP655367 FKL655366:FKL655367 FUH655366:FUH655367 GED655366:GED655367 GNZ655366:GNZ655367 GXV655366:GXV655367 HHR655366:HHR655367 HRN655366:HRN655367 IBJ655366:IBJ655367 ILF655366:ILF655367 IVB655366:IVB655367 JEX655366:JEX655367 JOT655366:JOT655367 JYP655366:JYP655367 KIL655366:KIL655367 KSH655366:KSH655367 LCD655366:LCD655367 LLZ655366:LLZ655367 LVV655366:LVV655367 MFR655366:MFR655367 MPN655366:MPN655367 MZJ655366:MZJ655367 NJF655366:NJF655367 NTB655366:NTB655367 OCX655366:OCX655367 OMT655366:OMT655367 OWP655366:OWP655367 PGL655366:PGL655367 PQH655366:PQH655367 QAD655366:QAD655367 QJZ655366:QJZ655367 QTV655366:QTV655367 RDR655366:RDR655367 RNN655366:RNN655367 RXJ655366:RXJ655367 SHF655366:SHF655367 SRB655366:SRB655367 TAX655366:TAX655367 TKT655366:TKT655367 TUP655366:TUP655367 UEL655366:UEL655367 UOH655366:UOH655367 UYD655366:UYD655367 VHZ655366:VHZ655367 VRV655366:VRV655367 WBR655366:WBR655367 WLN655366:WLN655367 WVJ655366:WVJ655367 B720902:B720903 IX720902:IX720903 ST720902:ST720903 ACP720902:ACP720903 AML720902:AML720903 AWH720902:AWH720903 BGD720902:BGD720903 BPZ720902:BPZ720903 BZV720902:BZV720903 CJR720902:CJR720903 CTN720902:CTN720903 DDJ720902:DDJ720903 DNF720902:DNF720903 DXB720902:DXB720903 EGX720902:EGX720903 EQT720902:EQT720903 FAP720902:FAP720903 FKL720902:FKL720903 FUH720902:FUH720903 GED720902:GED720903 GNZ720902:GNZ720903 GXV720902:GXV720903 HHR720902:HHR720903 HRN720902:HRN720903 IBJ720902:IBJ720903 ILF720902:ILF720903 IVB720902:IVB720903 JEX720902:JEX720903 JOT720902:JOT720903 JYP720902:JYP720903 KIL720902:KIL720903 KSH720902:KSH720903 LCD720902:LCD720903 LLZ720902:LLZ720903 LVV720902:LVV720903 MFR720902:MFR720903 MPN720902:MPN720903 MZJ720902:MZJ720903 NJF720902:NJF720903 NTB720902:NTB720903 OCX720902:OCX720903 OMT720902:OMT720903 OWP720902:OWP720903 PGL720902:PGL720903 PQH720902:PQH720903 QAD720902:QAD720903 QJZ720902:QJZ720903 QTV720902:QTV720903 RDR720902:RDR720903 RNN720902:RNN720903 RXJ720902:RXJ720903 SHF720902:SHF720903 SRB720902:SRB720903 TAX720902:TAX720903 TKT720902:TKT720903 TUP720902:TUP720903 UEL720902:UEL720903 UOH720902:UOH720903 UYD720902:UYD720903 VHZ720902:VHZ720903 VRV720902:VRV720903 WBR720902:WBR720903 WLN720902:WLN720903 WVJ720902:WVJ720903 B786438:B786439 IX786438:IX786439 ST786438:ST786439 ACP786438:ACP786439 AML786438:AML786439 AWH786438:AWH786439 BGD786438:BGD786439 BPZ786438:BPZ786439 BZV786438:BZV786439 CJR786438:CJR786439 CTN786438:CTN786439 DDJ786438:DDJ786439 DNF786438:DNF786439 DXB786438:DXB786439 EGX786438:EGX786439 EQT786438:EQT786439 FAP786438:FAP786439 FKL786438:FKL786439 FUH786438:FUH786439 GED786438:GED786439 GNZ786438:GNZ786439 GXV786438:GXV786439 HHR786438:HHR786439 HRN786438:HRN786439 IBJ786438:IBJ786439 ILF786438:ILF786439 IVB786438:IVB786439 JEX786438:JEX786439 JOT786438:JOT786439 JYP786438:JYP786439 KIL786438:KIL786439 KSH786438:KSH786439 LCD786438:LCD786439 LLZ786438:LLZ786439 LVV786438:LVV786439 MFR786438:MFR786439 MPN786438:MPN786439 MZJ786438:MZJ786439 NJF786438:NJF786439 NTB786438:NTB786439 OCX786438:OCX786439 OMT786438:OMT786439 OWP786438:OWP786439 PGL786438:PGL786439 PQH786438:PQH786439 QAD786438:QAD786439 QJZ786438:QJZ786439 QTV786438:QTV786439 RDR786438:RDR786439 RNN786438:RNN786439 RXJ786438:RXJ786439 SHF786438:SHF786439 SRB786438:SRB786439 TAX786438:TAX786439 TKT786438:TKT786439 TUP786438:TUP786439 UEL786438:UEL786439 UOH786438:UOH786439 UYD786438:UYD786439 VHZ786438:VHZ786439 VRV786438:VRV786439 WBR786438:WBR786439 WLN786438:WLN786439 WVJ786438:WVJ786439 B851974:B851975 IX851974:IX851975 ST851974:ST851975 ACP851974:ACP851975 AML851974:AML851975 AWH851974:AWH851975 BGD851974:BGD851975 BPZ851974:BPZ851975 BZV851974:BZV851975 CJR851974:CJR851975 CTN851974:CTN851975 DDJ851974:DDJ851975 DNF851974:DNF851975 DXB851974:DXB851975 EGX851974:EGX851975 EQT851974:EQT851975 FAP851974:FAP851975 FKL851974:FKL851975 FUH851974:FUH851975 GED851974:GED851975 GNZ851974:GNZ851975 GXV851974:GXV851975 HHR851974:HHR851975 HRN851974:HRN851975 IBJ851974:IBJ851975 ILF851974:ILF851975 IVB851974:IVB851975 JEX851974:JEX851975 JOT851974:JOT851975 JYP851974:JYP851975 KIL851974:KIL851975 KSH851974:KSH851975 LCD851974:LCD851975 LLZ851974:LLZ851975 LVV851974:LVV851975 MFR851974:MFR851975 MPN851974:MPN851975 MZJ851974:MZJ851975 NJF851974:NJF851975 NTB851974:NTB851975 OCX851974:OCX851975 OMT851974:OMT851975 OWP851974:OWP851975 PGL851974:PGL851975 PQH851974:PQH851975 QAD851974:QAD851975 QJZ851974:QJZ851975 QTV851974:QTV851975 RDR851974:RDR851975 RNN851974:RNN851975 RXJ851974:RXJ851975 SHF851974:SHF851975 SRB851974:SRB851975 TAX851974:TAX851975 TKT851974:TKT851975 TUP851974:TUP851975 UEL851974:UEL851975 UOH851974:UOH851975 UYD851974:UYD851975 VHZ851974:VHZ851975 VRV851974:VRV851975 WBR851974:WBR851975 WLN851974:WLN851975 WVJ851974:WVJ851975 B917510:B917511 IX917510:IX917511 ST917510:ST917511 ACP917510:ACP917511 AML917510:AML917511 AWH917510:AWH917511 BGD917510:BGD917511 BPZ917510:BPZ917511 BZV917510:BZV917511 CJR917510:CJR917511 CTN917510:CTN917511 DDJ917510:DDJ917511 DNF917510:DNF917511 DXB917510:DXB917511 EGX917510:EGX917511 EQT917510:EQT917511 FAP917510:FAP917511 FKL917510:FKL917511 FUH917510:FUH917511 GED917510:GED917511 GNZ917510:GNZ917511 GXV917510:GXV917511 HHR917510:HHR917511 HRN917510:HRN917511 IBJ917510:IBJ917511 ILF917510:ILF917511 IVB917510:IVB917511 JEX917510:JEX917511 JOT917510:JOT917511 JYP917510:JYP917511 KIL917510:KIL917511 KSH917510:KSH917511 LCD917510:LCD917511 LLZ917510:LLZ917511 LVV917510:LVV917511 MFR917510:MFR917511 MPN917510:MPN917511 MZJ917510:MZJ917511 NJF917510:NJF917511 NTB917510:NTB917511 OCX917510:OCX917511 OMT917510:OMT917511 OWP917510:OWP917511 PGL917510:PGL917511 PQH917510:PQH917511 QAD917510:QAD917511 QJZ917510:QJZ917511 QTV917510:QTV917511 RDR917510:RDR917511 RNN917510:RNN917511 RXJ917510:RXJ917511 SHF917510:SHF917511 SRB917510:SRB917511 TAX917510:TAX917511 TKT917510:TKT917511 TUP917510:TUP917511 UEL917510:UEL917511 UOH917510:UOH917511 UYD917510:UYD917511 VHZ917510:VHZ917511 VRV917510:VRV917511 WBR917510:WBR917511 WLN917510:WLN917511 WVJ917510:WVJ917511 B983046:B983047 IX983046:IX983047 ST983046:ST983047 ACP983046:ACP983047 AML983046:AML983047 AWH983046:AWH983047 BGD983046:BGD983047 BPZ983046:BPZ983047 BZV983046:BZV983047 CJR983046:CJR983047 CTN983046:CTN983047 DDJ983046:DDJ983047 DNF983046:DNF983047 DXB983046:DXB983047 EGX983046:EGX983047 EQT983046:EQT983047 FAP983046:FAP983047 FKL983046:FKL983047 FUH983046:FUH983047 GED983046:GED983047 GNZ983046:GNZ983047 GXV983046:GXV983047 HHR983046:HHR983047 HRN983046:HRN983047 IBJ983046:IBJ983047 ILF983046:ILF983047 IVB983046:IVB983047 JEX983046:JEX983047 JOT983046:JOT983047 JYP983046:JYP983047 KIL983046:KIL983047 KSH983046:KSH983047 LCD983046:LCD983047 LLZ983046:LLZ983047 LVV983046:LVV983047 MFR983046:MFR983047 MPN983046:MPN983047 MZJ983046:MZJ983047 NJF983046:NJF983047 NTB983046:NTB983047 OCX983046:OCX983047 OMT983046:OMT983047 OWP983046:OWP983047 PGL983046:PGL983047 PQH983046:PQH983047 QAD983046:QAD983047 QJZ983046:QJZ983047 QTV983046:QTV983047 RDR983046:RDR983047 RNN983046:RNN983047 RXJ983046:RXJ983047 SHF983046:SHF983047 SRB983046:SRB983047 TAX983046:TAX983047 TKT983046:TKT983047 TUP983046:TUP983047 UEL983046:UEL983047 UOH983046:UOH983047 UYD983046:UYD983047 VHZ983046:VHZ983047 VRV983046:VRV983047 WBR983046:WBR983047 WLN983046:WLN983047 WVJ983046:WVJ983047 H6:H7 JD6:JD7 SZ6:SZ7 ACV6:ACV7 AMR6:AMR7 AWN6:AWN7 BGJ6:BGJ7 BQF6:BQF7 CAB6:CAB7 CJX6:CJX7 CTT6:CTT7 DDP6:DDP7 DNL6:DNL7 DXH6:DXH7 EHD6:EHD7 EQZ6:EQZ7 FAV6:FAV7 FKR6:FKR7 FUN6:FUN7 GEJ6:GEJ7 GOF6:GOF7 GYB6:GYB7 HHX6:HHX7 HRT6:HRT7 IBP6:IBP7 ILL6:ILL7 IVH6:IVH7 JFD6:JFD7 JOZ6:JOZ7 JYV6:JYV7 KIR6:KIR7 KSN6:KSN7 LCJ6:LCJ7 LMF6:LMF7 LWB6:LWB7 MFX6:MFX7 MPT6:MPT7 MZP6:MZP7 NJL6:NJL7 NTH6:NTH7 ODD6:ODD7 OMZ6:OMZ7 OWV6:OWV7 PGR6:PGR7 PQN6:PQN7 QAJ6:QAJ7 QKF6:QKF7 QUB6:QUB7 RDX6:RDX7 RNT6:RNT7 RXP6:RXP7 SHL6:SHL7 SRH6:SRH7 TBD6:TBD7 TKZ6:TKZ7 TUV6:TUV7 UER6:UER7 UON6:UON7 UYJ6:UYJ7 VIF6:VIF7 VSB6:VSB7 WBX6:WBX7 WLT6:WLT7 WVP6:WVP7 H65542:H65543 JD65542:JD65543 SZ65542:SZ65543 ACV65542:ACV65543 AMR65542:AMR65543 AWN65542:AWN65543 BGJ65542:BGJ65543 BQF65542:BQF65543 CAB65542:CAB65543 CJX65542:CJX65543 CTT65542:CTT65543 DDP65542:DDP65543 DNL65542:DNL65543 DXH65542:DXH65543 EHD65542:EHD65543 EQZ65542:EQZ65543 FAV65542:FAV65543 FKR65542:FKR65543 FUN65542:FUN65543 GEJ65542:GEJ65543 GOF65542:GOF65543 GYB65542:GYB65543 HHX65542:HHX65543 HRT65542:HRT65543 IBP65542:IBP65543 ILL65542:ILL65543 IVH65542:IVH65543 JFD65542:JFD65543 JOZ65542:JOZ65543 JYV65542:JYV65543 KIR65542:KIR65543 KSN65542:KSN65543 LCJ65542:LCJ65543 LMF65542:LMF65543 LWB65542:LWB65543 MFX65542:MFX65543 MPT65542:MPT65543 MZP65542:MZP65543 NJL65542:NJL65543 NTH65542:NTH65543 ODD65542:ODD65543 OMZ65542:OMZ65543 OWV65542:OWV65543 PGR65542:PGR65543 PQN65542:PQN65543 QAJ65542:QAJ65543 QKF65542:QKF65543 QUB65542:QUB65543 RDX65542:RDX65543 RNT65542:RNT65543 RXP65542:RXP65543 SHL65542:SHL65543 SRH65542:SRH65543 TBD65542:TBD65543 TKZ65542:TKZ65543 TUV65542:TUV65543 UER65542:UER65543 UON65542:UON65543 UYJ65542:UYJ65543 VIF65542:VIF65543 VSB65542:VSB65543 WBX65542:WBX65543 WLT65542:WLT65543 WVP65542:WVP65543 H131078:H131079 JD131078:JD131079 SZ131078:SZ131079 ACV131078:ACV131079 AMR131078:AMR131079 AWN131078:AWN131079 BGJ131078:BGJ131079 BQF131078:BQF131079 CAB131078:CAB131079 CJX131078:CJX131079 CTT131078:CTT131079 DDP131078:DDP131079 DNL131078:DNL131079 DXH131078:DXH131079 EHD131078:EHD131079 EQZ131078:EQZ131079 FAV131078:FAV131079 FKR131078:FKR131079 FUN131078:FUN131079 GEJ131078:GEJ131079 GOF131078:GOF131079 GYB131078:GYB131079 HHX131078:HHX131079 HRT131078:HRT131079 IBP131078:IBP131079 ILL131078:ILL131079 IVH131078:IVH131079 JFD131078:JFD131079 JOZ131078:JOZ131079 JYV131078:JYV131079 KIR131078:KIR131079 KSN131078:KSN131079 LCJ131078:LCJ131079 LMF131078:LMF131079 LWB131078:LWB131079 MFX131078:MFX131079 MPT131078:MPT131079 MZP131078:MZP131079 NJL131078:NJL131079 NTH131078:NTH131079 ODD131078:ODD131079 OMZ131078:OMZ131079 OWV131078:OWV131079 PGR131078:PGR131079 PQN131078:PQN131079 QAJ131078:QAJ131079 QKF131078:QKF131079 QUB131078:QUB131079 RDX131078:RDX131079 RNT131078:RNT131079 RXP131078:RXP131079 SHL131078:SHL131079 SRH131078:SRH131079 TBD131078:TBD131079 TKZ131078:TKZ131079 TUV131078:TUV131079 UER131078:UER131079 UON131078:UON131079 UYJ131078:UYJ131079 VIF131078:VIF131079 VSB131078:VSB131079 WBX131078:WBX131079 WLT131078:WLT131079 WVP131078:WVP131079 H196614:H196615 JD196614:JD196615 SZ196614:SZ196615 ACV196614:ACV196615 AMR196614:AMR196615 AWN196614:AWN196615 BGJ196614:BGJ196615 BQF196614:BQF196615 CAB196614:CAB196615 CJX196614:CJX196615 CTT196614:CTT196615 DDP196614:DDP196615 DNL196614:DNL196615 DXH196614:DXH196615 EHD196614:EHD196615 EQZ196614:EQZ196615 FAV196614:FAV196615 FKR196614:FKR196615 FUN196614:FUN196615 GEJ196614:GEJ196615 GOF196614:GOF196615 GYB196614:GYB196615 HHX196614:HHX196615 HRT196614:HRT196615 IBP196614:IBP196615 ILL196614:ILL196615 IVH196614:IVH196615 JFD196614:JFD196615 JOZ196614:JOZ196615 JYV196614:JYV196615 KIR196614:KIR196615 KSN196614:KSN196615 LCJ196614:LCJ196615 LMF196614:LMF196615 LWB196614:LWB196615 MFX196614:MFX196615 MPT196614:MPT196615 MZP196614:MZP196615 NJL196614:NJL196615 NTH196614:NTH196615 ODD196614:ODD196615 OMZ196614:OMZ196615 OWV196614:OWV196615 PGR196614:PGR196615 PQN196614:PQN196615 QAJ196614:QAJ196615 QKF196614:QKF196615 QUB196614:QUB196615 RDX196614:RDX196615 RNT196614:RNT196615 RXP196614:RXP196615 SHL196614:SHL196615 SRH196614:SRH196615 TBD196614:TBD196615 TKZ196614:TKZ196615 TUV196614:TUV196615 UER196614:UER196615 UON196614:UON196615 UYJ196614:UYJ196615 VIF196614:VIF196615 VSB196614:VSB196615 WBX196614:WBX196615 WLT196614:WLT196615 WVP196614:WVP196615 H262150:H262151 JD262150:JD262151 SZ262150:SZ262151 ACV262150:ACV262151 AMR262150:AMR262151 AWN262150:AWN262151 BGJ262150:BGJ262151 BQF262150:BQF262151 CAB262150:CAB262151 CJX262150:CJX262151 CTT262150:CTT262151 DDP262150:DDP262151 DNL262150:DNL262151 DXH262150:DXH262151 EHD262150:EHD262151 EQZ262150:EQZ262151 FAV262150:FAV262151 FKR262150:FKR262151 FUN262150:FUN262151 GEJ262150:GEJ262151 GOF262150:GOF262151 GYB262150:GYB262151 HHX262150:HHX262151 HRT262150:HRT262151 IBP262150:IBP262151 ILL262150:ILL262151 IVH262150:IVH262151 JFD262150:JFD262151 JOZ262150:JOZ262151 JYV262150:JYV262151 KIR262150:KIR262151 KSN262150:KSN262151 LCJ262150:LCJ262151 LMF262150:LMF262151 LWB262150:LWB262151 MFX262150:MFX262151 MPT262150:MPT262151 MZP262150:MZP262151 NJL262150:NJL262151 NTH262150:NTH262151 ODD262150:ODD262151 OMZ262150:OMZ262151 OWV262150:OWV262151 PGR262150:PGR262151 PQN262150:PQN262151 QAJ262150:QAJ262151 QKF262150:QKF262151 QUB262150:QUB262151 RDX262150:RDX262151 RNT262150:RNT262151 RXP262150:RXP262151 SHL262150:SHL262151 SRH262150:SRH262151 TBD262150:TBD262151 TKZ262150:TKZ262151 TUV262150:TUV262151 UER262150:UER262151 UON262150:UON262151 UYJ262150:UYJ262151 VIF262150:VIF262151 VSB262150:VSB262151 WBX262150:WBX262151 WLT262150:WLT262151 WVP262150:WVP262151 H327686:H327687 JD327686:JD327687 SZ327686:SZ327687 ACV327686:ACV327687 AMR327686:AMR327687 AWN327686:AWN327687 BGJ327686:BGJ327687 BQF327686:BQF327687 CAB327686:CAB327687 CJX327686:CJX327687 CTT327686:CTT327687 DDP327686:DDP327687 DNL327686:DNL327687 DXH327686:DXH327687 EHD327686:EHD327687 EQZ327686:EQZ327687 FAV327686:FAV327687 FKR327686:FKR327687 FUN327686:FUN327687 GEJ327686:GEJ327687 GOF327686:GOF327687 GYB327686:GYB327687 HHX327686:HHX327687 HRT327686:HRT327687 IBP327686:IBP327687 ILL327686:ILL327687 IVH327686:IVH327687 JFD327686:JFD327687 JOZ327686:JOZ327687 JYV327686:JYV327687 KIR327686:KIR327687 KSN327686:KSN327687 LCJ327686:LCJ327687 LMF327686:LMF327687 LWB327686:LWB327687 MFX327686:MFX327687 MPT327686:MPT327687 MZP327686:MZP327687 NJL327686:NJL327687 NTH327686:NTH327687 ODD327686:ODD327687 OMZ327686:OMZ327687 OWV327686:OWV327687 PGR327686:PGR327687 PQN327686:PQN327687 QAJ327686:QAJ327687 QKF327686:QKF327687 QUB327686:QUB327687 RDX327686:RDX327687 RNT327686:RNT327687 RXP327686:RXP327687 SHL327686:SHL327687 SRH327686:SRH327687 TBD327686:TBD327687 TKZ327686:TKZ327687 TUV327686:TUV327687 UER327686:UER327687 UON327686:UON327687 UYJ327686:UYJ327687 VIF327686:VIF327687 VSB327686:VSB327687 WBX327686:WBX327687 WLT327686:WLT327687 WVP327686:WVP327687 H393222:H393223 JD393222:JD393223 SZ393222:SZ393223 ACV393222:ACV393223 AMR393222:AMR393223 AWN393222:AWN393223 BGJ393222:BGJ393223 BQF393222:BQF393223 CAB393222:CAB393223 CJX393222:CJX393223 CTT393222:CTT393223 DDP393222:DDP393223 DNL393222:DNL393223 DXH393222:DXH393223 EHD393222:EHD393223 EQZ393222:EQZ393223 FAV393222:FAV393223 FKR393222:FKR393223 FUN393222:FUN393223 GEJ393222:GEJ393223 GOF393222:GOF393223 GYB393222:GYB393223 HHX393222:HHX393223 HRT393222:HRT393223 IBP393222:IBP393223 ILL393222:ILL393223 IVH393222:IVH393223 JFD393222:JFD393223 JOZ393222:JOZ393223 JYV393222:JYV393223 KIR393222:KIR393223 KSN393222:KSN393223 LCJ393222:LCJ393223 LMF393222:LMF393223 LWB393222:LWB393223 MFX393222:MFX393223 MPT393222:MPT393223 MZP393222:MZP393223 NJL393222:NJL393223 NTH393222:NTH393223 ODD393222:ODD393223 OMZ393222:OMZ393223 OWV393222:OWV393223 PGR393222:PGR393223 PQN393222:PQN393223 QAJ393222:QAJ393223 QKF393222:QKF393223 QUB393222:QUB393223 RDX393222:RDX393223 RNT393222:RNT393223 RXP393222:RXP393223 SHL393222:SHL393223 SRH393222:SRH393223 TBD393222:TBD393223 TKZ393222:TKZ393223 TUV393222:TUV393223 UER393222:UER393223 UON393222:UON393223 UYJ393222:UYJ393223 VIF393222:VIF393223 VSB393222:VSB393223 WBX393222:WBX393223 WLT393222:WLT393223 WVP393222:WVP393223 H458758:H458759 JD458758:JD458759 SZ458758:SZ458759 ACV458758:ACV458759 AMR458758:AMR458759 AWN458758:AWN458759 BGJ458758:BGJ458759 BQF458758:BQF458759 CAB458758:CAB458759 CJX458758:CJX458759 CTT458758:CTT458759 DDP458758:DDP458759 DNL458758:DNL458759 DXH458758:DXH458759 EHD458758:EHD458759 EQZ458758:EQZ458759 FAV458758:FAV458759 FKR458758:FKR458759 FUN458758:FUN458759 GEJ458758:GEJ458759 GOF458758:GOF458759 GYB458758:GYB458759 HHX458758:HHX458759 HRT458758:HRT458759 IBP458758:IBP458759 ILL458758:ILL458759 IVH458758:IVH458759 JFD458758:JFD458759 JOZ458758:JOZ458759 JYV458758:JYV458759 KIR458758:KIR458759 KSN458758:KSN458759 LCJ458758:LCJ458759 LMF458758:LMF458759 LWB458758:LWB458759 MFX458758:MFX458759 MPT458758:MPT458759 MZP458758:MZP458759 NJL458758:NJL458759 NTH458758:NTH458759 ODD458758:ODD458759 OMZ458758:OMZ458759 OWV458758:OWV458759 PGR458758:PGR458759 PQN458758:PQN458759 QAJ458758:QAJ458759 QKF458758:QKF458759 QUB458758:QUB458759 RDX458758:RDX458759 RNT458758:RNT458759 RXP458758:RXP458759 SHL458758:SHL458759 SRH458758:SRH458759 TBD458758:TBD458759 TKZ458758:TKZ458759 TUV458758:TUV458759 UER458758:UER458759 UON458758:UON458759 UYJ458758:UYJ458759 VIF458758:VIF458759 VSB458758:VSB458759 WBX458758:WBX458759 WLT458758:WLT458759 WVP458758:WVP458759 H524294:H524295 JD524294:JD524295 SZ524294:SZ524295 ACV524294:ACV524295 AMR524294:AMR524295 AWN524294:AWN524295 BGJ524294:BGJ524295 BQF524294:BQF524295 CAB524294:CAB524295 CJX524294:CJX524295 CTT524294:CTT524295 DDP524294:DDP524295 DNL524294:DNL524295 DXH524294:DXH524295 EHD524294:EHD524295 EQZ524294:EQZ524295 FAV524294:FAV524295 FKR524294:FKR524295 FUN524294:FUN524295 GEJ524294:GEJ524295 GOF524294:GOF524295 GYB524294:GYB524295 HHX524294:HHX524295 HRT524294:HRT524295 IBP524294:IBP524295 ILL524294:ILL524295 IVH524294:IVH524295 JFD524294:JFD524295 JOZ524294:JOZ524295 JYV524294:JYV524295 KIR524294:KIR524295 KSN524294:KSN524295 LCJ524294:LCJ524295 LMF524294:LMF524295 LWB524294:LWB524295 MFX524294:MFX524295 MPT524294:MPT524295 MZP524294:MZP524295 NJL524294:NJL524295 NTH524294:NTH524295 ODD524294:ODD524295 OMZ524294:OMZ524295 OWV524294:OWV524295 PGR524294:PGR524295 PQN524294:PQN524295 QAJ524294:QAJ524295 QKF524294:QKF524295 QUB524294:QUB524295 RDX524294:RDX524295 RNT524294:RNT524295 RXP524294:RXP524295 SHL524294:SHL524295 SRH524294:SRH524295 TBD524294:TBD524295 TKZ524294:TKZ524295 TUV524294:TUV524295 UER524294:UER524295 UON524294:UON524295 UYJ524294:UYJ524295 VIF524294:VIF524295 VSB524294:VSB524295 WBX524294:WBX524295 WLT524294:WLT524295 WVP524294:WVP524295 H589830:H589831 JD589830:JD589831 SZ589830:SZ589831 ACV589830:ACV589831 AMR589830:AMR589831 AWN589830:AWN589831 BGJ589830:BGJ589831 BQF589830:BQF589831 CAB589830:CAB589831 CJX589830:CJX589831 CTT589830:CTT589831 DDP589830:DDP589831 DNL589830:DNL589831 DXH589830:DXH589831 EHD589830:EHD589831 EQZ589830:EQZ589831 FAV589830:FAV589831 FKR589830:FKR589831 FUN589830:FUN589831 GEJ589830:GEJ589831 GOF589830:GOF589831 GYB589830:GYB589831 HHX589830:HHX589831 HRT589830:HRT589831 IBP589830:IBP589831 ILL589830:ILL589831 IVH589830:IVH589831 JFD589830:JFD589831 JOZ589830:JOZ589831 JYV589830:JYV589831 KIR589830:KIR589831 KSN589830:KSN589831 LCJ589830:LCJ589831 LMF589830:LMF589831 LWB589830:LWB589831 MFX589830:MFX589831 MPT589830:MPT589831 MZP589830:MZP589831 NJL589830:NJL589831 NTH589830:NTH589831 ODD589830:ODD589831 OMZ589830:OMZ589831 OWV589830:OWV589831 PGR589830:PGR589831 PQN589830:PQN589831 QAJ589830:QAJ589831 QKF589830:QKF589831 QUB589830:QUB589831 RDX589830:RDX589831 RNT589830:RNT589831 RXP589830:RXP589831 SHL589830:SHL589831 SRH589830:SRH589831 TBD589830:TBD589831 TKZ589830:TKZ589831 TUV589830:TUV589831 UER589830:UER589831 UON589830:UON589831 UYJ589830:UYJ589831 VIF589830:VIF589831 VSB589830:VSB589831 WBX589830:WBX589831 WLT589830:WLT589831 WVP589830:WVP589831 H655366:H655367 JD655366:JD655367 SZ655366:SZ655367 ACV655366:ACV655367 AMR655366:AMR655367 AWN655366:AWN655367 BGJ655366:BGJ655367 BQF655366:BQF655367 CAB655366:CAB655367 CJX655366:CJX655367 CTT655366:CTT655367 DDP655366:DDP655367 DNL655366:DNL655367 DXH655366:DXH655367 EHD655366:EHD655367 EQZ655366:EQZ655367 FAV655366:FAV655367 FKR655366:FKR655367 FUN655366:FUN655367 GEJ655366:GEJ655367 GOF655366:GOF655367 GYB655366:GYB655367 HHX655366:HHX655367 HRT655366:HRT655367 IBP655366:IBP655367 ILL655366:ILL655367 IVH655366:IVH655367 JFD655366:JFD655367 JOZ655366:JOZ655367 JYV655366:JYV655367 KIR655366:KIR655367 KSN655366:KSN655367 LCJ655366:LCJ655367 LMF655366:LMF655367 LWB655366:LWB655367 MFX655366:MFX655367 MPT655366:MPT655367 MZP655366:MZP655367 NJL655366:NJL655367 NTH655366:NTH655367 ODD655366:ODD655367 OMZ655366:OMZ655367 OWV655366:OWV655367 PGR655366:PGR655367 PQN655366:PQN655367 QAJ655366:QAJ655367 QKF655366:QKF655367 QUB655366:QUB655367 RDX655366:RDX655367 RNT655366:RNT655367 RXP655366:RXP655367 SHL655366:SHL655367 SRH655366:SRH655367 TBD655366:TBD655367 TKZ655366:TKZ655367 TUV655366:TUV655367 UER655366:UER655367 UON655366:UON655367 UYJ655366:UYJ655367 VIF655366:VIF655367 VSB655366:VSB655367 WBX655366:WBX655367 WLT655366:WLT655367 WVP655366:WVP655367 H720902:H720903 JD720902:JD720903 SZ720902:SZ720903 ACV720902:ACV720903 AMR720902:AMR720903 AWN720902:AWN720903 BGJ720902:BGJ720903 BQF720902:BQF720903 CAB720902:CAB720903 CJX720902:CJX720903 CTT720902:CTT720903 DDP720902:DDP720903 DNL720902:DNL720903 DXH720902:DXH720903 EHD720902:EHD720903 EQZ720902:EQZ720903 FAV720902:FAV720903 FKR720902:FKR720903 FUN720902:FUN720903 GEJ720902:GEJ720903 GOF720902:GOF720903 GYB720902:GYB720903 HHX720902:HHX720903 HRT720902:HRT720903 IBP720902:IBP720903 ILL720902:ILL720903 IVH720902:IVH720903 JFD720902:JFD720903 JOZ720902:JOZ720903 JYV720902:JYV720903 KIR720902:KIR720903 KSN720902:KSN720903 LCJ720902:LCJ720903 LMF720902:LMF720903 LWB720902:LWB720903 MFX720902:MFX720903 MPT720902:MPT720903 MZP720902:MZP720903 NJL720902:NJL720903 NTH720902:NTH720903 ODD720902:ODD720903 OMZ720902:OMZ720903 OWV720902:OWV720903 PGR720902:PGR720903 PQN720902:PQN720903 QAJ720902:QAJ720903 QKF720902:QKF720903 QUB720902:QUB720903 RDX720902:RDX720903 RNT720902:RNT720903 RXP720902:RXP720903 SHL720902:SHL720903 SRH720902:SRH720903 TBD720902:TBD720903 TKZ720902:TKZ720903 TUV720902:TUV720903 UER720902:UER720903 UON720902:UON720903 UYJ720902:UYJ720903 VIF720902:VIF720903 VSB720902:VSB720903 WBX720902:WBX720903 WLT720902:WLT720903 WVP720902:WVP720903 H786438:H786439 JD786438:JD786439 SZ786438:SZ786439 ACV786438:ACV786439 AMR786438:AMR786439 AWN786438:AWN786439 BGJ786438:BGJ786439 BQF786438:BQF786439 CAB786438:CAB786439 CJX786438:CJX786439 CTT786438:CTT786439 DDP786438:DDP786439 DNL786438:DNL786439 DXH786438:DXH786439 EHD786438:EHD786439 EQZ786438:EQZ786439 FAV786438:FAV786439 FKR786438:FKR786439 FUN786438:FUN786439 GEJ786438:GEJ786439 GOF786438:GOF786439 GYB786438:GYB786439 HHX786438:HHX786439 HRT786438:HRT786439 IBP786438:IBP786439 ILL786438:ILL786439 IVH786438:IVH786439 JFD786438:JFD786439 JOZ786438:JOZ786439 JYV786438:JYV786439 KIR786438:KIR786439 KSN786438:KSN786439 LCJ786438:LCJ786439 LMF786438:LMF786439 LWB786438:LWB786439 MFX786438:MFX786439 MPT786438:MPT786439 MZP786438:MZP786439 NJL786438:NJL786439 NTH786438:NTH786439 ODD786438:ODD786439 OMZ786438:OMZ786439 OWV786438:OWV786439 PGR786438:PGR786439 PQN786438:PQN786439 QAJ786438:QAJ786439 QKF786438:QKF786439 QUB786438:QUB786439 RDX786438:RDX786439 RNT786438:RNT786439 RXP786438:RXP786439 SHL786438:SHL786439 SRH786438:SRH786439 TBD786438:TBD786439 TKZ786438:TKZ786439 TUV786438:TUV786439 UER786438:UER786439 UON786438:UON786439 UYJ786438:UYJ786439 VIF786438:VIF786439 VSB786438:VSB786439 WBX786438:WBX786439 WLT786438:WLT786439 WVP786438:WVP786439 H851974:H851975 JD851974:JD851975 SZ851974:SZ851975 ACV851974:ACV851975 AMR851974:AMR851975 AWN851974:AWN851975 BGJ851974:BGJ851975 BQF851974:BQF851975 CAB851974:CAB851975 CJX851974:CJX851975 CTT851974:CTT851975 DDP851974:DDP851975 DNL851974:DNL851975 DXH851974:DXH851975 EHD851974:EHD851975 EQZ851974:EQZ851975 FAV851974:FAV851975 FKR851974:FKR851975 FUN851974:FUN851975 GEJ851974:GEJ851975 GOF851974:GOF851975 GYB851974:GYB851975 HHX851974:HHX851975 HRT851974:HRT851975 IBP851974:IBP851975 ILL851974:ILL851975 IVH851974:IVH851975 JFD851974:JFD851975 JOZ851974:JOZ851975 JYV851974:JYV851975 KIR851974:KIR851975 KSN851974:KSN851975 LCJ851974:LCJ851975 LMF851974:LMF851975 LWB851974:LWB851975 MFX851974:MFX851975 MPT851974:MPT851975 MZP851974:MZP851975 NJL851974:NJL851975 NTH851974:NTH851975 ODD851974:ODD851975 OMZ851974:OMZ851975 OWV851974:OWV851975 PGR851974:PGR851975 PQN851974:PQN851975 QAJ851974:QAJ851975 QKF851974:QKF851975 QUB851974:QUB851975 RDX851974:RDX851975 RNT851974:RNT851975 RXP851974:RXP851975 SHL851974:SHL851975 SRH851974:SRH851975 TBD851974:TBD851975 TKZ851974:TKZ851975 TUV851974:TUV851975 UER851974:UER851975 UON851974:UON851975 UYJ851974:UYJ851975 VIF851974:VIF851975 VSB851974:VSB851975 WBX851974:WBX851975 WLT851974:WLT851975 WVP851974:WVP851975 H917510:H917511 JD917510:JD917511 SZ917510:SZ917511 ACV917510:ACV917511 AMR917510:AMR917511 AWN917510:AWN917511 BGJ917510:BGJ917511 BQF917510:BQF917511 CAB917510:CAB917511 CJX917510:CJX917511 CTT917510:CTT917511 DDP917510:DDP917511 DNL917510:DNL917511 DXH917510:DXH917511 EHD917510:EHD917511 EQZ917510:EQZ917511 FAV917510:FAV917511 FKR917510:FKR917511 FUN917510:FUN917511 GEJ917510:GEJ917511 GOF917510:GOF917511 GYB917510:GYB917511 HHX917510:HHX917511 HRT917510:HRT917511 IBP917510:IBP917511 ILL917510:ILL917511 IVH917510:IVH917511 JFD917510:JFD917511 JOZ917510:JOZ917511 JYV917510:JYV917511 KIR917510:KIR917511 KSN917510:KSN917511 LCJ917510:LCJ917511 LMF917510:LMF917511 LWB917510:LWB917511 MFX917510:MFX917511 MPT917510:MPT917511 MZP917510:MZP917511 NJL917510:NJL917511 NTH917510:NTH917511 ODD917510:ODD917511 OMZ917510:OMZ917511 OWV917510:OWV917511 PGR917510:PGR917511 PQN917510:PQN917511 QAJ917510:QAJ917511 QKF917510:QKF917511 QUB917510:QUB917511 RDX917510:RDX917511 RNT917510:RNT917511 RXP917510:RXP917511 SHL917510:SHL917511 SRH917510:SRH917511 TBD917510:TBD917511 TKZ917510:TKZ917511 TUV917510:TUV917511 UER917510:UER917511 UON917510:UON917511 UYJ917510:UYJ917511 VIF917510:VIF917511 VSB917510:VSB917511 WBX917510:WBX917511 WLT917510:WLT917511 WVP917510:WVP917511 H983046:H983047 JD983046:JD983047 SZ983046:SZ983047 ACV983046:ACV983047 AMR983046:AMR983047 AWN983046:AWN983047 BGJ983046:BGJ983047 BQF983046:BQF983047 CAB983046:CAB983047 CJX983046:CJX983047 CTT983046:CTT983047 DDP983046:DDP983047 DNL983046:DNL983047 DXH983046:DXH983047 EHD983046:EHD983047 EQZ983046:EQZ983047 FAV983046:FAV983047 FKR983046:FKR983047 FUN983046:FUN983047 GEJ983046:GEJ983047 GOF983046:GOF983047 GYB983046:GYB983047 HHX983046:HHX983047 HRT983046:HRT983047 IBP983046:IBP983047 ILL983046:ILL983047 IVH983046:IVH983047 JFD983046:JFD983047 JOZ983046:JOZ983047 JYV983046:JYV983047 KIR983046:KIR983047 KSN983046:KSN983047 LCJ983046:LCJ983047 LMF983046:LMF983047 LWB983046:LWB983047 MFX983046:MFX983047 MPT983046:MPT983047 MZP983046:MZP983047 NJL983046:NJL983047 NTH983046:NTH983047 ODD983046:ODD983047 OMZ983046:OMZ983047 OWV983046:OWV983047 PGR983046:PGR983047 PQN983046:PQN983047 QAJ983046:QAJ983047 QKF983046:QKF983047 QUB983046:QUB983047 RDX983046:RDX983047 RNT983046:RNT983047 RXP983046:RXP983047 SHL983046:SHL983047 SRH983046:SRH983047 TBD983046:TBD983047 TKZ983046:TKZ983047 TUV983046:TUV983047 UER983046:UER983047 UON983046:UON983047 UYJ983046:UYJ983047 VIF983046:VIF983047 VSB983046:VSB983047 WBX983046:WBX983047 WLT983046:WLT983047 WVP983046:WVP983047 L6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WVT6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Q6 JM6 TI6 ADE6 ANA6 AWW6 BGS6 BQO6 CAK6 CKG6 CUC6 DDY6 DNU6 DXQ6 EHM6 ERI6 FBE6 FLA6 FUW6 GES6 GOO6 GYK6 HIG6 HSC6 IBY6 ILU6 IVQ6 JFM6 JPI6 JZE6 KJA6 KSW6 LCS6 LMO6 LWK6 MGG6 MQC6 MZY6 NJU6 NTQ6 ODM6 ONI6 OXE6 PHA6 PQW6 QAS6 QKO6 QUK6 REG6 ROC6 RXY6 SHU6 SRQ6 TBM6 TLI6 TVE6 UFA6 UOW6 UYS6 VIO6 VSK6 WCG6 WMC6 WVY6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E8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N8 JJ8 TF8 ADB8 AMX8 AWT8 BGP8 BQL8 CAH8 CKD8 CTZ8 DDV8 DNR8 DXN8 EHJ8 ERF8 FBB8 FKX8 FUT8 GEP8 GOL8 GYH8 HID8 HRZ8 IBV8 ILR8 IVN8 JFJ8 JPF8 JZB8 KIX8 KST8 LCP8 LML8 LWH8 MGD8 MPZ8 MZV8 NJR8 NTN8 ODJ8 ONF8 OXB8 PGX8 PQT8 QAP8 QKL8 QUH8 RED8 RNZ8 RXV8 SHR8 SRN8 TBJ8 TLF8 TVB8 UEX8 UOT8 UYP8 VIL8 VSH8 WCD8 WLZ8 WVV8 N65544 JJ65544 TF65544 ADB65544 AMX65544 AWT65544 BGP65544 BQL65544 CAH65544 CKD65544 CTZ65544 DDV65544 DNR65544 DXN65544 EHJ65544 ERF65544 FBB65544 FKX65544 FUT65544 GEP65544 GOL65544 GYH65544 HID65544 HRZ65544 IBV65544 ILR65544 IVN65544 JFJ65544 JPF65544 JZB65544 KIX65544 KST65544 LCP65544 LML65544 LWH65544 MGD65544 MPZ65544 MZV65544 NJR65544 NTN65544 ODJ65544 ONF65544 OXB65544 PGX65544 PQT65544 QAP65544 QKL65544 QUH65544 RED65544 RNZ65544 RXV65544 SHR65544 SRN65544 TBJ65544 TLF65544 TVB65544 UEX65544 UOT65544 UYP65544 VIL65544 VSH65544 WCD65544 WLZ65544 WVV65544 N131080 JJ131080 TF131080 ADB131080 AMX131080 AWT131080 BGP131080 BQL131080 CAH131080 CKD131080 CTZ131080 DDV131080 DNR131080 DXN131080 EHJ131080 ERF131080 FBB131080 FKX131080 FUT131080 GEP131080 GOL131080 GYH131080 HID131080 HRZ131080 IBV131080 ILR131080 IVN131080 JFJ131080 JPF131080 JZB131080 KIX131080 KST131080 LCP131080 LML131080 LWH131080 MGD131080 MPZ131080 MZV131080 NJR131080 NTN131080 ODJ131080 ONF131080 OXB131080 PGX131080 PQT131080 QAP131080 QKL131080 QUH131080 RED131080 RNZ131080 RXV131080 SHR131080 SRN131080 TBJ131080 TLF131080 TVB131080 UEX131080 UOT131080 UYP131080 VIL131080 VSH131080 WCD131080 WLZ131080 WVV131080 N196616 JJ196616 TF196616 ADB196616 AMX196616 AWT196616 BGP196616 BQL196616 CAH196616 CKD196616 CTZ196616 DDV196616 DNR196616 DXN196616 EHJ196616 ERF196616 FBB196616 FKX196616 FUT196616 GEP196616 GOL196616 GYH196616 HID196616 HRZ196616 IBV196616 ILR196616 IVN196616 JFJ196616 JPF196616 JZB196616 KIX196616 KST196616 LCP196616 LML196616 LWH196616 MGD196616 MPZ196616 MZV196616 NJR196616 NTN196616 ODJ196616 ONF196616 OXB196616 PGX196616 PQT196616 QAP196616 QKL196616 QUH196616 RED196616 RNZ196616 RXV196616 SHR196616 SRN196616 TBJ196616 TLF196616 TVB196616 UEX196616 UOT196616 UYP196616 VIL196616 VSH196616 WCD196616 WLZ196616 WVV196616 N262152 JJ262152 TF262152 ADB262152 AMX262152 AWT262152 BGP262152 BQL262152 CAH262152 CKD262152 CTZ262152 DDV262152 DNR262152 DXN262152 EHJ262152 ERF262152 FBB262152 FKX262152 FUT262152 GEP262152 GOL262152 GYH262152 HID262152 HRZ262152 IBV262152 ILR262152 IVN262152 JFJ262152 JPF262152 JZB262152 KIX262152 KST262152 LCP262152 LML262152 LWH262152 MGD262152 MPZ262152 MZV262152 NJR262152 NTN262152 ODJ262152 ONF262152 OXB262152 PGX262152 PQT262152 QAP262152 QKL262152 QUH262152 RED262152 RNZ262152 RXV262152 SHR262152 SRN262152 TBJ262152 TLF262152 TVB262152 UEX262152 UOT262152 UYP262152 VIL262152 VSH262152 WCD262152 WLZ262152 WVV262152 N327688 JJ327688 TF327688 ADB327688 AMX327688 AWT327688 BGP327688 BQL327688 CAH327688 CKD327688 CTZ327688 DDV327688 DNR327688 DXN327688 EHJ327688 ERF327688 FBB327688 FKX327688 FUT327688 GEP327688 GOL327688 GYH327688 HID327688 HRZ327688 IBV327688 ILR327688 IVN327688 JFJ327688 JPF327688 JZB327688 KIX327688 KST327688 LCP327688 LML327688 LWH327688 MGD327688 MPZ327688 MZV327688 NJR327688 NTN327688 ODJ327688 ONF327688 OXB327688 PGX327688 PQT327688 QAP327688 QKL327688 QUH327688 RED327688 RNZ327688 RXV327688 SHR327688 SRN327688 TBJ327688 TLF327688 TVB327688 UEX327688 UOT327688 UYP327688 VIL327688 VSH327688 WCD327688 WLZ327688 WVV327688 N393224 JJ393224 TF393224 ADB393224 AMX393224 AWT393224 BGP393224 BQL393224 CAH393224 CKD393224 CTZ393224 DDV393224 DNR393224 DXN393224 EHJ393224 ERF393224 FBB393224 FKX393224 FUT393224 GEP393224 GOL393224 GYH393224 HID393224 HRZ393224 IBV393224 ILR393224 IVN393224 JFJ393224 JPF393224 JZB393224 KIX393224 KST393224 LCP393224 LML393224 LWH393224 MGD393224 MPZ393224 MZV393224 NJR393224 NTN393224 ODJ393224 ONF393224 OXB393224 PGX393224 PQT393224 QAP393224 QKL393224 QUH393224 RED393224 RNZ393224 RXV393224 SHR393224 SRN393224 TBJ393224 TLF393224 TVB393224 UEX393224 UOT393224 UYP393224 VIL393224 VSH393224 WCD393224 WLZ393224 WVV393224 N458760 JJ458760 TF458760 ADB458760 AMX458760 AWT458760 BGP458760 BQL458760 CAH458760 CKD458760 CTZ458760 DDV458760 DNR458760 DXN458760 EHJ458760 ERF458760 FBB458760 FKX458760 FUT458760 GEP458760 GOL458760 GYH458760 HID458760 HRZ458760 IBV458760 ILR458760 IVN458760 JFJ458760 JPF458760 JZB458760 KIX458760 KST458760 LCP458760 LML458760 LWH458760 MGD458760 MPZ458760 MZV458760 NJR458760 NTN458760 ODJ458760 ONF458760 OXB458760 PGX458760 PQT458760 QAP458760 QKL458760 QUH458760 RED458760 RNZ458760 RXV458760 SHR458760 SRN458760 TBJ458760 TLF458760 TVB458760 UEX458760 UOT458760 UYP458760 VIL458760 VSH458760 WCD458760 WLZ458760 WVV458760 N524296 JJ524296 TF524296 ADB524296 AMX524296 AWT524296 BGP524296 BQL524296 CAH524296 CKD524296 CTZ524296 DDV524296 DNR524296 DXN524296 EHJ524296 ERF524296 FBB524296 FKX524296 FUT524296 GEP524296 GOL524296 GYH524296 HID524296 HRZ524296 IBV524296 ILR524296 IVN524296 JFJ524296 JPF524296 JZB524296 KIX524296 KST524296 LCP524296 LML524296 LWH524296 MGD524296 MPZ524296 MZV524296 NJR524296 NTN524296 ODJ524296 ONF524296 OXB524296 PGX524296 PQT524296 QAP524296 QKL524296 QUH524296 RED524296 RNZ524296 RXV524296 SHR524296 SRN524296 TBJ524296 TLF524296 TVB524296 UEX524296 UOT524296 UYP524296 VIL524296 VSH524296 WCD524296 WLZ524296 WVV524296 N589832 JJ589832 TF589832 ADB589832 AMX589832 AWT589832 BGP589832 BQL589832 CAH589832 CKD589832 CTZ589832 DDV589832 DNR589832 DXN589832 EHJ589832 ERF589832 FBB589832 FKX589832 FUT589832 GEP589832 GOL589832 GYH589832 HID589832 HRZ589832 IBV589832 ILR589832 IVN589832 JFJ589832 JPF589832 JZB589832 KIX589832 KST589832 LCP589832 LML589832 LWH589832 MGD589832 MPZ589832 MZV589832 NJR589832 NTN589832 ODJ589832 ONF589832 OXB589832 PGX589832 PQT589832 QAP589832 QKL589832 QUH589832 RED589832 RNZ589832 RXV589832 SHR589832 SRN589832 TBJ589832 TLF589832 TVB589832 UEX589832 UOT589832 UYP589832 VIL589832 VSH589832 WCD589832 WLZ589832 WVV589832 N655368 JJ655368 TF655368 ADB655368 AMX655368 AWT655368 BGP655368 BQL655368 CAH655368 CKD655368 CTZ655368 DDV655368 DNR655368 DXN655368 EHJ655368 ERF655368 FBB655368 FKX655368 FUT655368 GEP655368 GOL655368 GYH655368 HID655368 HRZ655368 IBV655368 ILR655368 IVN655368 JFJ655368 JPF655368 JZB655368 KIX655368 KST655368 LCP655368 LML655368 LWH655368 MGD655368 MPZ655368 MZV655368 NJR655368 NTN655368 ODJ655368 ONF655368 OXB655368 PGX655368 PQT655368 QAP655368 QKL655368 QUH655368 RED655368 RNZ655368 RXV655368 SHR655368 SRN655368 TBJ655368 TLF655368 TVB655368 UEX655368 UOT655368 UYP655368 VIL655368 VSH655368 WCD655368 WLZ655368 WVV655368 N720904 JJ720904 TF720904 ADB720904 AMX720904 AWT720904 BGP720904 BQL720904 CAH720904 CKD720904 CTZ720904 DDV720904 DNR720904 DXN720904 EHJ720904 ERF720904 FBB720904 FKX720904 FUT720904 GEP720904 GOL720904 GYH720904 HID720904 HRZ720904 IBV720904 ILR720904 IVN720904 JFJ720904 JPF720904 JZB720904 KIX720904 KST720904 LCP720904 LML720904 LWH720904 MGD720904 MPZ720904 MZV720904 NJR720904 NTN720904 ODJ720904 ONF720904 OXB720904 PGX720904 PQT720904 QAP720904 QKL720904 QUH720904 RED720904 RNZ720904 RXV720904 SHR720904 SRN720904 TBJ720904 TLF720904 TVB720904 UEX720904 UOT720904 UYP720904 VIL720904 VSH720904 WCD720904 WLZ720904 WVV720904 N786440 JJ786440 TF786440 ADB786440 AMX786440 AWT786440 BGP786440 BQL786440 CAH786440 CKD786440 CTZ786440 DDV786440 DNR786440 DXN786440 EHJ786440 ERF786440 FBB786440 FKX786440 FUT786440 GEP786440 GOL786440 GYH786440 HID786440 HRZ786440 IBV786440 ILR786440 IVN786440 JFJ786440 JPF786440 JZB786440 KIX786440 KST786440 LCP786440 LML786440 LWH786440 MGD786440 MPZ786440 MZV786440 NJR786440 NTN786440 ODJ786440 ONF786440 OXB786440 PGX786440 PQT786440 QAP786440 QKL786440 QUH786440 RED786440 RNZ786440 RXV786440 SHR786440 SRN786440 TBJ786440 TLF786440 TVB786440 UEX786440 UOT786440 UYP786440 VIL786440 VSH786440 WCD786440 WLZ786440 WVV786440 N851976 JJ851976 TF851976 ADB851976 AMX851976 AWT851976 BGP851976 BQL851976 CAH851976 CKD851976 CTZ851976 DDV851976 DNR851976 DXN851976 EHJ851976 ERF851976 FBB851976 FKX851976 FUT851976 GEP851976 GOL851976 GYH851976 HID851976 HRZ851976 IBV851976 ILR851976 IVN851976 JFJ851976 JPF851976 JZB851976 KIX851976 KST851976 LCP851976 LML851976 LWH851976 MGD851976 MPZ851976 MZV851976 NJR851976 NTN851976 ODJ851976 ONF851976 OXB851976 PGX851976 PQT851976 QAP851976 QKL851976 QUH851976 RED851976 RNZ851976 RXV851976 SHR851976 SRN851976 TBJ851976 TLF851976 TVB851976 UEX851976 UOT851976 UYP851976 VIL851976 VSH851976 WCD851976 WLZ851976 WVV851976 N917512 JJ917512 TF917512 ADB917512 AMX917512 AWT917512 BGP917512 BQL917512 CAH917512 CKD917512 CTZ917512 DDV917512 DNR917512 DXN917512 EHJ917512 ERF917512 FBB917512 FKX917512 FUT917512 GEP917512 GOL917512 GYH917512 HID917512 HRZ917512 IBV917512 ILR917512 IVN917512 JFJ917512 JPF917512 JZB917512 KIX917512 KST917512 LCP917512 LML917512 LWH917512 MGD917512 MPZ917512 MZV917512 NJR917512 NTN917512 ODJ917512 ONF917512 OXB917512 PGX917512 PQT917512 QAP917512 QKL917512 QUH917512 RED917512 RNZ917512 RXV917512 SHR917512 SRN917512 TBJ917512 TLF917512 TVB917512 UEX917512 UOT917512 UYP917512 VIL917512 VSH917512 WCD917512 WLZ917512 WVV917512 N983048 JJ983048 TF983048 ADB983048 AMX983048 AWT983048 BGP983048 BQL983048 CAH983048 CKD983048 CTZ983048 DDV983048 DNR983048 DXN983048 EHJ983048 ERF983048 FBB983048 FKX983048 FUT983048 GEP983048 GOL983048 GYH983048 HID983048 HRZ983048 IBV983048 ILR983048 IVN983048 JFJ983048 JPF983048 JZB983048 KIX983048 KST983048 LCP983048 LML983048 LWH983048 MGD983048 MPZ983048 MZV983048 NJR983048 NTN983048 ODJ983048 ONF983048 OXB983048 PGX983048 PQT983048 QAP983048 QKL983048 QUH983048 RED983048 RNZ983048 RXV983048 SHR983048 SRN983048 TBJ983048 TLF983048 TVB983048 UEX983048 UOT983048 UYP983048 VIL983048 VSH983048 WCD983048 WLZ983048 WVV983048 R69 JN69 TJ69 ADF69 ANB69 AWX69 BGT69 BQP69 CAL69 CKH69 CUD69 DDZ69 DNV69 DXR69 EHN69 ERJ69 FBF69 FLB69 FUX69 GET69 GOP69 GYL69 HIH69 HSD69 IBZ69 ILV69 IVR69 JFN69 JPJ69 JZF69 KJB69 KSX69 LCT69 LMP69 LWL69 MGH69 MQD69 MZZ69 NJV69 NTR69 ODN69 ONJ69 OXF69 PHB69 PQX69 QAT69 QKP69 QUL69 REH69 ROD69 RXZ69 SHV69 SRR69 TBN69 TLJ69 TVF69 UFB69 UOX69 UYT69 VIP69 VSL69 WCH69 WMD69 WVZ69 R65605 JN65605 TJ65605 ADF65605 ANB65605 AWX65605 BGT65605 BQP65605 CAL65605 CKH65605 CUD65605 DDZ65605 DNV65605 DXR65605 EHN65605 ERJ65605 FBF65605 FLB65605 FUX65605 GET65605 GOP65605 GYL65605 HIH65605 HSD65605 IBZ65605 ILV65605 IVR65605 JFN65605 JPJ65605 JZF65605 KJB65605 KSX65605 LCT65605 LMP65605 LWL65605 MGH65605 MQD65605 MZZ65605 NJV65605 NTR65605 ODN65605 ONJ65605 OXF65605 PHB65605 PQX65605 QAT65605 QKP65605 QUL65605 REH65605 ROD65605 RXZ65605 SHV65605 SRR65605 TBN65605 TLJ65605 TVF65605 UFB65605 UOX65605 UYT65605 VIP65605 VSL65605 WCH65605 WMD65605 WVZ65605 R131141 JN131141 TJ131141 ADF131141 ANB131141 AWX131141 BGT131141 BQP131141 CAL131141 CKH131141 CUD131141 DDZ131141 DNV131141 DXR131141 EHN131141 ERJ131141 FBF131141 FLB131141 FUX131141 GET131141 GOP131141 GYL131141 HIH131141 HSD131141 IBZ131141 ILV131141 IVR131141 JFN131141 JPJ131141 JZF131141 KJB131141 KSX131141 LCT131141 LMP131141 LWL131141 MGH131141 MQD131141 MZZ131141 NJV131141 NTR131141 ODN131141 ONJ131141 OXF131141 PHB131141 PQX131141 QAT131141 QKP131141 QUL131141 REH131141 ROD131141 RXZ131141 SHV131141 SRR131141 TBN131141 TLJ131141 TVF131141 UFB131141 UOX131141 UYT131141 VIP131141 VSL131141 WCH131141 WMD131141 WVZ131141 R196677 JN196677 TJ196677 ADF196677 ANB196677 AWX196677 BGT196677 BQP196677 CAL196677 CKH196677 CUD196677 DDZ196677 DNV196677 DXR196677 EHN196677 ERJ196677 FBF196677 FLB196677 FUX196677 GET196677 GOP196677 GYL196677 HIH196677 HSD196677 IBZ196677 ILV196677 IVR196677 JFN196677 JPJ196677 JZF196677 KJB196677 KSX196677 LCT196677 LMP196677 LWL196677 MGH196677 MQD196677 MZZ196677 NJV196677 NTR196677 ODN196677 ONJ196677 OXF196677 PHB196677 PQX196677 QAT196677 QKP196677 QUL196677 REH196677 ROD196677 RXZ196677 SHV196677 SRR196677 TBN196677 TLJ196677 TVF196677 UFB196677 UOX196677 UYT196677 VIP196677 VSL196677 WCH196677 WMD196677 WVZ196677 R262213 JN262213 TJ262213 ADF262213 ANB262213 AWX262213 BGT262213 BQP262213 CAL262213 CKH262213 CUD262213 DDZ262213 DNV262213 DXR262213 EHN262213 ERJ262213 FBF262213 FLB262213 FUX262213 GET262213 GOP262213 GYL262213 HIH262213 HSD262213 IBZ262213 ILV262213 IVR262213 JFN262213 JPJ262213 JZF262213 KJB262213 KSX262213 LCT262213 LMP262213 LWL262213 MGH262213 MQD262213 MZZ262213 NJV262213 NTR262213 ODN262213 ONJ262213 OXF262213 PHB262213 PQX262213 QAT262213 QKP262213 QUL262213 REH262213 ROD262213 RXZ262213 SHV262213 SRR262213 TBN262213 TLJ262213 TVF262213 UFB262213 UOX262213 UYT262213 VIP262213 VSL262213 WCH262213 WMD262213 WVZ262213 R327749 JN327749 TJ327749 ADF327749 ANB327749 AWX327749 BGT327749 BQP327749 CAL327749 CKH327749 CUD327749 DDZ327749 DNV327749 DXR327749 EHN327749 ERJ327749 FBF327749 FLB327749 FUX327749 GET327749 GOP327749 GYL327749 HIH327749 HSD327749 IBZ327749 ILV327749 IVR327749 JFN327749 JPJ327749 JZF327749 KJB327749 KSX327749 LCT327749 LMP327749 LWL327749 MGH327749 MQD327749 MZZ327749 NJV327749 NTR327749 ODN327749 ONJ327749 OXF327749 PHB327749 PQX327749 QAT327749 QKP327749 QUL327749 REH327749 ROD327749 RXZ327749 SHV327749 SRR327749 TBN327749 TLJ327749 TVF327749 UFB327749 UOX327749 UYT327749 VIP327749 VSL327749 WCH327749 WMD327749 WVZ327749 R393285 JN393285 TJ393285 ADF393285 ANB393285 AWX393285 BGT393285 BQP393285 CAL393285 CKH393285 CUD393285 DDZ393285 DNV393285 DXR393285 EHN393285 ERJ393285 FBF393285 FLB393285 FUX393285 GET393285 GOP393285 GYL393285 HIH393285 HSD393285 IBZ393285 ILV393285 IVR393285 JFN393285 JPJ393285 JZF393285 KJB393285 KSX393285 LCT393285 LMP393285 LWL393285 MGH393285 MQD393285 MZZ393285 NJV393285 NTR393285 ODN393285 ONJ393285 OXF393285 PHB393285 PQX393285 QAT393285 QKP393285 QUL393285 REH393285 ROD393285 RXZ393285 SHV393285 SRR393285 TBN393285 TLJ393285 TVF393285 UFB393285 UOX393285 UYT393285 VIP393285 VSL393285 WCH393285 WMD393285 WVZ393285 R458821 JN458821 TJ458821 ADF458821 ANB458821 AWX458821 BGT458821 BQP458821 CAL458821 CKH458821 CUD458821 DDZ458821 DNV458821 DXR458821 EHN458821 ERJ458821 FBF458821 FLB458821 FUX458821 GET458821 GOP458821 GYL458821 HIH458821 HSD458821 IBZ458821 ILV458821 IVR458821 JFN458821 JPJ458821 JZF458821 KJB458821 KSX458821 LCT458821 LMP458821 LWL458821 MGH458821 MQD458821 MZZ458821 NJV458821 NTR458821 ODN458821 ONJ458821 OXF458821 PHB458821 PQX458821 QAT458821 QKP458821 QUL458821 REH458821 ROD458821 RXZ458821 SHV458821 SRR458821 TBN458821 TLJ458821 TVF458821 UFB458821 UOX458821 UYT458821 VIP458821 VSL458821 WCH458821 WMD458821 WVZ458821 R524357 JN524357 TJ524357 ADF524357 ANB524357 AWX524357 BGT524357 BQP524357 CAL524357 CKH524357 CUD524357 DDZ524357 DNV524357 DXR524357 EHN524357 ERJ524357 FBF524357 FLB524357 FUX524357 GET524357 GOP524357 GYL524357 HIH524357 HSD524357 IBZ524357 ILV524357 IVR524357 JFN524357 JPJ524357 JZF524357 KJB524357 KSX524357 LCT524357 LMP524357 LWL524357 MGH524357 MQD524357 MZZ524357 NJV524357 NTR524357 ODN524357 ONJ524357 OXF524357 PHB524357 PQX524357 QAT524357 QKP524357 QUL524357 REH524357 ROD524357 RXZ524357 SHV524357 SRR524357 TBN524357 TLJ524357 TVF524357 UFB524357 UOX524357 UYT524357 VIP524357 VSL524357 WCH524357 WMD524357 WVZ524357 R589893 JN589893 TJ589893 ADF589893 ANB589893 AWX589893 BGT589893 BQP589893 CAL589893 CKH589893 CUD589893 DDZ589893 DNV589893 DXR589893 EHN589893 ERJ589893 FBF589893 FLB589893 FUX589893 GET589893 GOP589893 GYL589893 HIH589893 HSD589893 IBZ589893 ILV589893 IVR589893 JFN589893 JPJ589893 JZF589893 KJB589893 KSX589893 LCT589893 LMP589893 LWL589893 MGH589893 MQD589893 MZZ589893 NJV589893 NTR589893 ODN589893 ONJ589893 OXF589893 PHB589893 PQX589893 QAT589893 QKP589893 QUL589893 REH589893 ROD589893 RXZ589893 SHV589893 SRR589893 TBN589893 TLJ589893 TVF589893 UFB589893 UOX589893 UYT589893 VIP589893 VSL589893 WCH589893 WMD589893 WVZ589893 R655429 JN655429 TJ655429 ADF655429 ANB655429 AWX655429 BGT655429 BQP655429 CAL655429 CKH655429 CUD655429 DDZ655429 DNV655429 DXR655429 EHN655429 ERJ655429 FBF655429 FLB655429 FUX655429 GET655429 GOP655429 GYL655429 HIH655429 HSD655429 IBZ655429 ILV655429 IVR655429 JFN655429 JPJ655429 JZF655429 KJB655429 KSX655429 LCT655429 LMP655429 LWL655429 MGH655429 MQD655429 MZZ655429 NJV655429 NTR655429 ODN655429 ONJ655429 OXF655429 PHB655429 PQX655429 QAT655429 QKP655429 QUL655429 REH655429 ROD655429 RXZ655429 SHV655429 SRR655429 TBN655429 TLJ655429 TVF655429 UFB655429 UOX655429 UYT655429 VIP655429 VSL655429 WCH655429 WMD655429 WVZ655429 R720965 JN720965 TJ720965 ADF720965 ANB720965 AWX720965 BGT720965 BQP720965 CAL720965 CKH720965 CUD720965 DDZ720965 DNV720965 DXR720965 EHN720965 ERJ720965 FBF720965 FLB720965 FUX720965 GET720965 GOP720965 GYL720965 HIH720965 HSD720965 IBZ720965 ILV720965 IVR720965 JFN720965 JPJ720965 JZF720965 KJB720965 KSX720965 LCT720965 LMP720965 LWL720965 MGH720965 MQD720965 MZZ720965 NJV720965 NTR720965 ODN720965 ONJ720965 OXF720965 PHB720965 PQX720965 QAT720965 QKP720965 QUL720965 REH720965 ROD720965 RXZ720965 SHV720965 SRR720965 TBN720965 TLJ720965 TVF720965 UFB720965 UOX720965 UYT720965 VIP720965 VSL720965 WCH720965 WMD720965 WVZ720965 R786501 JN786501 TJ786501 ADF786501 ANB786501 AWX786501 BGT786501 BQP786501 CAL786501 CKH786501 CUD786501 DDZ786501 DNV786501 DXR786501 EHN786501 ERJ786501 FBF786501 FLB786501 FUX786501 GET786501 GOP786501 GYL786501 HIH786501 HSD786501 IBZ786501 ILV786501 IVR786501 JFN786501 JPJ786501 JZF786501 KJB786501 KSX786501 LCT786501 LMP786501 LWL786501 MGH786501 MQD786501 MZZ786501 NJV786501 NTR786501 ODN786501 ONJ786501 OXF786501 PHB786501 PQX786501 QAT786501 QKP786501 QUL786501 REH786501 ROD786501 RXZ786501 SHV786501 SRR786501 TBN786501 TLJ786501 TVF786501 UFB786501 UOX786501 UYT786501 VIP786501 VSL786501 WCH786501 WMD786501 WVZ786501 R852037 JN852037 TJ852037 ADF852037 ANB852037 AWX852037 BGT852037 BQP852037 CAL852037 CKH852037 CUD852037 DDZ852037 DNV852037 DXR852037 EHN852037 ERJ852037 FBF852037 FLB852037 FUX852037 GET852037 GOP852037 GYL852037 HIH852037 HSD852037 IBZ852037 ILV852037 IVR852037 JFN852037 JPJ852037 JZF852037 KJB852037 KSX852037 LCT852037 LMP852037 LWL852037 MGH852037 MQD852037 MZZ852037 NJV852037 NTR852037 ODN852037 ONJ852037 OXF852037 PHB852037 PQX852037 QAT852037 QKP852037 QUL852037 REH852037 ROD852037 RXZ852037 SHV852037 SRR852037 TBN852037 TLJ852037 TVF852037 UFB852037 UOX852037 UYT852037 VIP852037 VSL852037 WCH852037 WMD852037 WVZ852037 R917573 JN917573 TJ917573 ADF917573 ANB917573 AWX917573 BGT917573 BQP917573 CAL917573 CKH917573 CUD917573 DDZ917573 DNV917573 DXR917573 EHN917573 ERJ917573 FBF917573 FLB917573 FUX917573 GET917573 GOP917573 GYL917573 HIH917573 HSD917573 IBZ917573 ILV917573 IVR917573 JFN917573 JPJ917573 JZF917573 KJB917573 KSX917573 LCT917573 LMP917573 LWL917573 MGH917573 MQD917573 MZZ917573 NJV917573 NTR917573 ODN917573 ONJ917573 OXF917573 PHB917573 PQX917573 QAT917573 QKP917573 QUL917573 REH917573 ROD917573 RXZ917573 SHV917573 SRR917573 TBN917573 TLJ917573 TVF917573 UFB917573 UOX917573 UYT917573 VIP917573 VSL917573 WCH917573 WMD917573 WVZ917573 R983109 JN983109 TJ983109 ADF983109 ANB983109 AWX983109 BGT983109 BQP983109 CAL983109 CKH983109 CUD983109 DDZ983109 DNV983109 DXR983109 EHN983109 ERJ983109 FBF983109 FLB983109 FUX983109 GET983109 GOP983109 GYL983109 HIH983109 HSD983109 IBZ983109 ILV983109 IVR983109 JFN983109 JPJ983109 JZF983109 KJB983109 KSX983109 LCT983109 LMP983109 LWL983109 MGH983109 MQD983109 MZZ983109 NJV983109 NTR983109 ODN983109 ONJ983109 OXF983109 PHB983109 PQX983109 QAT983109 QKP983109 QUL983109 REH983109 ROD983109 RXZ983109 SHV983109 SRR983109 TBN983109 TLJ983109 TVF983109 UFB983109 UOX983109 UYT983109 VIP983109 VSL983109 WCH983109 WMD983109 WVZ983109 T69 JP69 TL69 ADH69 AND69 AWZ69 BGV69 BQR69 CAN69 CKJ69 CUF69 DEB69 DNX69 DXT69 EHP69 ERL69 FBH69 FLD69 FUZ69 GEV69 GOR69 GYN69 HIJ69 HSF69 ICB69 ILX69 IVT69 JFP69 JPL69 JZH69 KJD69 KSZ69 LCV69 LMR69 LWN69 MGJ69 MQF69 NAB69 NJX69 NTT69 ODP69 ONL69 OXH69 PHD69 PQZ69 QAV69 QKR69 QUN69 REJ69 ROF69 RYB69 SHX69 SRT69 TBP69 TLL69 TVH69 UFD69 UOZ69 UYV69 VIR69 VSN69 WCJ69 WMF69 WWB69 T65605 JP65605 TL65605 ADH65605 AND65605 AWZ65605 BGV65605 BQR65605 CAN65605 CKJ65605 CUF65605 DEB65605 DNX65605 DXT65605 EHP65605 ERL65605 FBH65605 FLD65605 FUZ65605 GEV65605 GOR65605 GYN65605 HIJ65605 HSF65605 ICB65605 ILX65605 IVT65605 JFP65605 JPL65605 JZH65605 KJD65605 KSZ65605 LCV65605 LMR65605 LWN65605 MGJ65605 MQF65605 NAB65605 NJX65605 NTT65605 ODP65605 ONL65605 OXH65605 PHD65605 PQZ65605 QAV65605 QKR65605 QUN65605 REJ65605 ROF65605 RYB65605 SHX65605 SRT65605 TBP65605 TLL65605 TVH65605 UFD65605 UOZ65605 UYV65605 VIR65605 VSN65605 WCJ65605 WMF65605 WWB65605 T131141 JP131141 TL131141 ADH131141 AND131141 AWZ131141 BGV131141 BQR131141 CAN131141 CKJ131141 CUF131141 DEB131141 DNX131141 DXT131141 EHP131141 ERL131141 FBH131141 FLD131141 FUZ131141 GEV131141 GOR131141 GYN131141 HIJ131141 HSF131141 ICB131141 ILX131141 IVT131141 JFP131141 JPL131141 JZH131141 KJD131141 KSZ131141 LCV131141 LMR131141 LWN131141 MGJ131141 MQF131141 NAB131141 NJX131141 NTT131141 ODP131141 ONL131141 OXH131141 PHD131141 PQZ131141 QAV131141 QKR131141 QUN131141 REJ131141 ROF131141 RYB131141 SHX131141 SRT131141 TBP131141 TLL131141 TVH131141 UFD131141 UOZ131141 UYV131141 VIR131141 VSN131141 WCJ131141 WMF131141 WWB131141 T196677 JP196677 TL196677 ADH196677 AND196677 AWZ196677 BGV196677 BQR196677 CAN196677 CKJ196677 CUF196677 DEB196677 DNX196677 DXT196677 EHP196677 ERL196677 FBH196677 FLD196677 FUZ196677 GEV196677 GOR196677 GYN196677 HIJ196677 HSF196677 ICB196677 ILX196677 IVT196677 JFP196677 JPL196677 JZH196677 KJD196677 KSZ196677 LCV196677 LMR196677 LWN196677 MGJ196677 MQF196677 NAB196677 NJX196677 NTT196677 ODP196677 ONL196677 OXH196677 PHD196677 PQZ196677 QAV196677 QKR196677 QUN196677 REJ196677 ROF196677 RYB196677 SHX196677 SRT196677 TBP196677 TLL196677 TVH196677 UFD196677 UOZ196677 UYV196677 VIR196677 VSN196677 WCJ196677 WMF196677 WWB196677 T262213 JP262213 TL262213 ADH262213 AND262213 AWZ262213 BGV262213 BQR262213 CAN262213 CKJ262213 CUF262213 DEB262213 DNX262213 DXT262213 EHP262213 ERL262213 FBH262213 FLD262213 FUZ262213 GEV262213 GOR262213 GYN262213 HIJ262213 HSF262213 ICB262213 ILX262213 IVT262213 JFP262213 JPL262213 JZH262213 KJD262213 KSZ262213 LCV262213 LMR262213 LWN262213 MGJ262213 MQF262213 NAB262213 NJX262213 NTT262213 ODP262213 ONL262213 OXH262213 PHD262213 PQZ262213 QAV262213 QKR262213 QUN262213 REJ262213 ROF262213 RYB262213 SHX262213 SRT262213 TBP262213 TLL262213 TVH262213 UFD262213 UOZ262213 UYV262213 VIR262213 VSN262213 WCJ262213 WMF262213 WWB262213 T327749 JP327749 TL327749 ADH327749 AND327749 AWZ327749 BGV327749 BQR327749 CAN327749 CKJ327749 CUF327749 DEB327749 DNX327749 DXT327749 EHP327749 ERL327749 FBH327749 FLD327749 FUZ327749 GEV327749 GOR327749 GYN327749 HIJ327749 HSF327749 ICB327749 ILX327749 IVT327749 JFP327749 JPL327749 JZH327749 KJD327749 KSZ327749 LCV327749 LMR327749 LWN327749 MGJ327749 MQF327749 NAB327749 NJX327749 NTT327749 ODP327749 ONL327749 OXH327749 PHD327749 PQZ327749 QAV327749 QKR327749 QUN327749 REJ327749 ROF327749 RYB327749 SHX327749 SRT327749 TBP327749 TLL327749 TVH327749 UFD327749 UOZ327749 UYV327749 VIR327749 VSN327749 WCJ327749 WMF327749 WWB327749 T393285 JP393285 TL393285 ADH393285 AND393285 AWZ393285 BGV393285 BQR393285 CAN393285 CKJ393285 CUF393285 DEB393285 DNX393285 DXT393285 EHP393285 ERL393285 FBH393285 FLD393285 FUZ393285 GEV393285 GOR393285 GYN393285 HIJ393285 HSF393285 ICB393285 ILX393285 IVT393285 JFP393285 JPL393285 JZH393285 KJD393285 KSZ393285 LCV393285 LMR393285 LWN393285 MGJ393285 MQF393285 NAB393285 NJX393285 NTT393285 ODP393285 ONL393285 OXH393285 PHD393285 PQZ393285 QAV393285 QKR393285 QUN393285 REJ393285 ROF393285 RYB393285 SHX393285 SRT393285 TBP393285 TLL393285 TVH393285 UFD393285 UOZ393285 UYV393285 VIR393285 VSN393285 WCJ393285 WMF393285 WWB393285 T458821 JP458821 TL458821 ADH458821 AND458821 AWZ458821 BGV458821 BQR458821 CAN458821 CKJ458821 CUF458821 DEB458821 DNX458821 DXT458821 EHP458821 ERL458821 FBH458821 FLD458821 FUZ458821 GEV458821 GOR458821 GYN458821 HIJ458821 HSF458821 ICB458821 ILX458821 IVT458821 JFP458821 JPL458821 JZH458821 KJD458821 KSZ458821 LCV458821 LMR458821 LWN458821 MGJ458821 MQF458821 NAB458821 NJX458821 NTT458821 ODP458821 ONL458821 OXH458821 PHD458821 PQZ458821 QAV458821 QKR458821 QUN458821 REJ458821 ROF458821 RYB458821 SHX458821 SRT458821 TBP458821 TLL458821 TVH458821 UFD458821 UOZ458821 UYV458821 VIR458821 VSN458821 WCJ458821 WMF458821 WWB458821 T524357 JP524357 TL524357 ADH524357 AND524357 AWZ524357 BGV524357 BQR524357 CAN524357 CKJ524357 CUF524357 DEB524357 DNX524357 DXT524357 EHP524357 ERL524357 FBH524357 FLD524357 FUZ524357 GEV524357 GOR524357 GYN524357 HIJ524357 HSF524357 ICB524357 ILX524357 IVT524357 JFP524357 JPL524357 JZH524357 KJD524357 KSZ524357 LCV524357 LMR524357 LWN524357 MGJ524357 MQF524357 NAB524357 NJX524357 NTT524357 ODP524357 ONL524357 OXH524357 PHD524357 PQZ524357 QAV524357 QKR524357 QUN524357 REJ524357 ROF524357 RYB524357 SHX524357 SRT524357 TBP524357 TLL524357 TVH524357 UFD524357 UOZ524357 UYV524357 VIR524357 VSN524357 WCJ524357 WMF524357 WWB524357 T589893 JP589893 TL589893 ADH589893 AND589893 AWZ589893 BGV589893 BQR589893 CAN589893 CKJ589893 CUF589893 DEB589893 DNX589893 DXT589893 EHP589893 ERL589893 FBH589893 FLD589893 FUZ589893 GEV589893 GOR589893 GYN589893 HIJ589893 HSF589893 ICB589893 ILX589893 IVT589893 JFP589893 JPL589893 JZH589893 KJD589893 KSZ589893 LCV589893 LMR589893 LWN589893 MGJ589893 MQF589893 NAB589893 NJX589893 NTT589893 ODP589893 ONL589893 OXH589893 PHD589893 PQZ589893 QAV589893 QKR589893 QUN589893 REJ589893 ROF589893 RYB589893 SHX589893 SRT589893 TBP589893 TLL589893 TVH589893 UFD589893 UOZ589893 UYV589893 VIR589893 VSN589893 WCJ589893 WMF589893 WWB589893 T655429 JP655429 TL655429 ADH655429 AND655429 AWZ655429 BGV655429 BQR655429 CAN655429 CKJ655429 CUF655429 DEB655429 DNX655429 DXT655429 EHP655429 ERL655429 FBH655429 FLD655429 FUZ655429 GEV655429 GOR655429 GYN655429 HIJ655429 HSF655429 ICB655429 ILX655429 IVT655429 JFP655429 JPL655429 JZH655429 KJD655429 KSZ655429 LCV655429 LMR655429 LWN655429 MGJ655429 MQF655429 NAB655429 NJX655429 NTT655429 ODP655429 ONL655429 OXH655429 PHD655429 PQZ655429 QAV655429 QKR655429 QUN655429 REJ655429 ROF655429 RYB655429 SHX655429 SRT655429 TBP655429 TLL655429 TVH655429 UFD655429 UOZ655429 UYV655429 VIR655429 VSN655429 WCJ655429 WMF655429 WWB655429 T720965 JP720965 TL720965 ADH720965 AND720965 AWZ720965 BGV720965 BQR720965 CAN720965 CKJ720965 CUF720965 DEB720965 DNX720965 DXT720965 EHP720965 ERL720965 FBH720965 FLD720965 FUZ720965 GEV720965 GOR720965 GYN720965 HIJ720965 HSF720965 ICB720965 ILX720965 IVT720965 JFP720965 JPL720965 JZH720965 KJD720965 KSZ720965 LCV720965 LMR720965 LWN720965 MGJ720965 MQF720965 NAB720965 NJX720965 NTT720965 ODP720965 ONL720965 OXH720965 PHD720965 PQZ720965 QAV720965 QKR720965 QUN720965 REJ720965 ROF720965 RYB720965 SHX720965 SRT720965 TBP720965 TLL720965 TVH720965 UFD720965 UOZ720965 UYV720965 VIR720965 VSN720965 WCJ720965 WMF720965 WWB720965 T786501 JP786501 TL786501 ADH786501 AND786501 AWZ786501 BGV786501 BQR786501 CAN786501 CKJ786501 CUF786501 DEB786501 DNX786501 DXT786501 EHP786501 ERL786501 FBH786501 FLD786501 FUZ786501 GEV786501 GOR786501 GYN786501 HIJ786501 HSF786501 ICB786501 ILX786501 IVT786501 JFP786501 JPL786501 JZH786501 KJD786501 KSZ786501 LCV786501 LMR786501 LWN786501 MGJ786501 MQF786501 NAB786501 NJX786501 NTT786501 ODP786501 ONL786501 OXH786501 PHD786501 PQZ786501 QAV786501 QKR786501 QUN786501 REJ786501 ROF786501 RYB786501 SHX786501 SRT786501 TBP786501 TLL786501 TVH786501 UFD786501 UOZ786501 UYV786501 VIR786501 VSN786501 WCJ786501 WMF786501 WWB786501 T852037 JP852037 TL852037 ADH852037 AND852037 AWZ852037 BGV852037 BQR852037 CAN852037 CKJ852037 CUF852037 DEB852037 DNX852037 DXT852037 EHP852037 ERL852037 FBH852037 FLD852037 FUZ852037 GEV852037 GOR852037 GYN852037 HIJ852037 HSF852037 ICB852037 ILX852037 IVT852037 JFP852037 JPL852037 JZH852037 KJD852037 KSZ852037 LCV852037 LMR852037 LWN852037 MGJ852037 MQF852037 NAB852037 NJX852037 NTT852037 ODP852037 ONL852037 OXH852037 PHD852037 PQZ852037 QAV852037 QKR852037 QUN852037 REJ852037 ROF852037 RYB852037 SHX852037 SRT852037 TBP852037 TLL852037 TVH852037 UFD852037 UOZ852037 UYV852037 VIR852037 VSN852037 WCJ852037 WMF852037 WWB852037 T917573 JP917573 TL917573 ADH917573 AND917573 AWZ917573 BGV917573 BQR917573 CAN917573 CKJ917573 CUF917573 DEB917573 DNX917573 DXT917573 EHP917573 ERL917573 FBH917573 FLD917573 FUZ917573 GEV917573 GOR917573 GYN917573 HIJ917573 HSF917573 ICB917573 ILX917573 IVT917573 JFP917573 JPL917573 JZH917573 KJD917573 KSZ917573 LCV917573 LMR917573 LWN917573 MGJ917573 MQF917573 NAB917573 NJX917573 NTT917573 ODP917573 ONL917573 OXH917573 PHD917573 PQZ917573 QAV917573 QKR917573 QUN917573 REJ917573 ROF917573 RYB917573 SHX917573 SRT917573 TBP917573 TLL917573 TVH917573 UFD917573 UOZ917573 UYV917573 VIR917573 VSN917573 WCJ917573 WMF917573 WWB917573 T983109 JP983109 TL983109 ADH983109 AND983109 AWZ983109 BGV983109 BQR983109 CAN983109 CKJ983109 CUF983109 DEB983109 DNX983109 DXT983109 EHP983109 ERL983109 FBH983109 FLD983109 FUZ983109 GEV983109 GOR983109 GYN983109 HIJ983109 HSF983109 ICB983109 ILX983109 IVT983109 JFP983109 JPL983109 JZH983109 KJD983109 KSZ983109 LCV983109 LMR983109 LWN983109 MGJ983109 MQF983109 NAB983109 NJX983109 NTT983109 ODP983109 ONL983109 OXH983109 PHD983109 PQZ983109 QAV983109 QKR983109 QUN983109 REJ983109 ROF983109 RYB983109 SHX983109 SRT983109 TBP983109 TLL983109 TVH983109 UFD983109 UOZ983109 UYV983109 VIR983109 VSN983109 WCJ983109 WMF983109 WWB983109 C71 IY71 SU71 ACQ71 AMM71 AWI71 BGE71 BQA71 BZW71 CJS71 CTO71 DDK71 DNG71 DXC71 EGY71 EQU71 FAQ71 FKM71 FUI71 GEE71 GOA71 GXW71 HHS71 HRO71 IBK71 ILG71 IVC71 JEY71 JOU71 JYQ71 KIM71 KSI71 LCE71 LMA71 LVW71 MFS71 MPO71 MZK71 NJG71 NTC71 OCY71 OMU71 OWQ71 PGM71 PQI71 QAE71 QKA71 QTW71 RDS71 RNO71 RXK71 SHG71 SRC71 TAY71 TKU71 TUQ71 UEM71 UOI71 UYE71 VIA71 VRW71 WBS71 WLO71 WVK71 C65607 IY65607 SU65607 ACQ65607 AMM65607 AWI65607 BGE65607 BQA65607 BZW65607 CJS65607 CTO65607 DDK65607 DNG65607 DXC65607 EGY65607 EQU65607 FAQ65607 FKM65607 FUI65607 GEE65607 GOA65607 GXW65607 HHS65607 HRO65607 IBK65607 ILG65607 IVC65607 JEY65607 JOU65607 JYQ65607 KIM65607 KSI65607 LCE65607 LMA65607 LVW65607 MFS65607 MPO65607 MZK65607 NJG65607 NTC65607 OCY65607 OMU65607 OWQ65607 PGM65607 PQI65607 QAE65607 QKA65607 QTW65607 RDS65607 RNO65607 RXK65607 SHG65607 SRC65607 TAY65607 TKU65607 TUQ65607 UEM65607 UOI65607 UYE65607 VIA65607 VRW65607 WBS65607 WLO65607 WVK65607 C131143 IY131143 SU131143 ACQ131143 AMM131143 AWI131143 BGE131143 BQA131143 BZW131143 CJS131143 CTO131143 DDK131143 DNG131143 DXC131143 EGY131143 EQU131143 FAQ131143 FKM131143 FUI131143 GEE131143 GOA131143 GXW131143 HHS131143 HRO131143 IBK131143 ILG131143 IVC131143 JEY131143 JOU131143 JYQ131143 KIM131143 KSI131143 LCE131143 LMA131143 LVW131143 MFS131143 MPO131143 MZK131143 NJG131143 NTC131143 OCY131143 OMU131143 OWQ131143 PGM131143 PQI131143 QAE131143 QKA131143 QTW131143 RDS131143 RNO131143 RXK131143 SHG131143 SRC131143 TAY131143 TKU131143 TUQ131143 UEM131143 UOI131143 UYE131143 VIA131143 VRW131143 WBS131143 WLO131143 WVK131143 C196679 IY196679 SU196679 ACQ196679 AMM196679 AWI196679 BGE196679 BQA196679 BZW196679 CJS196679 CTO196679 DDK196679 DNG196679 DXC196679 EGY196679 EQU196679 FAQ196679 FKM196679 FUI196679 GEE196679 GOA196679 GXW196679 HHS196679 HRO196679 IBK196679 ILG196679 IVC196679 JEY196679 JOU196679 JYQ196679 KIM196679 KSI196679 LCE196679 LMA196679 LVW196679 MFS196679 MPO196679 MZK196679 NJG196679 NTC196679 OCY196679 OMU196679 OWQ196679 PGM196679 PQI196679 QAE196679 QKA196679 QTW196679 RDS196679 RNO196679 RXK196679 SHG196679 SRC196679 TAY196679 TKU196679 TUQ196679 UEM196679 UOI196679 UYE196679 VIA196679 VRW196679 WBS196679 WLO196679 WVK196679 C262215 IY262215 SU262215 ACQ262215 AMM262215 AWI262215 BGE262215 BQA262215 BZW262215 CJS262215 CTO262215 DDK262215 DNG262215 DXC262215 EGY262215 EQU262215 FAQ262215 FKM262215 FUI262215 GEE262215 GOA262215 GXW262215 HHS262215 HRO262215 IBK262215 ILG262215 IVC262215 JEY262215 JOU262215 JYQ262215 KIM262215 KSI262215 LCE262215 LMA262215 LVW262215 MFS262215 MPO262215 MZK262215 NJG262215 NTC262215 OCY262215 OMU262215 OWQ262215 PGM262215 PQI262215 QAE262215 QKA262215 QTW262215 RDS262215 RNO262215 RXK262215 SHG262215 SRC262215 TAY262215 TKU262215 TUQ262215 UEM262215 UOI262215 UYE262215 VIA262215 VRW262215 WBS262215 WLO262215 WVK262215 C327751 IY327751 SU327751 ACQ327751 AMM327751 AWI327751 BGE327751 BQA327751 BZW327751 CJS327751 CTO327751 DDK327751 DNG327751 DXC327751 EGY327751 EQU327751 FAQ327751 FKM327751 FUI327751 GEE327751 GOA327751 GXW327751 HHS327751 HRO327751 IBK327751 ILG327751 IVC327751 JEY327751 JOU327751 JYQ327751 KIM327751 KSI327751 LCE327751 LMA327751 LVW327751 MFS327751 MPO327751 MZK327751 NJG327751 NTC327751 OCY327751 OMU327751 OWQ327751 PGM327751 PQI327751 QAE327751 QKA327751 QTW327751 RDS327751 RNO327751 RXK327751 SHG327751 SRC327751 TAY327751 TKU327751 TUQ327751 UEM327751 UOI327751 UYE327751 VIA327751 VRW327751 WBS327751 WLO327751 WVK327751 C393287 IY393287 SU393287 ACQ393287 AMM393287 AWI393287 BGE393287 BQA393287 BZW393287 CJS393287 CTO393287 DDK393287 DNG393287 DXC393287 EGY393287 EQU393287 FAQ393287 FKM393287 FUI393287 GEE393287 GOA393287 GXW393287 HHS393287 HRO393287 IBK393287 ILG393287 IVC393287 JEY393287 JOU393287 JYQ393287 KIM393287 KSI393287 LCE393287 LMA393287 LVW393287 MFS393287 MPO393287 MZK393287 NJG393287 NTC393287 OCY393287 OMU393287 OWQ393287 PGM393287 PQI393287 QAE393287 QKA393287 QTW393287 RDS393287 RNO393287 RXK393287 SHG393287 SRC393287 TAY393287 TKU393287 TUQ393287 UEM393287 UOI393287 UYE393287 VIA393287 VRW393287 WBS393287 WLO393287 WVK393287 C458823 IY458823 SU458823 ACQ458823 AMM458823 AWI458823 BGE458823 BQA458823 BZW458823 CJS458823 CTO458823 DDK458823 DNG458823 DXC458823 EGY458823 EQU458823 FAQ458823 FKM458823 FUI458823 GEE458823 GOA458823 GXW458823 HHS458823 HRO458823 IBK458823 ILG458823 IVC458823 JEY458823 JOU458823 JYQ458823 KIM458823 KSI458823 LCE458823 LMA458823 LVW458823 MFS458823 MPO458823 MZK458823 NJG458823 NTC458823 OCY458823 OMU458823 OWQ458823 PGM458823 PQI458823 QAE458823 QKA458823 QTW458823 RDS458823 RNO458823 RXK458823 SHG458823 SRC458823 TAY458823 TKU458823 TUQ458823 UEM458823 UOI458823 UYE458823 VIA458823 VRW458823 WBS458823 WLO458823 WVK458823 C524359 IY524359 SU524359 ACQ524359 AMM524359 AWI524359 BGE524359 BQA524359 BZW524359 CJS524359 CTO524359 DDK524359 DNG524359 DXC524359 EGY524359 EQU524359 FAQ524359 FKM524359 FUI524359 GEE524359 GOA524359 GXW524359 HHS524359 HRO524359 IBK524359 ILG524359 IVC524359 JEY524359 JOU524359 JYQ524359 KIM524359 KSI524359 LCE524359 LMA524359 LVW524359 MFS524359 MPO524359 MZK524359 NJG524359 NTC524359 OCY524359 OMU524359 OWQ524359 PGM524359 PQI524359 QAE524359 QKA524359 QTW524359 RDS524359 RNO524359 RXK524359 SHG524359 SRC524359 TAY524359 TKU524359 TUQ524359 UEM524359 UOI524359 UYE524359 VIA524359 VRW524359 WBS524359 WLO524359 WVK524359 C589895 IY589895 SU589895 ACQ589895 AMM589895 AWI589895 BGE589895 BQA589895 BZW589895 CJS589895 CTO589895 DDK589895 DNG589895 DXC589895 EGY589895 EQU589895 FAQ589895 FKM589895 FUI589895 GEE589895 GOA589895 GXW589895 HHS589895 HRO589895 IBK589895 ILG589895 IVC589895 JEY589895 JOU589895 JYQ589895 KIM589895 KSI589895 LCE589895 LMA589895 LVW589895 MFS589895 MPO589895 MZK589895 NJG589895 NTC589895 OCY589895 OMU589895 OWQ589895 PGM589895 PQI589895 QAE589895 QKA589895 QTW589895 RDS589895 RNO589895 RXK589895 SHG589895 SRC589895 TAY589895 TKU589895 TUQ589895 UEM589895 UOI589895 UYE589895 VIA589895 VRW589895 WBS589895 WLO589895 WVK589895 C655431 IY655431 SU655431 ACQ655431 AMM655431 AWI655431 BGE655431 BQA655431 BZW655431 CJS655431 CTO655431 DDK655431 DNG655431 DXC655431 EGY655431 EQU655431 FAQ655431 FKM655431 FUI655431 GEE655431 GOA655431 GXW655431 HHS655431 HRO655431 IBK655431 ILG655431 IVC655431 JEY655431 JOU655431 JYQ655431 KIM655431 KSI655431 LCE655431 LMA655431 LVW655431 MFS655431 MPO655431 MZK655431 NJG655431 NTC655431 OCY655431 OMU655431 OWQ655431 PGM655431 PQI655431 QAE655431 QKA655431 QTW655431 RDS655431 RNO655431 RXK655431 SHG655431 SRC655431 TAY655431 TKU655431 TUQ655431 UEM655431 UOI655431 UYE655431 VIA655431 VRW655431 WBS655431 WLO655431 WVK655431 C720967 IY720967 SU720967 ACQ720967 AMM720967 AWI720967 BGE720967 BQA720967 BZW720967 CJS720967 CTO720967 DDK720967 DNG720967 DXC720967 EGY720967 EQU720967 FAQ720967 FKM720967 FUI720967 GEE720967 GOA720967 GXW720967 HHS720967 HRO720967 IBK720967 ILG720967 IVC720967 JEY720967 JOU720967 JYQ720967 KIM720967 KSI720967 LCE720967 LMA720967 LVW720967 MFS720967 MPO720967 MZK720967 NJG720967 NTC720967 OCY720967 OMU720967 OWQ720967 PGM720967 PQI720967 QAE720967 QKA720967 QTW720967 RDS720967 RNO720967 RXK720967 SHG720967 SRC720967 TAY720967 TKU720967 TUQ720967 UEM720967 UOI720967 UYE720967 VIA720967 VRW720967 WBS720967 WLO720967 WVK720967 C786503 IY786503 SU786503 ACQ786503 AMM786503 AWI786503 BGE786503 BQA786503 BZW786503 CJS786503 CTO786503 DDK786503 DNG786503 DXC786503 EGY786503 EQU786503 FAQ786503 FKM786503 FUI786503 GEE786503 GOA786503 GXW786503 HHS786503 HRO786503 IBK786503 ILG786503 IVC786503 JEY786503 JOU786503 JYQ786503 KIM786503 KSI786503 LCE786503 LMA786503 LVW786503 MFS786503 MPO786503 MZK786503 NJG786503 NTC786503 OCY786503 OMU786503 OWQ786503 PGM786503 PQI786503 QAE786503 QKA786503 QTW786503 RDS786503 RNO786503 RXK786503 SHG786503 SRC786503 TAY786503 TKU786503 TUQ786503 UEM786503 UOI786503 UYE786503 VIA786503 VRW786503 WBS786503 WLO786503 WVK786503 C852039 IY852039 SU852039 ACQ852039 AMM852039 AWI852039 BGE852039 BQA852039 BZW852039 CJS852039 CTO852039 DDK852039 DNG852039 DXC852039 EGY852039 EQU852039 FAQ852039 FKM852039 FUI852039 GEE852039 GOA852039 GXW852039 HHS852039 HRO852039 IBK852039 ILG852039 IVC852039 JEY852039 JOU852039 JYQ852039 KIM852039 KSI852039 LCE852039 LMA852039 LVW852039 MFS852039 MPO852039 MZK852039 NJG852039 NTC852039 OCY852039 OMU852039 OWQ852039 PGM852039 PQI852039 QAE852039 QKA852039 QTW852039 RDS852039 RNO852039 RXK852039 SHG852039 SRC852039 TAY852039 TKU852039 TUQ852039 UEM852039 UOI852039 UYE852039 VIA852039 VRW852039 WBS852039 WLO852039 WVK852039 C917575 IY917575 SU917575 ACQ917575 AMM917575 AWI917575 BGE917575 BQA917575 BZW917575 CJS917575 CTO917575 DDK917575 DNG917575 DXC917575 EGY917575 EQU917575 FAQ917575 FKM917575 FUI917575 GEE917575 GOA917575 GXW917575 HHS917575 HRO917575 IBK917575 ILG917575 IVC917575 JEY917575 JOU917575 JYQ917575 KIM917575 KSI917575 LCE917575 LMA917575 LVW917575 MFS917575 MPO917575 MZK917575 NJG917575 NTC917575 OCY917575 OMU917575 OWQ917575 PGM917575 PQI917575 QAE917575 QKA917575 QTW917575 RDS917575 RNO917575 RXK917575 SHG917575 SRC917575 TAY917575 TKU917575 TUQ917575 UEM917575 UOI917575 UYE917575 VIA917575 VRW917575 WBS917575 WLO917575 WVK917575 C983111 IY983111 SU983111 ACQ983111 AMM983111 AWI983111 BGE983111 BQA983111 BZW983111 CJS983111 CTO983111 DDK983111 DNG983111 DXC983111 EGY983111 EQU983111 FAQ983111 FKM983111 FUI983111 GEE983111 GOA983111 GXW983111 HHS983111 HRO983111 IBK983111 ILG983111 IVC983111 JEY983111 JOU983111 JYQ983111 KIM983111 KSI983111 LCE983111 LMA983111 LVW983111 MFS983111 MPO983111 MZK983111 NJG983111 NTC983111 OCY983111 OMU983111 OWQ983111 PGM983111 PQI983111 QAE983111 QKA983111 QTW983111 RDS983111 RNO983111 RXK983111 SHG983111 SRC983111 TAY983111 TKU983111 TUQ983111 UEM983111 UOI983111 UYE983111 VIA983111 VRW983111 WBS983111 WLO983111 WVK983111 J71 JF71 TB71 ACX71 AMT71 AWP71 BGL71 BQH71 CAD71 CJZ71 CTV71 DDR71 DNN71 DXJ71 EHF71 ERB71 FAX71 FKT71 FUP71 GEL71 GOH71 GYD71 HHZ71 HRV71 IBR71 ILN71 IVJ71 JFF71 JPB71 JYX71 KIT71 KSP71 LCL71 LMH71 LWD71 MFZ71 MPV71 MZR71 NJN71 NTJ71 ODF71 ONB71 OWX71 PGT71 PQP71 QAL71 QKH71 QUD71 RDZ71 RNV71 RXR71 SHN71 SRJ71 TBF71 TLB71 TUX71 UET71 UOP71 UYL71 VIH71 VSD71 WBZ71 WLV71 WVR71 J65607 JF65607 TB65607 ACX65607 AMT65607 AWP65607 BGL65607 BQH65607 CAD65607 CJZ65607 CTV65607 DDR65607 DNN65607 DXJ65607 EHF65607 ERB65607 FAX65607 FKT65607 FUP65607 GEL65607 GOH65607 GYD65607 HHZ65607 HRV65607 IBR65607 ILN65607 IVJ65607 JFF65607 JPB65607 JYX65607 KIT65607 KSP65607 LCL65607 LMH65607 LWD65607 MFZ65607 MPV65607 MZR65607 NJN65607 NTJ65607 ODF65607 ONB65607 OWX65607 PGT65607 PQP65607 QAL65607 QKH65607 QUD65607 RDZ65607 RNV65607 RXR65607 SHN65607 SRJ65607 TBF65607 TLB65607 TUX65607 UET65607 UOP65607 UYL65607 VIH65607 VSD65607 WBZ65607 WLV65607 WVR65607 J131143 JF131143 TB131143 ACX131143 AMT131143 AWP131143 BGL131143 BQH131143 CAD131143 CJZ131143 CTV131143 DDR131143 DNN131143 DXJ131143 EHF131143 ERB131143 FAX131143 FKT131143 FUP131143 GEL131143 GOH131143 GYD131143 HHZ131143 HRV131143 IBR131143 ILN131143 IVJ131143 JFF131143 JPB131143 JYX131143 KIT131143 KSP131143 LCL131143 LMH131143 LWD131143 MFZ131143 MPV131143 MZR131143 NJN131143 NTJ131143 ODF131143 ONB131143 OWX131143 PGT131143 PQP131143 QAL131143 QKH131143 QUD131143 RDZ131143 RNV131143 RXR131143 SHN131143 SRJ131143 TBF131143 TLB131143 TUX131143 UET131143 UOP131143 UYL131143 VIH131143 VSD131143 WBZ131143 WLV131143 WVR131143 J196679 JF196679 TB196679 ACX196679 AMT196679 AWP196679 BGL196679 BQH196679 CAD196679 CJZ196679 CTV196679 DDR196679 DNN196679 DXJ196679 EHF196679 ERB196679 FAX196679 FKT196679 FUP196679 GEL196679 GOH196679 GYD196679 HHZ196679 HRV196679 IBR196679 ILN196679 IVJ196679 JFF196679 JPB196679 JYX196679 KIT196679 KSP196679 LCL196679 LMH196679 LWD196679 MFZ196679 MPV196679 MZR196679 NJN196679 NTJ196679 ODF196679 ONB196679 OWX196679 PGT196679 PQP196679 QAL196679 QKH196679 QUD196679 RDZ196679 RNV196679 RXR196679 SHN196679 SRJ196679 TBF196679 TLB196679 TUX196679 UET196679 UOP196679 UYL196679 VIH196679 VSD196679 WBZ196679 WLV196679 WVR196679 J262215 JF262215 TB262215 ACX262215 AMT262215 AWP262215 BGL262215 BQH262215 CAD262215 CJZ262215 CTV262215 DDR262215 DNN262215 DXJ262215 EHF262215 ERB262215 FAX262215 FKT262215 FUP262215 GEL262215 GOH262215 GYD262215 HHZ262215 HRV262215 IBR262215 ILN262215 IVJ262215 JFF262215 JPB262215 JYX262215 KIT262215 KSP262215 LCL262215 LMH262215 LWD262215 MFZ262215 MPV262215 MZR262215 NJN262215 NTJ262215 ODF262215 ONB262215 OWX262215 PGT262215 PQP262215 QAL262215 QKH262215 QUD262215 RDZ262215 RNV262215 RXR262215 SHN262215 SRJ262215 TBF262215 TLB262215 TUX262215 UET262215 UOP262215 UYL262215 VIH262215 VSD262215 WBZ262215 WLV262215 WVR262215 J327751 JF327751 TB327751 ACX327751 AMT327751 AWP327751 BGL327751 BQH327751 CAD327751 CJZ327751 CTV327751 DDR327751 DNN327751 DXJ327751 EHF327751 ERB327751 FAX327751 FKT327751 FUP327751 GEL327751 GOH327751 GYD327751 HHZ327751 HRV327751 IBR327751 ILN327751 IVJ327751 JFF327751 JPB327751 JYX327751 KIT327751 KSP327751 LCL327751 LMH327751 LWD327751 MFZ327751 MPV327751 MZR327751 NJN327751 NTJ327751 ODF327751 ONB327751 OWX327751 PGT327751 PQP327751 QAL327751 QKH327751 QUD327751 RDZ327751 RNV327751 RXR327751 SHN327751 SRJ327751 TBF327751 TLB327751 TUX327751 UET327751 UOP327751 UYL327751 VIH327751 VSD327751 WBZ327751 WLV327751 WVR327751 J393287 JF393287 TB393287 ACX393287 AMT393287 AWP393287 BGL393287 BQH393287 CAD393287 CJZ393287 CTV393287 DDR393287 DNN393287 DXJ393287 EHF393287 ERB393287 FAX393287 FKT393287 FUP393287 GEL393287 GOH393287 GYD393287 HHZ393287 HRV393287 IBR393287 ILN393287 IVJ393287 JFF393287 JPB393287 JYX393287 KIT393287 KSP393287 LCL393287 LMH393287 LWD393287 MFZ393287 MPV393287 MZR393287 NJN393287 NTJ393287 ODF393287 ONB393287 OWX393287 PGT393287 PQP393287 QAL393287 QKH393287 QUD393287 RDZ393287 RNV393287 RXR393287 SHN393287 SRJ393287 TBF393287 TLB393287 TUX393287 UET393287 UOP393287 UYL393287 VIH393287 VSD393287 WBZ393287 WLV393287 WVR393287 J458823 JF458823 TB458823 ACX458823 AMT458823 AWP458823 BGL458823 BQH458823 CAD458823 CJZ458823 CTV458823 DDR458823 DNN458823 DXJ458823 EHF458823 ERB458823 FAX458823 FKT458823 FUP458823 GEL458823 GOH458823 GYD458823 HHZ458823 HRV458823 IBR458823 ILN458823 IVJ458823 JFF458823 JPB458823 JYX458823 KIT458823 KSP458823 LCL458823 LMH458823 LWD458823 MFZ458823 MPV458823 MZR458823 NJN458823 NTJ458823 ODF458823 ONB458823 OWX458823 PGT458823 PQP458823 QAL458823 QKH458823 QUD458823 RDZ458823 RNV458823 RXR458823 SHN458823 SRJ458823 TBF458823 TLB458823 TUX458823 UET458823 UOP458823 UYL458823 VIH458823 VSD458823 WBZ458823 WLV458823 WVR458823 J524359 JF524359 TB524359 ACX524359 AMT524359 AWP524359 BGL524359 BQH524359 CAD524359 CJZ524359 CTV524359 DDR524359 DNN524359 DXJ524359 EHF524359 ERB524359 FAX524359 FKT524359 FUP524359 GEL524359 GOH524359 GYD524359 HHZ524359 HRV524359 IBR524359 ILN524359 IVJ524359 JFF524359 JPB524359 JYX524359 KIT524359 KSP524359 LCL524359 LMH524359 LWD524359 MFZ524359 MPV524359 MZR524359 NJN524359 NTJ524359 ODF524359 ONB524359 OWX524359 PGT524359 PQP524359 QAL524359 QKH524359 QUD524359 RDZ524359 RNV524359 RXR524359 SHN524359 SRJ524359 TBF524359 TLB524359 TUX524359 UET524359 UOP524359 UYL524359 VIH524359 VSD524359 WBZ524359 WLV524359 WVR524359 J589895 JF589895 TB589895 ACX589895 AMT589895 AWP589895 BGL589895 BQH589895 CAD589895 CJZ589895 CTV589895 DDR589895 DNN589895 DXJ589895 EHF589895 ERB589895 FAX589895 FKT589895 FUP589895 GEL589895 GOH589895 GYD589895 HHZ589895 HRV589895 IBR589895 ILN589895 IVJ589895 JFF589895 JPB589895 JYX589895 KIT589895 KSP589895 LCL589895 LMH589895 LWD589895 MFZ589895 MPV589895 MZR589895 NJN589895 NTJ589895 ODF589895 ONB589895 OWX589895 PGT589895 PQP589895 QAL589895 QKH589895 QUD589895 RDZ589895 RNV589895 RXR589895 SHN589895 SRJ589895 TBF589895 TLB589895 TUX589895 UET589895 UOP589895 UYL589895 VIH589895 VSD589895 WBZ589895 WLV589895 WVR589895 J655431 JF655431 TB655431 ACX655431 AMT655431 AWP655431 BGL655431 BQH655431 CAD655431 CJZ655431 CTV655431 DDR655431 DNN655431 DXJ655431 EHF655431 ERB655431 FAX655431 FKT655431 FUP655431 GEL655431 GOH655431 GYD655431 HHZ655431 HRV655431 IBR655431 ILN655431 IVJ655431 JFF655431 JPB655431 JYX655431 KIT655431 KSP655431 LCL655431 LMH655431 LWD655431 MFZ655431 MPV655431 MZR655431 NJN655431 NTJ655431 ODF655431 ONB655431 OWX655431 PGT655431 PQP655431 QAL655431 QKH655431 QUD655431 RDZ655431 RNV655431 RXR655431 SHN655431 SRJ655431 TBF655431 TLB655431 TUX655431 UET655431 UOP655431 UYL655431 VIH655431 VSD655431 WBZ655431 WLV655431 WVR655431 J720967 JF720967 TB720967 ACX720967 AMT720967 AWP720967 BGL720967 BQH720967 CAD720967 CJZ720967 CTV720967 DDR720967 DNN720967 DXJ720967 EHF720967 ERB720967 FAX720967 FKT720967 FUP720967 GEL720967 GOH720967 GYD720967 HHZ720967 HRV720967 IBR720967 ILN720967 IVJ720967 JFF720967 JPB720967 JYX720967 KIT720967 KSP720967 LCL720967 LMH720967 LWD720967 MFZ720967 MPV720967 MZR720967 NJN720967 NTJ720967 ODF720967 ONB720967 OWX720967 PGT720967 PQP720967 QAL720967 QKH720967 QUD720967 RDZ720967 RNV720967 RXR720967 SHN720967 SRJ720967 TBF720967 TLB720967 TUX720967 UET720967 UOP720967 UYL720967 VIH720967 VSD720967 WBZ720967 WLV720967 WVR720967 J786503 JF786503 TB786503 ACX786503 AMT786503 AWP786503 BGL786503 BQH786503 CAD786503 CJZ786503 CTV786503 DDR786503 DNN786503 DXJ786503 EHF786503 ERB786503 FAX786503 FKT786503 FUP786503 GEL786503 GOH786503 GYD786503 HHZ786503 HRV786503 IBR786503 ILN786503 IVJ786503 JFF786503 JPB786503 JYX786503 KIT786503 KSP786503 LCL786503 LMH786503 LWD786503 MFZ786503 MPV786503 MZR786503 NJN786503 NTJ786503 ODF786503 ONB786503 OWX786503 PGT786503 PQP786503 QAL786503 QKH786503 QUD786503 RDZ786503 RNV786503 RXR786503 SHN786503 SRJ786503 TBF786503 TLB786503 TUX786503 UET786503 UOP786503 UYL786503 VIH786503 VSD786503 WBZ786503 WLV786503 WVR786503 J852039 JF852039 TB852039 ACX852039 AMT852039 AWP852039 BGL852039 BQH852039 CAD852039 CJZ852039 CTV852039 DDR852039 DNN852039 DXJ852039 EHF852039 ERB852039 FAX852039 FKT852039 FUP852039 GEL852039 GOH852039 GYD852039 HHZ852039 HRV852039 IBR852039 ILN852039 IVJ852039 JFF852039 JPB852039 JYX852039 KIT852039 KSP852039 LCL852039 LMH852039 LWD852039 MFZ852039 MPV852039 MZR852039 NJN852039 NTJ852039 ODF852039 ONB852039 OWX852039 PGT852039 PQP852039 QAL852039 QKH852039 QUD852039 RDZ852039 RNV852039 RXR852039 SHN852039 SRJ852039 TBF852039 TLB852039 TUX852039 UET852039 UOP852039 UYL852039 VIH852039 VSD852039 WBZ852039 WLV852039 WVR852039 J917575 JF917575 TB917575 ACX917575 AMT917575 AWP917575 BGL917575 BQH917575 CAD917575 CJZ917575 CTV917575 DDR917575 DNN917575 DXJ917575 EHF917575 ERB917575 FAX917575 FKT917575 FUP917575 GEL917575 GOH917575 GYD917575 HHZ917575 HRV917575 IBR917575 ILN917575 IVJ917575 JFF917575 JPB917575 JYX917575 KIT917575 KSP917575 LCL917575 LMH917575 LWD917575 MFZ917575 MPV917575 MZR917575 NJN917575 NTJ917575 ODF917575 ONB917575 OWX917575 PGT917575 PQP917575 QAL917575 QKH917575 QUD917575 RDZ917575 RNV917575 RXR917575 SHN917575 SRJ917575 TBF917575 TLB917575 TUX917575 UET917575 UOP917575 UYL917575 VIH917575 VSD917575 WBZ917575 WLV917575 WVR917575 J983111 JF983111 TB983111 ACX983111 AMT983111 AWP983111 BGL983111 BQH983111 CAD983111 CJZ983111 CTV983111 DDR983111 DNN983111 DXJ983111 EHF983111 ERB983111 FAX983111 FKT983111 FUP983111 GEL983111 GOH983111 GYD983111 HHZ983111 HRV983111 IBR983111 ILN983111 IVJ983111 JFF983111 JPB983111 JYX983111 KIT983111 KSP983111 LCL983111 LMH983111 LWD983111 MFZ983111 MPV983111 MZR983111 NJN983111 NTJ983111 ODF983111 ONB983111 OWX983111 PGT983111 PQP983111 QAL983111 QKH983111 QUD983111 RDZ983111 RNV983111 RXR983111 SHN983111 SRJ983111 TBF983111 TLB983111 TUX983111 UET983111 UOP983111 UYL983111 VIH983111 VSD983111 WBZ983111 WLV983111 WVR983111 Q71 JM71 TI71 ADE71 ANA71 AWW71 BGS71 BQO71 CAK71 CKG71 CUC71 DDY71 DNU71 DXQ71 EHM71 ERI71 FBE71 FLA71 FUW71 GES71 GOO71 GYK71 HIG71 HSC71 IBY71 ILU71 IVQ71 JFM71 JPI71 JZE71 KJA71 KSW71 LCS71 LMO71 LWK71 MGG71 MQC71 MZY71 NJU71 NTQ71 ODM71 ONI71 OXE71 PHA71 PQW71 QAS71 QKO71 QUK71 REG71 ROC71 RXY71 SHU71 SRQ71 TBM71 TLI71 TVE71 UFA71 UOW71 UYS71 VIO71 VSK71 WCG71 WMC71 WVY71 Q65607 JM65607 TI65607 ADE65607 ANA65607 AWW65607 BGS65607 BQO65607 CAK65607 CKG65607 CUC65607 DDY65607 DNU65607 DXQ65607 EHM65607 ERI65607 FBE65607 FLA65607 FUW65607 GES65607 GOO65607 GYK65607 HIG65607 HSC65607 IBY65607 ILU65607 IVQ65607 JFM65607 JPI65607 JZE65607 KJA65607 KSW65607 LCS65607 LMO65607 LWK65607 MGG65607 MQC65607 MZY65607 NJU65607 NTQ65607 ODM65607 ONI65607 OXE65607 PHA65607 PQW65607 QAS65607 QKO65607 QUK65607 REG65607 ROC65607 RXY65607 SHU65607 SRQ65607 TBM65607 TLI65607 TVE65607 UFA65607 UOW65607 UYS65607 VIO65607 VSK65607 WCG65607 WMC65607 WVY65607 Q131143 JM131143 TI131143 ADE131143 ANA131143 AWW131143 BGS131143 BQO131143 CAK131143 CKG131143 CUC131143 DDY131143 DNU131143 DXQ131143 EHM131143 ERI131143 FBE131143 FLA131143 FUW131143 GES131143 GOO131143 GYK131143 HIG131143 HSC131143 IBY131143 ILU131143 IVQ131143 JFM131143 JPI131143 JZE131143 KJA131143 KSW131143 LCS131143 LMO131143 LWK131143 MGG131143 MQC131143 MZY131143 NJU131143 NTQ131143 ODM131143 ONI131143 OXE131143 PHA131143 PQW131143 QAS131143 QKO131143 QUK131143 REG131143 ROC131143 RXY131143 SHU131143 SRQ131143 TBM131143 TLI131143 TVE131143 UFA131143 UOW131143 UYS131143 VIO131143 VSK131143 WCG131143 WMC131143 WVY131143 Q196679 JM196679 TI196679 ADE196679 ANA196679 AWW196679 BGS196679 BQO196679 CAK196679 CKG196679 CUC196679 DDY196679 DNU196679 DXQ196679 EHM196679 ERI196679 FBE196679 FLA196679 FUW196679 GES196679 GOO196679 GYK196679 HIG196679 HSC196679 IBY196679 ILU196679 IVQ196679 JFM196679 JPI196679 JZE196679 KJA196679 KSW196679 LCS196679 LMO196679 LWK196679 MGG196679 MQC196679 MZY196679 NJU196679 NTQ196679 ODM196679 ONI196679 OXE196679 PHA196679 PQW196679 QAS196679 QKO196679 QUK196679 REG196679 ROC196679 RXY196679 SHU196679 SRQ196679 TBM196679 TLI196679 TVE196679 UFA196679 UOW196679 UYS196679 VIO196679 VSK196679 WCG196679 WMC196679 WVY196679 Q262215 JM262215 TI262215 ADE262215 ANA262215 AWW262215 BGS262215 BQO262215 CAK262215 CKG262215 CUC262215 DDY262215 DNU262215 DXQ262215 EHM262215 ERI262215 FBE262215 FLA262215 FUW262215 GES262215 GOO262215 GYK262215 HIG262215 HSC262215 IBY262215 ILU262215 IVQ262215 JFM262215 JPI262215 JZE262215 KJA262215 KSW262215 LCS262215 LMO262215 LWK262215 MGG262215 MQC262215 MZY262215 NJU262215 NTQ262215 ODM262215 ONI262215 OXE262215 PHA262215 PQW262215 QAS262215 QKO262215 QUK262215 REG262215 ROC262215 RXY262215 SHU262215 SRQ262215 TBM262215 TLI262215 TVE262215 UFA262215 UOW262215 UYS262215 VIO262215 VSK262215 WCG262215 WMC262215 WVY262215 Q327751 JM327751 TI327751 ADE327751 ANA327751 AWW327751 BGS327751 BQO327751 CAK327751 CKG327751 CUC327751 DDY327751 DNU327751 DXQ327751 EHM327751 ERI327751 FBE327751 FLA327751 FUW327751 GES327751 GOO327751 GYK327751 HIG327751 HSC327751 IBY327751 ILU327751 IVQ327751 JFM327751 JPI327751 JZE327751 KJA327751 KSW327751 LCS327751 LMO327751 LWK327751 MGG327751 MQC327751 MZY327751 NJU327751 NTQ327751 ODM327751 ONI327751 OXE327751 PHA327751 PQW327751 QAS327751 QKO327751 QUK327751 REG327751 ROC327751 RXY327751 SHU327751 SRQ327751 TBM327751 TLI327751 TVE327751 UFA327751 UOW327751 UYS327751 VIO327751 VSK327751 WCG327751 WMC327751 WVY327751 Q393287 JM393287 TI393287 ADE393287 ANA393287 AWW393287 BGS393287 BQO393287 CAK393287 CKG393287 CUC393287 DDY393287 DNU393287 DXQ393287 EHM393287 ERI393287 FBE393287 FLA393287 FUW393287 GES393287 GOO393287 GYK393287 HIG393287 HSC393287 IBY393287 ILU393287 IVQ393287 JFM393287 JPI393287 JZE393287 KJA393287 KSW393287 LCS393287 LMO393287 LWK393287 MGG393287 MQC393287 MZY393287 NJU393287 NTQ393287 ODM393287 ONI393287 OXE393287 PHA393287 PQW393287 QAS393287 QKO393287 QUK393287 REG393287 ROC393287 RXY393287 SHU393287 SRQ393287 TBM393287 TLI393287 TVE393287 UFA393287 UOW393287 UYS393287 VIO393287 VSK393287 WCG393287 WMC393287 WVY393287 Q458823 JM458823 TI458823 ADE458823 ANA458823 AWW458823 BGS458823 BQO458823 CAK458823 CKG458823 CUC458823 DDY458823 DNU458823 DXQ458823 EHM458823 ERI458823 FBE458823 FLA458823 FUW458823 GES458823 GOO458823 GYK458823 HIG458823 HSC458823 IBY458823 ILU458823 IVQ458823 JFM458823 JPI458823 JZE458823 KJA458823 KSW458823 LCS458823 LMO458823 LWK458823 MGG458823 MQC458823 MZY458823 NJU458823 NTQ458823 ODM458823 ONI458823 OXE458823 PHA458823 PQW458823 QAS458823 QKO458823 QUK458823 REG458823 ROC458823 RXY458823 SHU458823 SRQ458823 TBM458823 TLI458823 TVE458823 UFA458823 UOW458823 UYS458823 VIO458823 VSK458823 WCG458823 WMC458823 WVY458823 Q524359 JM524359 TI524359 ADE524359 ANA524359 AWW524359 BGS524359 BQO524359 CAK524359 CKG524359 CUC524359 DDY524359 DNU524359 DXQ524359 EHM524359 ERI524359 FBE524359 FLA524359 FUW524359 GES524359 GOO524359 GYK524359 HIG524359 HSC524359 IBY524359 ILU524359 IVQ524359 JFM524359 JPI524359 JZE524359 KJA524359 KSW524359 LCS524359 LMO524359 LWK524359 MGG524359 MQC524359 MZY524359 NJU524359 NTQ524359 ODM524359 ONI524359 OXE524359 PHA524359 PQW524359 QAS524359 QKO524359 QUK524359 REG524359 ROC524359 RXY524359 SHU524359 SRQ524359 TBM524359 TLI524359 TVE524359 UFA524359 UOW524359 UYS524359 VIO524359 VSK524359 WCG524359 WMC524359 WVY524359 Q589895 JM589895 TI589895 ADE589895 ANA589895 AWW589895 BGS589895 BQO589895 CAK589895 CKG589895 CUC589895 DDY589895 DNU589895 DXQ589895 EHM589895 ERI589895 FBE589895 FLA589895 FUW589895 GES589895 GOO589895 GYK589895 HIG589895 HSC589895 IBY589895 ILU589895 IVQ589895 JFM589895 JPI589895 JZE589895 KJA589895 KSW589895 LCS589895 LMO589895 LWK589895 MGG589895 MQC589895 MZY589895 NJU589895 NTQ589895 ODM589895 ONI589895 OXE589895 PHA589895 PQW589895 QAS589895 QKO589895 QUK589895 REG589895 ROC589895 RXY589895 SHU589895 SRQ589895 TBM589895 TLI589895 TVE589895 UFA589895 UOW589895 UYS589895 VIO589895 VSK589895 WCG589895 WMC589895 WVY589895 Q655431 JM655431 TI655431 ADE655431 ANA655431 AWW655431 BGS655431 BQO655431 CAK655431 CKG655431 CUC655431 DDY655431 DNU655431 DXQ655431 EHM655431 ERI655431 FBE655431 FLA655431 FUW655431 GES655431 GOO655431 GYK655431 HIG655431 HSC655431 IBY655431 ILU655431 IVQ655431 JFM655431 JPI655431 JZE655431 KJA655431 KSW655431 LCS655431 LMO655431 LWK655431 MGG655431 MQC655431 MZY655431 NJU655431 NTQ655431 ODM655431 ONI655431 OXE655431 PHA655431 PQW655431 QAS655431 QKO655431 QUK655431 REG655431 ROC655431 RXY655431 SHU655431 SRQ655431 TBM655431 TLI655431 TVE655431 UFA655431 UOW655431 UYS655431 VIO655431 VSK655431 WCG655431 WMC655431 WVY655431 Q720967 JM720967 TI720967 ADE720967 ANA720967 AWW720967 BGS720967 BQO720967 CAK720967 CKG720967 CUC720967 DDY720967 DNU720967 DXQ720967 EHM720967 ERI720967 FBE720967 FLA720967 FUW720967 GES720967 GOO720967 GYK720967 HIG720967 HSC720967 IBY720967 ILU720967 IVQ720967 JFM720967 JPI720967 JZE720967 KJA720967 KSW720967 LCS720967 LMO720967 LWK720967 MGG720967 MQC720967 MZY720967 NJU720967 NTQ720967 ODM720967 ONI720967 OXE720967 PHA720967 PQW720967 QAS720967 QKO720967 QUK720967 REG720967 ROC720967 RXY720967 SHU720967 SRQ720967 TBM720967 TLI720967 TVE720967 UFA720967 UOW720967 UYS720967 VIO720967 VSK720967 WCG720967 WMC720967 WVY720967 Q786503 JM786503 TI786503 ADE786503 ANA786503 AWW786503 BGS786503 BQO786503 CAK786503 CKG786503 CUC786503 DDY786503 DNU786503 DXQ786503 EHM786503 ERI786503 FBE786503 FLA786503 FUW786503 GES786503 GOO786503 GYK786503 HIG786503 HSC786503 IBY786503 ILU786503 IVQ786503 JFM786503 JPI786503 JZE786503 KJA786503 KSW786503 LCS786503 LMO786503 LWK786503 MGG786503 MQC786503 MZY786503 NJU786503 NTQ786503 ODM786503 ONI786503 OXE786503 PHA786503 PQW786503 QAS786503 QKO786503 QUK786503 REG786503 ROC786503 RXY786503 SHU786503 SRQ786503 TBM786503 TLI786503 TVE786503 UFA786503 UOW786503 UYS786503 VIO786503 VSK786503 WCG786503 WMC786503 WVY786503 Q852039 JM852039 TI852039 ADE852039 ANA852039 AWW852039 BGS852039 BQO852039 CAK852039 CKG852039 CUC852039 DDY852039 DNU852039 DXQ852039 EHM852039 ERI852039 FBE852039 FLA852039 FUW852039 GES852039 GOO852039 GYK852039 HIG852039 HSC852039 IBY852039 ILU852039 IVQ852039 JFM852039 JPI852039 JZE852039 KJA852039 KSW852039 LCS852039 LMO852039 LWK852039 MGG852039 MQC852039 MZY852039 NJU852039 NTQ852039 ODM852039 ONI852039 OXE852039 PHA852039 PQW852039 QAS852039 QKO852039 QUK852039 REG852039 ROC852039 RXY852039 SHU852039 SRQ852039 TBM852039 TLI852039 TVE852039 UFA852039 UOW852039 UYS852039 VIO852039 VSK852039 WCG852039 WMC852039 WVY852039 Q917575 JM917575 TI917575 ADE917575 ANA917575 AWW917575 BGS917575 BQO917575 CAK917575 CKG917575 CUC917575 DDY917575 DNU917575 DXQ917575 EHM917575 ERI917575 FBE917575 FLA917575 FUW917575 GES917575 GOO917575 GYK917575 HIG917575 HSC917575 IBY917575 ILU917575 IVQ917575 JFM917575 JPI917575 JZE917575 KJA917575 KSW917575 LCS917575 LMO917575 LWK917575 MGG917575 MQC917575 MZY917575 NJU917575 NTQ917575 ODM917575 ONI917575 OXE917575 PHA917575 PQW917575 QAS917575 QKO917575 QUK917575 REG917575 ROC917575 RXY917575 SHU917575 SRQ917575 TBM917575 TLI917575 TVE917575 UFA917575 UOW917575 UYS917575 VIO917575 VSK917575 WCG917575 WMC917575 WVY917575 Q983111 JM983111 TI983111 ADE983111 ANA983111 AWW983111 BGS983111 BQO983111 CAK983111 CKG983111 CUC983111 DDY983111 DNU983111 DXQ983111 EHM983111 ERI983111 FBE983111 FLA983111 FUW983111 GES983111 GOO983111 GYK983111 HIG983111 HSC983111 IBY983111 ILU983111 IVQ983111 JFM983111 JPI983111 JZE983111 KJA983111 KSW983111 LCS983111 LMO983111 LWK983111 MGG983111 MQC983111 MZY983111 NJU983111 NTQ983111 ODM983111 ONI983111 OXE983111 PHA983111 PQW983111 QAS983111 QKO983111 QUK983111 REG983111 ROC983111 RXY983111 SHU983111 SRQ983111 TBM983111 TLI983111 TVE983111 UFA983111 UOW983111 UYS983111 VIO983111 VSK983111 WCG983111 WMC983111 WVY983111 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E65568:E65569 JA65568:JA65569 SW65568:SW65569 ACS65568:ACS65569 AMO65568:AMO65569 AWK65568:AWK65569 BGG65568:BGG65569 BQC65568:BQC65569 BZY65568:BZY65569 CJU65568:CJU65569 CTQ65568:CTQ65569 DDM65568:DDM65569 DNI65568:DNI65569 DXE65568:DXE65569 EHA65568:EHA65569 EQW65568:EQW65569 FAS65568:FAS65569 FKO65568:FKO65569 FUK65568:FUK65569 GEG65568:GEG65569 GOC65568:GOC65569 GXY65568:GXY65569 HHU65568:HHU65569 HRQ65568:HRQ65569 IBM65568:IBM65569 ILI65568:ILI65569 IVE65568:IVE65569 JFA65568:JFA65569 JOW65568:JOW65569 JYS65568:JYS65569 KIO65568:KIO65569 KSK65568:KSK65569 LCG65568:LCG65569 LMC65568:LMC65569 LVY65568:LVY65569 MFU65568:MFU65569 MPQ65568:MPQ65569 MZM65568:MZM65569 NJI65568:NJI65569 NTE65568:NTE65569 ODA65568:ODA65569 OMW65568:OMW65569 OWS65568:OWS65569 PGO65568:PGO65569 PQK65568:PQK65569 QAG65568:QAG65569 QKC65568:QKC65569 QTY65568:QTY65569 RDU65568:RDU65569 RNQ65568:RNQ65569 RXM65568:RXM65569 SHI65568:SHI65569 SRE65568:SRE65569 TBA65568:TBA65569 TKW65568:TKW65569 TUS65568:TUS65569 UEO65568:UEO65569 UOK65568:UOK65569 UYG65568:UYG65569 VIC65568:VIC65569 VRY65568:VRY65569 WBU65568:WBU65569 WLQ65568:WLQ65569 WVM65568:WVM65569 E131104:E131105 JA131104:JA131105 SW131104:SW131105 ACS131104:ACS131105 AMO131104:AMO131105 AWK131104:AWK131105 BGG131104:BGG131105 BQC131104:BQC131105 BZY131104:BZY131105 CJU131104:CJU131105 CTQ131104:CTQ131105 DDM131104:DDM131105 DNI131104:DNI131105 DXE131104:DXE131105 EHA131104:EHA131105 EQW131104:EQW131105 FAS131104:FAS131105 FKO131104:FKO131105 FUK131104:FUK131105 GEG131104:GEG131105 GOC131104:GOC131105 GXY131104:GXY131105 HHU131104:HHU131105 HRQ131104:HRQ131105 IBM131104:IBM131105 ILI131104:ILI131105 IVE131104:IVE131105 JFA131104:JFA131105 JOW131104:JOW131105 JYS131104:JYS131105 KIO131104:KIO131105 KSK131104:KSK131105 LCG131104:LCG131105 LMC131104:LMC131105 LVY131104:LVY131105 MFU131104:MFU131105 MPQ131104:MPQ131105 MZM131104:MZM131105 NJI131104:NJI131105 NTE131104:NTE131105 ODA131104:ODA131105 OMW131104:OMW131105 OWS131104:OWS131105 PGO131104:PGO131105 PQK131104:PQK131105 QAG131104:QAG131105 QKC131104:QKC131105 QTY131104:QTY131105 RDU131104:RDU131105 RNQ131104:RNQ131105 RXM131104:RXM131105 SHI131104:SHI131105 SRE131104:SRE131105 TBA131104:TBA131105 TKW131104:TKW131105 TUS131104:TUS131105 UEO131104:UEO131105 UOK131104:UOK131105 UYG131104:UYG131105 VIC131104:VIC131105 VRY131104:VRY131105 WBU131104:WBU131105 WLQ131104:WLQ131105 WVM131104:WVM131105 E196640:E196641 JA196640:JA196641 SW196640:SW196641 ACS196640:ACS196641 AMO196640:AMO196641 AWK196640:AWK196641 BGG196640:BGG196641 BQC196640:BQC196641 BZY196640:BZY196641 CJU196640:CJU196641 CTQ196640:CTQ196641 DDM196640:DDM196641 DNI196640:DNI196641 DXE196640:DXE196641 EHA196640:EHA196641 EQW196640:EQW196641 FAS196640:FAS196641 FKO196640:FKO196641 FUK196640:FUK196641 GEG196640:GEG196641 GOC196640:GOC196641 GXY196640:GXY196641 HHU196640:HHU196641 HRQ196640:HRQ196641 IBM196640:IBM196641 ILI196640:ILI196641 IVE196640:IVE196641 JFA196640:JFA196641 JOW196640:JOW196641 JYS196640:JYS196641 KIO196640:KIO196641 KSK196640:KSK196641 LCG196640:LCG196641 LMC196640:LMC196641 LVY196640:LVY196641 MFU196640:MFU196641 MPQ196640:MPQ196641 MZM196640:MZM196641 NJI196640:NJI196641 NTE196640:NTE196641 ODA196640:ODA196641 OMW196640:OMW196641 OWS196640:OWS196641 PGO196640:PGO196641 PQK196640:PQK196641 QAG196640:QAG196641 QKC196640:QKC196641 QTY196640:QTY196641 RDU196640:RDU196641 RNQ196640:RNQ196641 RXM196640:RXM196641 SHI196640:SHI196641 SRE196640:SRE196641 TBA196640:TBA196641 TKW196640:TKW196641 TUS196640:TUS196641 UEO196640:UEO196641 UOK196640:UOK196641 UYG196640:UYG196641 VIC196640:VIC196641 VRY196640:VRY196641 WBU196640:WBU196641 WLQ196640:WLQ196641 WVM196640:WVM196641 E262176:E262177 JA262176:JA262177 SW262176:SW262177 ACS262176:ACS262177 AMO262176:AMO262177 AWK262176:AWK262177 BGG262176:BGG262177 BQC262176:BQC262177 BZY262176:BZY262177 CJU262176:CJU262177 CTQ262176:CTQ262177 DDM262176:DDM262177 DNI262176:DNI262177 DXE262176:DXE262177 EHA262176:EHA262177 EQW262176:EQW262177 FAS262176:FAS262177 FKO262176:FKO262177 FUK262176:FUK262177 GEG262176:GEG262177 GOC262176:GOC262177 GXY262176:GXY262177 HHU262176:HHU262177 HRQ262176:HRQ262177 IBM262176:IBM262177 ILI262176:ILI262177 IVE262176:IVE262177 JFA262176:JFA262177 JOW262176:JOW262177 JYS262176:JYS262177 KIO262176:KIO262177 KSK262176:KSK262177 LCG262176:LCG262177 LMC262176:LMC262177 LVY262176:LVY262177 MFU262176:MFU262177 MPQ262176:MPQ262177 MZM262176:MZM262177 NJI262176:NJI262177 NTE262176:NTE262177 ODA262176:ODA262177 OMW262176:OMW262177 OWS262176:OWS262177 PGO262176:PGO262177 PQK262176:PQK262177 QAG262176:QAG262177 QKC262176:QKC262177 QTY262176:QTY262177 RDU262176:RDU262177 RNQ262176:RNQ262177 RXM262176:RXM262177 SHI262176:SHI262177 SRE262176:SRE262177 TBA262176:TBA262177 TKW262176:TKW262177 TUS262176:TUS262177 UEO262176:UEO262177 UOK262176:UOK262177 UYG262176:UYG262177 VIC262176:VIC262177 VRY262176:VRY262177 WBU262176:WBU262177 WLQ262176:WLQ262177 WVM262176:WVM262177 E327712:E327713 JA327712:JA327713 SW327712:SW327713 ACS327712:ACS327713 AMO327712:AMO327713 AWK327712:AWK327713 BGG327712:BGG327713 BQC327712:BQC327713 BZY327712:BZY327713 CJU327712:CJU327713 CTQ327712:CTQ327713 DDM327712:DDM327713 DNI327712:DNI327713 DXE327712:DXE327713 EHA327712:EHA327713 EQW327712:EQW327713 FAS327712:FAS327713 FKO327712:FKO327713 FUK327712:FUK327713 GEG327712:GEG327713 GOC327712:GOC327713 GXY327712:GXY327713 HHU327712:HHU327713 HRQ327712:HRQ327713 IBM327712:IBM327713 ILI327712:ILI327713 IVE327712:IVE327713 JFA327712:JFA327713 JOW327712:JOW327713 JYS327712:JYS327713 KIO327712:KIO327713 KSK327712:KSK327713 LCG327712:LCG327713 LMC327712:LMC327713 LVY327712:LVY327713 MFU327712:MFU327713 MPQ327712:MPQ327713 MZM327712:MZM327713 NJI327712:NJI327713 NTE327712:NTE327713 ODA327712:ODA327713 OMW327712:OMW327713 OWS327712:OWS327713 PGO327712:PGO327713 PQK327712:PQK327713 QAG327712:QAG327713 QKC327712:QKC327713 QTY327712:QTY327713 RDU327712:RDU327713 RNQ327712:RNQ327713 RXM327712:RXM327713 SHI327712:SHI327713 SRE327712:SRE327713 TBA327712:TBA327713 TKW327712:TKW327713 TUS327712:TUS327713 UEO327712:UEO327713 UOK327712:UOK327713 UYG327712:UYG327713 VIC327712:VIC327713 VRY327712:VRY327713 WBU327712:WBU327713 WLQ327712:WLQ327713 WVM327712:WVM327713 E393248:E393249 JA393248:JA393249 SW393248:SW393249 ACS393248:ACS393249 AMO393248:AMO393249 AWK393248:AWK393249 BGG393248:BGG393249 BQC393248:BQC393249 BZY393248:BZY393249 CJU393248:CJU393249 CTQ393248:CTQ393249 DDM393248:DDM393249 DNI393248:DNI393249 DXE393248:DXE393249 EHA393248:EHA393249 EQW393248:EQW393249 FAS393248:FAS393249 FKO393248:FKO393249 FUK393248:FUK393249 GEG393248:GEG393249 GOC393248:GOC393249 GXY393248:GXY393249 HHU393248:HHU393249 HRQ393248:HRQ393249 IBM393248:IBM393249 ILI393248:ILI393249 IVE393248:IVE393249 JFA393248:JFA393249 JOW393248:JOW393249 JYS393248:JYS393249 KIO393248:KIO393249 KSK393248:KSK393249 LCG393248:LCG393249 LMC393248:LMC393249 LVY393248:LVY393249 MFU393248:MFU393249 MPQ393248:MPQ393249 MZM393248:MZM393249 NJI393248:NJI393249 NTE393248:NTE393249 ODA393248:ODA393249 OMW393248:OMW393249 OWS393248:OWS393249 PGO393248:PGO393249 PQK393248:PQK393249 QAG393248:QAG393249 QKC393248:QKC393249 QTY393248:QTY393249 RDU393248:RDU393249 RNQ393248:RNQ393249 RXM393248:RXM393249 SHI393248:SHI393249 SRE393248:SRE393249 TBA393248:TBA393249 TKW393248:TKW393249 TUS393248:TUS393249 UEO393248:UEO393249 UOK393248:UOK393249 UYG393248:UYG393249 VIC393248:VIC393249 VRY393248:VRY393249 WBU393248:WBU393249 WLQ393248:WLQ393249 WVM393248:WVM393249 E458784:E458785 JA458784:JA458785 SW458784:SW458785 ACS458784:ACS458785 AMO458784:AMO458785 AWK458784:AWK458785 BGG458784:BGG458785 BQC458784:BQC458785 BZY458784:BZY458785 CJU458784:CJU458785 CTQ458784:CTQ458785 DDM458784:DDM458785 DNI458784:DNI458785 DXE458784:DXE458785 EHA458784:EHA458785 EQW458784:EQW458785 FAS458784:FAS458785 FKO458784:FKO458785 FUK458784:FUK458785 GEG458784:GEG458785 GOC458784:GOC458785 GXY458784:GXY458785 HHU458784:HHU458785 HRQ458784:HRQ458785 IBM458784:IBM458785 ILI458784:ILI458785 IVE458784:IVE458785 JFA458784:JFA458785 JOW458784:JOW458785 JYS458784:JYS458785 KIO458784:KIO458785 KSK458784:KSK458785 LCG458784:LCG458785 LMC458784:LMC458785 LVY458784:LVY458785 MFU458784:MFU458785 MPQ458784:MPQ458785 MZM458784:MZM458785 NJI458784:NJI458785 NTE458784:NTE458785 ODA458784:ODA458785 OMW458784:OMW458785 OWS458784:OWS458785 PGO458784:PGO458785 PQK458784:PQK458785 QAG458784:QAG458785 QKC458784:QKC458785 QTY458784:QTY458785 RDU458784:RDU458785 RNQ458784:RNQ458785 RXM458784:RXM458785 SHI458784:SHI458785 SRE458784:SRE458785 TBA458784:TBA458785 TKW458784:TKW458785 TUS458784:TUS458785 UEO458784:UEO458785 UOK458784:UOK458785 UYG458784:UYG458785 VIC458784:VIC458785 VRY458784:VRY458785 WBU458784:WBU458785 WLQ458784:WLQ458785 WVM458784:WVM458785 E524320:E524321 JA524320:JA524321 SW524320:SW524321 ACS524320:ACS524321 AMO524320:AMO524321 AWK524320:AWK524321 BGG524320:BGG524321 BQC524320:BQC524321 BZY524320:BZY524321 CJU524320:CJU524321 CTQ524320:CTQ524321 DDM524320:DDM524321 DNI524320:DNI524321 DXE524320:DXE524321 EHA524320:EHA524321 EQW524320:EQW524321 FAS524320:FAS524321 FKO524320:FKO524321 FUK524320:FUK524321 GEG524320:GEG524321 GOC524320:GOC524321 GXY524320:GXY524321 HHU524320:HHU524321 HRQ524320:HRQ524321 IBM524320:IBM524321 ILI524320:ILI524321 IVE524320:IVE524321 JFA524320:JFA524321 JOW524320:JOW524321 JYS524320:JYS524321 KIO524320:KIO524321 KSK524320:KSK524321 LCG524320:LCG524321 LMC524320:LMC524321 LVY524320:LVY524321 MFU524320:MFU524321 MPQ524320:MPQ524321 MZM524320:MZM524321 NJI524320:NJI524321 NTE524320:NTE524321 ODA524320:ODA524321 OMW524320:OMW524321 OWS524320:OWS524321 PGO524320:PGO524321 PQK524320:PQK524321 QAG524320:QAG524321 QKC524320:QKC524321 QTY524320:QTY524321 RDU524320:RDU524321 RNQ524320:RNQ524321 RXM524320:RXM524321 SHI524320:SHI524321 SRE524320:SRE524321 TBA524320:TBA524321 TKW524320:TKW524321 TUS524320:TUS524321 UEO524320:UEO524321 UOK524320:UOK524321 UYG524320:UYG524321 VIC524320:VIC524321 VRY524320:VRY524321 WBU524320:WBU524321 WLQ524320:WLQ524321 WVM524320:WVM524321 E589856:E589857 JA589856:JA589857 SW589856:SW589857 ACS589856:ACS589857 AMO589856:AMO589857 AWK589856:AWK589857 BGG589856:BGG589857 BQC589856:BQC589857 BZY589856:BZY589857 CJU589856:CJU589857 CTQ589856:CTQ589857 DDM589856:DDM589857 DNI589856:DNI589857 DXE589856:DXE589857 EHA589856:EHA589857 EQW589856:EQW589857 FAS589856:FAS589857 FKO589856:FKO589857 FUK589856:FUK589857 GEG589856:GEG589857 GOC589856:GOC589857 GXY589856:GXY589857 HHU589856:HHU589857 HRQ589856:HRQ589857 IBM589856:IBM589857 ILI589856:ILI589857 IVE589856:IVE589857 JFA589856:JFA589857 JOW589856:JOW589857 JYS589856:JYS589857 KIO589856:KIO589857 KSK589856:KSK589857 LCG589856:LCG589857 LMC589856:LMC589857 LVY589856:LVY589857 MFU589856:MFU589857 MPQ589856:MPQ589857 MZM589856:MZM589857 NJI589856:NJI589857 NTE589856:NTE589857 ODA589856:ODA589857 OMW589856:OMW589857 OWS589856:OWS589857 PGO589856:PGO589857 PQK589856:PQK589857 QAG589856:QAG589857 QKC589856:QKC589857 QTY589856:QTY589857 RDU589856:RDU589857 RNQ589856:RNQ589857 RXM589856:RXM589857 SHI589856:SHI589857 SRE589856:SRE589857 TBA589856:TBA589857 TKW589856:TKW589857 TUS589856:TUS589857 UEO589856:UEO589857 UOK589856:UOK589857 UYG589856:UYG589857 VIC589856:VIC589857 VRY589856:VRY589857 WBU589856:WBU589857 WLQ589856:WLQ589857 WVM589856:WVM589857 E655392:E655393 JA655392:JA655393 SW655392:SW655393 ACS655392:ACS655393 AMO655392:AMO655393 AWK655392:AWK655393 BGG655392:BGG655393 BQC655392:BQC655393 BZY655392:BZY655393 CJU655392:CJU655393 CTQ655392:CTQ655393 DDM655392:DDM655393 DNI655392:DNI655393 DXE655392:DXE655393 EHA655392:EHA655393 EQW655392:EQW655393 FAS655392:FAS655393 FKO655392:FKO655393 FUK655392:FUK655393 GEG655392:GEG655393 GOC655392:GOC655393 GXY655392:GXY655393 HHU655392:HHU655393 HRQ655392:HRQ655393 IBM655392:IBM655393 ILI655392:ILI655393 IVE655392:IVE655393 JFA655392:JFA655393 JOW655392:JOW655393 JYS655392:JYS655393 KIO655392:KIO655393 KSK655392:KSK655393 LCG655392:LCG655393 LMC655392:LMC655393 LVY655392:LVY655393 MFU655392:MFU655393 MPQ655392:MPQ655393 MZM655392:MZM655393 NJI655392:NJI655393 NTE655392:NTE655393 ODA655392:ODA655393 OMW655392:OMW655393 OWS655392:OWS655393 PGO655392:PGO655393 PQK655392:PQK655393 QAG655392:QAG655393 QKC655392:QKC655393 QTY655392:QTY655393 RDU655392:RDU655393 RNQ655392:RNQ655393 RXM655392:RXM655393 SHI655392:SHI655393 SRE655392:SRE655393 TBA655392:TBA655393 TKW655392:TKW655393 TUS655392:TUS655393 UEO655392:UEO655393 UOK655392:UOK655393 UYG655392:UYG655393 VIC655392:VIC655393 VRY655392:VRY655393 WBU655392:WBU655393 WLQ655392:WLQ655393 WVM655392:WVM655393 E720928:E720929 JA720928:JA720929 SW720928:SW720929 ACS720928:ACS720929 AMO720928:AMO720929 AWK720928:AWK720929 BGG720928:BGG720929 BQC720928:BQC720929 BZY720928:BZY720929 CJU720928:CJU720929 CTQ720928:CTQ720929 DDM720928:DDM720929 DNI720928:DNI720929 DXE720928:DXE720929 EHA720928:EHA720929 EQW720928:EQW720929 FAS720928:FAS720929 FKO720928:FKO720929 FUK720928:FUK720929 GEG720928:GEG720929 GOC720928:GOC720929 GXY720928:GXY720929 HHU720928:HHU720929 HRQ720928:HRQ720929 IBM720928:IBM720929 ILI720928:ILI720929 IVE720928:IVE720929 JFA720928:JFA720929 JOW720928:JOW720929 JYS720928:JYS720929 KIO720928:KIO720929 KSK720928:KSK720929 LCG720928:LCG720929 LMC720928:LMC720929 LVY720928:LVY720929 MFU720928:MFU720929 MPQ720928:MPQ720929 MZM720928:MZM720929 NJI720928:NJI720929 NTE720928:NTE720929 ODA720928:ODA720929 OMW720928:OMW720929 OWS720928:OWS720929 PGO720928:PGO720929 PQK720928:PQK720929 QAG720928:QAG720929 QKC720928:QKC720929 QTY720928:QTY720929 RDU720928:RDU720929 RNQ720928:RNQ720929 RXM720928:RXM720929 SHI720928:SHI720929 SRE720928:SRE720929 TBA720928:TBA720929 TKW720928:TKW720929 TUS720928:TUS720929 UEO720928:UEO720929 UOK720928:UOK720929 UYG720928:UYG720929 VIC720928:VIC720929 VRY720928:VRY720929 WBU720928:WBU720929 WLQ720928:WLQ720929 WVM720928:WVM720929 E786464:E786465 JA786464:JA786465 SW786464:SW786465 ACS786464:ACS786465 AMO786464:AMO786465 AWK786464:AWK786465 BGG786464:BGG786465 BQC786464:BQC786465 BZY786464:BZY786465 CJU786464:CJU786465 CTQ786464:CTQ786465 DDM786464:DDM786465 DNI786464:DNI786465 DXE786464:DXE786465 EHA786464:EHA786465 EQW786464:EQW786465 FAS786464:FAS786465 FKO786464:FKO786465 FUK786464:FUK786465 GEG786464:GEG786465 GOC786464:GOC786465 GXY786464:GXY786465 HHU786464:HHU786465 HRQ786464:HRQ786465 IBM786464:IBM786465 ILI786464:ILI786465 IVE786464:IVE786465 JFA786464:JFA786465 JOW786464:JOW786465 JYS786464:JYS786465 KIO786464:KIO786465 KSK786464:KSK786465 LCG786464:LCG786465 LMC786464:LMC786465 LVY786464:LVY786465 MFU786464:MFU786465 MPQ786464:MPQ786465 MZM786464:MZM786465 NJI786464:NJI786465 NTE786464:NTE786465 ODA786464:ODA786465 OMW786464:OMW786465 OWS786464:OWS786465 PGO786464:PGO786465 PQK786464:PQK786465 QAG786464:QAG786465 QKC786464:QKC786465 QTY786464:QTY786465 RDU786464:RDU786465 RNQ786464:RNQ786465 RXM786464:RXM786465 SHI786464:SHI786465 SRE786464:SRE786465 TBA786464:TBA786465 TKW786464:TKW786465 TUS786464:TUS786465 UEO786464:UEO786465 UOK786464:UOK786465 UYG786464:UYG786465 VIC786464:VIC786465 VRY786464:VRY786465 WBU786464:WBU786465 WLQ786464:WLQ786465 WVM786464:WVM786465 E852000:E852001 JA852000:JA852001 SW852000:SW852001 ACS852000:ACS852001 AMO852000:AMO852001 AWK852000:AWK852001 BGG852000:BGG852001 BQC852000:BQC852001 BZY852000:BZY852001 CJU852000:CJU852001 CTQ852000:CTQ852001 DDM852000:DDM852001 DNI852000:DNI852001 DXE852000:DXE852001 EHA852000:EHA852001 EQW852000:EQW852001 FAS852000:FAS852001 FKO852000:FKO852001 FUK852000:FUK852001 GEG852000:GEG852001 GOC852000:GOC852001 GXY852000:GXY852001 HHU852000:HHU852001 HRQ852000:HRQ852001 IBM852000:IBM852001 ILI852000:ILI852001 IVE852000:IVE852001 JFA852000:JFA852001 JOW852000:JOW852001 JYS852000:JYS852001 KIO852000:KIO852001 KSK852000:KSK852001 LCG852000:LCG852001 LMC852000:LMC852001 LVY852000:LVY852001 MFU852000:MFU852001 MPQ852000:MPQ852001 MZM852000:MZM852001 NJI852000:NJI852001 NTE852000:NTE852001 ODA852000:ODA852001 OMW852000:OMW852001 OWS852000:OWS852001 PGO852000:PGO852001 PQK852000:PQK852001 QAG852000:QAG852001 QKC852000:QKC852001 QTY852000:QTY852001 RDU852000:RDU852001 RNQ852000:RNQ852001 RXM852000:RXM852001 SHI852000:SHI852001 SRE852000:SRE852001 TBA852000:TBA852001 TKW852000:TKW852001 TUS852000:TUS852001 UEO852000:UEO852001 UOK852000:UOK852001 UYG852000:UYG852001 VIC852000:VIC852001 VRY852000:VRY852001 WBU852000:WBU852001 WLQ852000:WLQ852001 WVM852000:WVM852001 E917536:E917537 JA917536:JA917537 SW917536:SW917537 ACS917536:ACS917537 AMO917536:AMO917537 AWK917536:AWK917537 BGG917536:BGG917537 BQC917536:BQC917537 BZY917536:BZY917537 CJU917536:CJU917537 CTQ917536:CTQ917537 DDM917536:DDM917537 DNI917536:DNI917537 DXE917536:DXE917537 EHA917536:EHA917537 EQW917536:EQW917537 FAS917536:FAS917537 FKO917536:FKO917537 FUK917536:FUK917537 GEG917536:GEG917537 GOC917536:GOC917537 GXY917536:GXY917537 HHU917536:HHU917537 HRQ917536:HRQ917537 IBM917536:IBM917537 ILI917536:ILI917537 IVE917536:IVE917537 JFA917536:JFA917537 JOW917536:JOW917537 JYS917536:JYS917537 KIO917536:KIO917537 KSK917536:KSK917537 LCG917536:LCG917537 LMC917536:LMC917537 LVY917536:LVY917537 MFU917536:MFU917537 MPQ917536:MPQ917537 MZM917536:MZM917537 NJI917536:NJI917537 NTE917536:NTE917537 ODA917536:ODA917537 OMW917536:OMW917537 OWS917536:OWS917537 PGO917536:PGO917537 PQK917536:PQK917537 QAG917536:QAG917537 QKC917536:QKC917537 QTY917536:QTY917537 RDU917536:RDU917537 RNQ917536:RNQ917537 RXM917536:RXM917537 SHI917536:SHI917537 SRE917536:SRE917537 TBA917536:TBA917537 TKW917536:TKW917537 TUS917536:TUS917537 UEO917536:UEO917537 UOK917536:UOK917537 UYG917536:UYG917537 VIC917536:VIC917537 VRY917536:VRY917537 WBU917536:WBU917537 WLQ917536:WLQ917537 WVM917536:WVM917537 E983072:E983073 JA983072:JA983073 SW983072:SW983073 ACS983072:ACS983073 AMO983072:AMO983073 AWK983072:AWK983073 BGG983072:BGG983073 BQC983072:BQC983073 BZY983072:BZY983073 CJU983072:CJU983073 CTQ983072:CTQ983073 DDM983072:DDM983073 DNI983072:DNI983073 DXE983072:DXE983073 EHA983072:EHA983073 EQW983072:EQW983073 FAS983072:FAS983073 FKO983072:FKO983073 FUK983072:FUK983073 GEG983072:GEG983073 GOC983072:GOC983073 GXY983072:GXY983073 HHU983072:HHU983073 HRQ983072:HRQ983073 IBM983072:IBM983073 ILI983072:ILI983073 IVE983072:IVE983073 JFA983072:JFA983073 JOW983072:JOW983073 JYS983072:JYS983073 KIO983072:KIO983073 KSK983072:KSK983073 LCG983072:LCG983073 LMC983072:LMC983073 LVY983072:LVY983073 MFU983072:MFU983073 MPQ983072:MPQ983073 MZM983072:MZM983073 NJI983072:NJI983073 NTE983072:NTE983073 ODA983072:ODA983073 OMW983072:OMW983073 OWS983072:OWS983073 PGO983072:PGO983073 PQK983072:PQK983073 QAG983072:QAG983073 QKC983072:QKC983073 QTY983072:QTY983073 RDU983072:RDU983073 RNQ983072:RNQ983073 RXM983072:RXM983073 SHI983072:SHI983073 SRE983072:SRE983073 TBA983072:TBA983073 TKW983072:TKW983073 TUS983072:TUS983073 UEO983072:UEO983073 UOK983072:UOK983073 UYG983072:UYG983073 VIC983072:VIC983073 VRY983072:VRY983073 WBU983072:WBU983073 WLQ983072:WLQ983073 WVM983072:WVM983073 Q32 JM32 TI32 ADE32 ANA32 AWW32 BGS32 BQO32 CAK32 CKG32 CUC32 DDY32 DNU32 DXQ32 EHM32 ERI32 FBE32 FLA32 FUW32 GES32 GOO32 GYK32 HIG32 HSC32 IBY32 ILU32 IVQ32 JFM32 JPI32 JZE32 KJA32 KSW32 LCS32 LMO32 LWK32 MGG32 MQC32 MZY32 NJU32 NTQ32 ODM32 ONI32 OXE32 PHA32 PQW32 QAS32 QKO32 QUK32 REG32 ROC32 RXY32 SHU32 SRQ32 TBM32 TLI32 TVE32 UFA32 UOW32 UYS32 VIO32 VSK32 WCG32 WMC32 WVY32 Q65568 JM65568 TI65568 ADE65568 ANA65568 AWW65568 BGS65568 BQO65568 CAK65568 CKG65568 CUC65568 DDY65568 DNU65568 DXQ65568 EHM65568 ERI65568 FBE65568 FLA65568 FUW65568 GES65568 GOO65568 GYK65568 HIG65568 HSC65568 IBY65568 ILU65568 IVQ65568 JFM65568 JPI65568 JZE65568 KJA65568 KSW65568 LCS65568 LMO65568 LWK65568 MGG65568 MQC65568 MZY65568 NJU65568 NTQ65568 ODM65568 ONI65568 OXE65568 PHA65568 PQW65568 QAS65568 QKO65568 QUK65568 REG65568 ROC65568 RXY65568 SHU65568 SRQ65568 TBM65568 TLI65568 TVE65568 UFA65568 UOW65568 UYS65568 VIO65568 VSK65568 WCG65568 WMC65568 WVY65568 Q131104 JM131104 TI131104 ADE131104 ANA131104 AWW131104 BGS131104 BQO131104 CAK131104 CKG131104 CUC131104 DDY131104 DNU131104 DXQ131104 EHM131104 ERI131104 FBE131104 FLA131104 FUW131104 GES131104 GOO131104 GYK131104 HIG131104 HSC131104 IBY131104 ILU131104 IVQ131104 JFM131104 JPI131104 JZE131104 KJA131104 KSW131104 LCS131104 LMO131104 LWK131104 MGG131104 MQC131104 MZY131104 NJU131104 NTQ131104 ODM131104 ONI131104 OXE131104 PHA131104 PQW131104 QAS131104 QKO131104 QUK131104 REG131104 ROC131104 RXY131104 SHU131104 SRQ131104 TBM131104 TLI131104 TVE131104 UFA131104 UOW131104 UYS131104 VIO131104 VSK131104 WCG131104 WMC131104 WVY131104 Q196640 JM196640 TI196640 ADE196640 ANA196640 AWW196640 BGS196640 BQO196640 CAK196640 CKG196640 CUC196640 DDY196640 DNU196640 DXQ196640 EHM196640 ERI196640 FBE196640 FLA196640 FUW196640 GES196640 GOO196640 GYK196640 HIG196640 HSC196640 IBY196640 ILU196640 IVQ196640 JFM196640 JPI196640 JZE196640 KJA196640 KSW196640 LCS196640 LMO196640 LWK196640 MGG196640 MQC196640 MZY196640 NJU196640 NTQ196640 ODM196640 ONI196640 OXE196640 PHA196640 PQW196640 QAS196640 QKO196640 QUK196640 REG196640 ROC196640 RXY196640 SHU196640 SRQ196640 TBM196640 TLI196640 TVE196640 UFA196640 UOW196640 UYS196640 VIO196640 VSK196640 WCG196640 WMC196640 WVY196640 Q262176 JM262176 TI262176 ADE262176 ANA262176 AWW262176 BGS262176 BQO262176 CAK262176 CKG262176 CUC262176 DDY262176 DNU262176 DXQ262176 EHM262176 ERI262176 FBE262176 FLA262176 FUW262176 GES262176 GOO262176 GYK262176 HIG262176 HSC262176 IBY262176 ILU262176 IVQ262176 JFM262176 JPI262176 JZE262176 KJA262176 KSW262176 LCS262176 LMO262176 LWK262176 MGG262176 MQC262176 MZY262176 NJU262176 NTQ262176 ODM262176 ONI262176 OXE262176 PHA262176 PQW262176 QAS262176 QKO262176 QUK262176 REG262176 ROC262176 RXY262176 SHU262176 SRQ262176 TBM262176 TLI262176 TVE262176 UFA262176 UOW262176 UYS262176 VIO262176 VSK262176 WCG262176 WMC262176 WVY262176 Q327712 JM327712 TI327712 ADE327712 ANA327712 AWW327712 BGS327712 BQO327712 CAK327712 CKG327712 CUC327712 DDY327712 DNU327712 DXQ327712 EHM327712 ERI327712 FBE327712 FLA327712 FUW327712 GES327712 GOO327712 GYK327712 HIG327712 HSC327712 IBY327712 ILU327712 IVQ327712 JFM327712 JPI327712 JZE327712 KJA327712 KSW327712 LCS327712 LMO327712 LWK327712 MGG327712 MQC327712 MZY327712 NJU327712 NTQ327712 ODM327712 ONI327712 OXE327712 PHA327712 PQW327712 QAS327712 QKO327712 QUK327712 REG327712 ROC327712 RXY327712 SHU327712 SRQ327712 TBM327712 TLI327712 TVE327712 UFA327712 UOW327712 UYS327712 VIO327712 VSK327712 WCG327712 WMC327712 WVY327712 Q393248 JM393248 TI393248 ADE393248 ANA393248 AWW393248 BGS393248 BQO393248 CAK393248 CKG393248 CUC393248 DDY393248 DNU393248 DXQ393248 EHM393248 ERI393248 FBE393248 FLA393248 FUW393248 GES393248 GOO393248 GYK393248 HIG393248 HSC393248 IBY393248 ILU393248 IVQ393248 JFM393248 JPI393248 JZE393248 KJA393248 KSW393248 LCS393248 LMO393248 LWK393248 MGG393248 MQC393248 MZY393248 NJU393248 NTQ393248 ODM393248 ONI393248 OXE393248 PHA393248 PQW393248 QAS393248 QKO393248 QUK393248 REG393248 ROC393248 RXY393248 SHU393248 SRQ393248 TBM393248 TLI393248 TVE393248 UFA393248 UOW393248 UYS393248 VIO393248 VSK393248 WCG393248 WMC393248 WVY393248 Q458784 JM458784 TI458784 ADE458784 ANA458784 AWW458784 BGS458784 BQO458784 CAK458784 CKG458784 CUC458784 DDY458784 DNU458784 DXQ458784 EHM458784 ERI458784 FBE458784 FLA458784 FUW458784 GES458784 GOO458784 GYK458784 HIG458784 HSC458784 IBY458784 ILU458784 IVQ458784 JFM458784 JPI458784 JZE458784 KJA458784 KSW458784 LCS458784 LMO458784 LWK458784 MGG458784 MQC458784 MZY458784 NJU458784 NTQ458784 ODM458784 ONI458784 OXE458784 PHA458784 PQW458784 QAS458784 QKO458784 QUK458784 REG458784 ROC458784 RXY458784 SHU458784 SRQ458784 TBM458784 TLI458784 TVE458784 UFA458784 UOW458784 UYS458784 VIO458784 VSK458784 WCG458784 WMC458784 WVY458784 Q524320 JM524320 TI524320 ADE524320 ANA524320 AWW524320 BGS524320 BQO524320 CAK524320 CKG524320 CUC524320 DDY524320 DNU524320 DXQ524320 EHM524320 ERI524320 FBE524320 FLA524320 FUW524320 GES524320 GOO524320 GYK524320 HIG524320 HSC524320 IBY524320 ILU524320 IVQ524320 JFM524320 JPI524320 JZE524320 KJA524320 KSW524320 LCS524320 LMO524320 LWK524320 MGG524320 MQC524320 MZY524320 NJU524320 NTQ524320 ODM524320 ONI524320 OXE524320 PHA524320 PQW524320 QAS524320 QKO524320 QUK524320 REG524320 ROC524320 RXY524320 SHU524320 SRQ524320 TBM524320 TLI524320 TVE524320 UFA524320 UOW524320 UYS524320 VIO524320 VSK524320 WCG524320 WMC524320 WVY524320 Q589856 JM589856 TI589856 ADE589856 ANA589856 AWW589856 BGS589856 BQO589856 CAK589856 CKG589856 CUC589856 DDY589856 DNU589856 DXQ589856 EHM589856 ERI589856 FBE589856 FLA589856 FUW589856 GES589856 GOO589856 GYK589856 HIG589856 HSC589856 IBY589856 ILU589856 IVQ589856 JFM589856 JPI589856 JZE589856 KJA589856 KSW589856 LCS589856 LMO589856 LWK589856 MGG589856 MQC589856 MZY589856 NJU589856 NTQ589856 ODM589856 ONI589856 OXE589856 PHA589856 PQW589856 QAS589856 QKO589856 QUK589856 REG589856 ROC589856 RXY589856 SHU589856 SRQ589856 TBM589856 TLI589856 TVE589856 UFA589856 UOW589856 UYS589856 VIO589856 VSK589856 WCG589856 WMC589856 WVY589856 Q655392 JM655392 TI655392 ADE655392 ANA655392 AWW655392 BGS655392 BQO655392 CAK655392 CKG655392 CUC655392 DDY655392 DNU655392 DXQ655392 EHM655392 ERI655392 FBE655392 FLA655392 FUW655392 GES655392 GOO655392 GYK655392 HIG655392 HSC655392 IBY655392 ILU655392 IVQ655392 JFM655392 JPI655392 JZE655392 KJA655392 KSW655392 LCS655392 LMO655392 LWK655392 MGG655392 MQC655392 MZY655392 NJU655392 NTQ655392 ODM655392 ONI655392 OXE655392 PHA655392 PQW655392 QAS655392 QKO655392 QUK655392 REG655392 ROC655392 RXY655392 SHU655392 SRQ655392 TBM655392 TLI655392 TVE655392 UFA655392 UOW655392 UYS655392 VIO655392 VSK655392 WCG655392 WMC655392 WVY655392 Q720928 JM720928 TI720928 ADE720928 ANA720928 AWW720928 BGS720928 BQO720928 CAK720928 CKG720928 CUC720928 DDY720928 DNU720928 DXQ720928 EHM720928 ERI720928 FBE720928 FLA720928 FUW720928 GES720928 GOO720928 GYK720928 HIG720928 HSC720928 IBY720928 ILU720928 IVQ720928 JFM720928 JPI720928 JZE720928 KJA720928 KSW720928 LCS720928 LMO720928 LWK720928 MGG720928 MQC720928 MZY720928 NJU720928 NTQ720928 ODM720928 ONI720928 OXE720928 PHA720928 PQW720928 QAS720928 QKO720928 QUK720928 REG720928 ROC720928 RXY720928 SHU720928 SRQ720928 TBM720928 TLI720928 TVE720928 UFA720928 UOW720928 UYS720928 VIO720928 VSK720928 WCG720928 WMC720928 WVY720928 Q786464 JM786464 TI786464 ADE786464 ANA786464 AWW786464 BGS786464 BQO786464 CAK786464 CKG786464 CUC786464 DDY786464 DNU786464 DXQ786464 EHM786464 ERI786464 FBE786464 FLA786464 FUW786464 GES786464 GOO786464 GYK786464 HIG786464 HSC786464 IBY786464 ILU786464 IVQ786464 JFM786464 JPI786464 JZE786464 KJA786464 KSW786464 LCS786464 LMO786464 LWK786464 MGG786464 MQC786464 MZY786464 NJU786464 NTQ786464 ODM786464 ONI786464 OXE786464 PHA786464 PQW786464 QAS786464 QKO786464 QUK786464 REG786464 ROC786464 RXY786464 SHU786464 SRQ786464 TBM786464 TLI786464 TVE786464 UFA786464 UOW786464 UYS786464 VIO786464 VSK786464 WCG786464 WMC786464 WVY786464 Q852000 JM852000 TI852000 ADE852000 ANA852000 AWW852000 BGS852000 BQO852000 CAK852000 CKG852000 CUC852000 DDY852000 DNU852000 DXQ852000 EHM852000 ERI852000 FBE852000 FLA852000 FUW852000 GES852000 GOO852000 GYK852000 HIG852000 HSC852000 IBY852000 ILU852000 IVQ852000 JFM852000 JPI852000 JZE852000 KJA852000 KSW852000 LCS852000 LMO852000 LWK852000 MGG852000 MQC852000 MZY852000 NJU852000 NTQ852000 ODM852000 ONI852000 OXE852000 PHA852000 PQW852000 QAS852000 QKO852000 QUK852000 REG852000 ROC852000 RXY852000 SHU852000 SRQ852000 TBM852000 TLI852000 TVE852000 UFA852000 UOW852000 UYS852000 VIO852000 VSK852000 WCG852000 WMC852000 WVY852000 Q917536 JM917536 TI917536 ADE917536 ANA917536 AWW917536 BGS917536 BQO917536 CAK917536 CKG917536 CUC917536 DDY917536 DNU917536 DXQ917536 EHM917536 ERI917536 FBE917536 FLA917536 FUW917536 GES917536 GOO917536 GYK917536 HIG917536 HSC917536 IBY917536 ILU917536 IVQ917536 JFM917536 JPI917536 JZE917536 KJA917536 KSW917536 LCS917536 LMO917536 LWK917536 MGG917536 MQC917536 MZY917536 NJU917536 NTQ917536 ODM917536 ONI917536 OXE917536 PHA917536 PQW917536 QAS917536 QKO917536 QUK917536 REG917536 ROC917536 RXY917536 SHU917536 SRQ917536 TBM917536 TLI917536 TVE917536 UFA917536 UOW917536 UYS917536 VIO917536 VSK917536 WCG917536 WMC917536 WVY917536 Q983072 JM983072 TI983072 ADE983072 ANA983072 AWW983072 BGS983072 BQO983072 CAK983072 CKG983072 CUC983072 DDY983072 DNU983072 DXQ983072 EHM983072 ERI983072 FBE983072 FLA983072 FUW983072 GES983072 GOO983072 GYK983072 HIG983072 HSC983072 IBY983072 ILU983072 IVQ983072 JFM983072 JPI983072 JZE983072 KJA983072 KSW983072 LCS983072 LMO983072 LWK983072 MGG983072 MQC983072 MZY983072 NJU983072 NTQ983072 ODM983072 ONI983072 OXE983072 PHA983072 PQW983072 QAS983072 QKO983072 QUK983072 REG983072 ROC983072 RXY983072 SHU983072 SRQ983072 TBM983072 TLI983072 TVE983072 UFA983072 UOW983072 UYS983072 VIO983072 VSK983072 WCG983072 WMC983072 WVY983072 H32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H65568 JD65568 SZ65568 ACV65568 AMR65568 AWN65568 BGJ65568 BQF65568 CAB65568 CJX65568 CTT65568 DDP65568 DNL65568 DXH65568 EHD65568 EQZ65568 FAV65568 FKR65568 FUN65568 GEJ65568 GOF65568 GYB65568 HHX65568 HRT65568 IBP65568 ILL65568 IVH65568 JFD65568 JOZ65568 JYV65568 KIR65568 KSN65568 LCJ65568 LMF65568 LWB65568 MFX65568 MPT65568 MZP65568 NJL65568 NTH65568 ODD65568 OMZ65568 OWV65568 PGR65568 PQN65568 QAJ65568 QKF65568 QUB65568 RDX65568 RNT65568 RXP65568 SHL65568 SRH65568 TBD65568 TKZ65568 TUV65568 UER65568 UON65568 UYJ65568 VIF65568 VSB65568 WBX65568 WLT65568 WVP65568 H131104 JD131104 SZ131104 ACV131104 AMR131104 AWN131104 BGJ131104 BQF131104 CAB131104 CJX131104 CTT131104 DDP131104 DNL131104 DXH131104 EHD131104 EQZ131104 FAV131104 FKR131104 FUN131104 GEJ131104 GOF131104 GYB131104 HHX131104 HRT131104 IBP131104 ILL131104 IVH131104 JFD131104 JOZ131104 JYV131104 KIR131104 KSN131104 LCJ131104 LMF131104 LWB131104 MFX131104 MPT131104 MZP131104 NJL131104 NTH131104 ODD131104 OMZ131104 OWV131104 PGR131104 PQN131104 QAJ131104 QKF131104 QUB131104 RDX131104 RNT131104 RXP131104 SHL131104 SRH131104 TBD131104 TKZ131104 TUV131104 UER131104 UON131104 UYJ131104 VIF131104 VSB131104 WBX131104 WLT131104 WVP131104 H196640 JD196640 SZ196640 ACV196640 AMR196640 AWN196640 BGJ196640 BQF196640 CAB196640 CJX196640 CTT196640 DDP196640 DNL196640 DXH196640 EHD196640 EQZ196640 FAV196640 FKR196640 FUN196640 GEJ196640 GOF196640 GYB196640 HHX196640 HRT196640 IBP196640 ILL196640 IVH196640 JFD196640 JOZ196640 JYV196640 KIR196640 KSN196640 LCJ196640 LMF196640 LWB196640 MFX196640 MPT196640 MZP196640 NJL196640 NTH196640 ODD196640 OMZ196640 OWV196640 PGR196640 PQN196640 QAJ196640 QKF196640 QUB196640 RDX196640 RNT196640 RXP196640 SHL196640 SRH196640 TBD196640 TKZ196640 TUV196640 UER196640 UON196640 UYJ196640 VIF196640 VSB196640 WBX196640 WLT196640 WVP196640 H262176 JD262176 SZ262176 ACV262176 AMR262176 AWN262176 BGJ262176 BQF262176 CAB262176 CJX262176 CTT262176 DDP262176 DNL262176 DXH262176 EHD262176 EQZ262176 FAV262176 FKR262176 FUN262176 GEJ262176 GOF262176 GYB262176 HHX262176 HRT262176 IBP262176 ILL262176 IVH262176 JFD262176 JOZ262176 JYV262176 KIR262176 KSN262176 LCJ262176 LMF262176 LWB262176 MFX262176 MPT262176 MZP262176 NJL262176 NTH262176 ODD262176 OMZ262176 OWV262176 PGR262176 PQN262176 QAJ262176 QKF262176 QUB262176 RDX262176 RNT262176 RXP262176 SHL262176 SRH262176 TBD262176 TKZ262176 TUV262176 UER262176 UON262176 UYJ262176 VIF262176 VSB262176 WBX262176 WLT262176 WVP262176 H327712 JD327712 SZ327712 ACV327712 AMR327712 AWN327712 BGJ327712 BQF327712 CAB327712 CJX327712 CTT327712 DDP327712 DNL327712 DXH327712 EHD327712 EQZ327712 FAV327712 FKR327712 FUN327712 GEJ327712 GOF327712 GYB327712 HHX327712 HRT327712 IBP327712 ILL327712 IVH327712 JFD327712 JOZ327712 JYV327712 KIR327712 KSN327712 LCJ327712 LMF327712 LWB327712 MFX327712 MPT327712 MZP327712 NJL327712 NTH327712 ODD327712 OMZ327712 OWV327712 PGR327712 PQN327712 QAJ327712 QKF327712 QUB327712 RDX327712 RNT327712 RXP327712 SHL327712 SRH327712 TBD327712 TKZ327712 TUV327712 UER327712 UON327712 UYJ327712 VIF327712 VSB327712 WBX327712 WLT327712 WVP327712 H393248 JD393248 SZ393248 ACV393248 AMR393248 AWN393248 BGJ393248 BQF393248 CAB393248 CJX393248 CTT393248 DDP393248 DNL393248 DXH393248 EHD393248 EQZ393248 FAV393248 FKR393248 FUN393248 GEJ393248 GOF393248 GYB393248 HHX393248 HRT393248 IBP393248 ILL393248 IVH393248 JFD393248 JOZ393248 JYV393248 KIR393248 KSN393248 LCJ393248 LMF393248 LWB393248 MFX393248 MPT393248 MZP393248 NJL393248 NTH393248 ODD393248 OMZ393248 OWV393248 PGR393248 PQN393248 QAJ393248 QKF393248 QUB393248 RDX393248 RNT393248 RXP393248 SHL393248 SRH393248 TBD393248 TKZ393248 TUV393248 UER393248 UON393248 UYJ393248 VIF393248 VSB393248 WBX393248 WLT393248 WVP393248 H458784 JD458784 SZ458784 ACV458784 AMR458784 AWN458784 BGJ458784 BQF458784 CAB458784 CJX458784 CTT458784 DDP458784 DNL458784 DXH458784 EHD458784 EQZ458784 FAV458784 FKR458784 FUN458784 GEJ458784 GOF458784 GYB458784 HHX458784 HRT458784 IBP458784 ILL458784 IVH458784 JFD458784 JOZ458784 JYV458784 KIR458784 KSN458784 LCJ458784 LMF458784 LWB458784 MFX458784 MPT458784 MZP458784 NJL458784 NTH458784 ODD458784 OMZ458784 OWV458784 PGR458784 PQN458784 QAJ458784 QKF458784 QUB458784 RDX458784 RNT458784 RXP458784 SHL458784 SRH458784 TBD458784 TKZ458784 TUV458784 UER458784 UON458784 UYJ458784 VIF458784 VSB458784 WBX458784 WLT458784 WVP458784 H524320 JD524320 SZ524320 ACV524320 AMR524320 AWN524320 BGJ524320 BQF524320 CAB524320 CJX524320 CTT524320 DDP524320 DNL524320 DXH524320 EHD524320 EQZ524320 FAV524320 FKR524320 FUN524320 GEJ524320 GOF524320 GYB524320 HHX524320 HRT524320 IBP524320 ILL524320 IVH524320 JFD524320 JOZ524320 JYV524320 KIR524320 KSN524320 LCJ524320 LMF524320 LWB524320 MFX524320 MPT524320 MZP524320 NJL524320 NTH524320 ODD524320 OMZ524320 OWV524320 PGR524320 PQN524320 QAJ524320 QKF524320 QUB524320 RDX524320 RNT524320 RXP524320 SHL524320 SRH524320 TBD524320 TKZ524320 TUV524320 UER524320 UON524320 UYJ524320 VIF524320 VSB524320 WBX524320 WLT524320 WVP524320 H589856 JD589856 SZ589856 ACV589856 AMR589856 AWN589856 BGJ589856 BQF589856 CAB589856 CJX589856 CTT589856 DDP589856 DNL589856 DXH589856 EHD589856 EQZ589856 FAV589856 FKR589856 FUN589856 GEJ589856 GOF589856 GYB589856 HHX589856 HRT589856 IBP589856 ILL589856 IVH589856 JFD589856 JOZ589856 JYV589856 KIR589856 KSN589856 LCJ589856 LMF589856 LWB589856 MFX589856 MPT589856 MZP589856 NJL589856 NTH589856 ODD589856 OMZ589856 OWV589856 PGR589856 PQN589856 QAJ589856 QKF589856 QUB589856 RDX589856 RNT589856 RXP589856 SHL589856 SRH589856 TBD589856 TKZ589856 TUV589856 UER589856 UON589856 UYJ589856 VIF589856 VSB589856 WBX589856 WLT589856 WVP589856 H655392 JD655392 SZ655392 ACV655392 AMR655392 AWN655392 BGJ655392 BQF655392 CAB655392 CJX655392 CTT655392 DDP655392 DNL655392 DXH655392 EHD655392 EQZ655392 FAV655392 FKR655392 FUN655392 GEJ655392 GOF655392 GYB655392 HHX655392 HRT655392 IBP655392 ILL655392 IVH655392 JFD655392 JOZ655392 JYV655392 KIR655392 KSN655392 LCJ655392 LMF655392 LWB655392 MFX655392 MPT655392 MZP655392 NJL655392 NTH655392 ODD655392 OMZ655392 OWV655392 PGR655392 PQN655392 QAJ655392 QKF655392 QUB655392 RDX655392 RNT655392 RXP655392 SHL655392 SRH655392 TBD655392 TKZ655392 TUV655392 UER655392 UON655392 UYJ655392 VIF655392 VSB655392 WBX655392 WLT655392 WVP655392 H720928 JD720928 SZ720928 ACV720928 AMR720928 AWN720928 BGJ720928 BQF720928 CAB720928 CJX720928 CTT720928 DDP720928 DNL720928 DXH720928 EHD720928 EQZ720928 FAV720928 FKR720928 FUN720928 GEJ720928 GOF720928 GYB720928 HHX720928 HRT720928 IBP720928 ILL720928 IVH720928 JFD720928 JOZ720928 JYV720928 KIR720928 KSN720928 LCJ720928 LMF720928 LWB720928 MFX720928 MPT720928 MZP720928 NJL720928 NTH720928 ODD720928 OMZ720928 OWV720928 PGR720928 PQN720928 QAJ720928 QKF720928 QUB720928 RDX720928 RNT720928 RXP720928 SHL720928 SRH720928 TBD720928 TKZ720928 TUV720928 UER720928 UON720928 UYJ720928 VIF720928 VSB720928 WBX720928 WLT720928 WVP720928 H786464 JD786464 SZ786464 ACV786464 AMR786464 AWN786464 BGJ786464 BQF786464 CAB786464 CJX786464 CTT786464 DDP786464 DNL786464 DXH786464 EHD786464 EQZ786464 FAV786464 FKR786464 FUN786464 GEJ786464 GOF786464 GYB786464 HHX786464 HRT786464 IBP786464 ILL786464 IVH786464 JFD786464 JOZ786464 JYV786464 KIR786464 KSN786464 LCJ786464 LMF786464 LWB786464 MFX786464 MPT786464 MZP786464 NJL786464 NTH786464 ODD786464 OMZ786464 OWV786464 PGR786464 PQN786464 QAJ786464 QKF786464 QUB786464 RDX786464 RNT786464 RXP786464 SHL786464 SRH786464 TBD786464 TKZ786464 TUV786464 UER786464 UON786464 UYJ786464 VIF786464 VSB786464 WBX786464 WLT786464 WVP786464 H852000 JD852000 SZ852000 ACV852000 AMR852000 AWN852000 BGJ852000 BQF852000 CAB852000 CJX852000 CTT852000 DDP852000 DNL852000 DXH852000 EHD852000 EQZ852000 FAV852000 FKR852000 FUN852000 GEJ852000 GOF852000 GYB852000 HHX852000 HRT852000 IBP852000 ILL852000 IVH852000 JFD852000 JOZ852000 JYV852000 KIR852000 KSN852000 LCJ852000 LMF852000 LWB852000 MFX852000 MPT852000 MZP852000 NJL852000 NTH852000 ODD852000 OMZ852000 OWV852000 PGR852000 PQN852000 QAJ852000 QKF852000 QUB852000 RDX852000 RNT852000 RXP852000 SHL852000 SRH852000 TBD852000 TKZ852000 TUV852000 UER852000 UON852000 UYJ852000 VIF852000 VSB852000 WBX852000 WLT852000 WVP852000 H917536 JD917536 SZ917536 ACV917536 AMR917536 AWN917536 BGJ917536 BQF917536 CAB917536 CJX917536 CTT917536 DDP917536 DNL917536 DXH917536 EHD917536 EQZ917536 FAV917536 FKR917536 FUN917536 GEJ917536 GOF917536 GYB917536 HHX917536 HRT917536 IBP917536 ILL917536 IVH917536 JFD917536 JOZ917536 JYV917536 KIR917536 KSN917536 LCJ917536 LMF917536 LWB917536 MFX917536 MPT917536 MZP917536 NJL917536 NTH917536 ODD917536 OMZ917536 OWV917536 PGR917536 PQN917536 QAJ917536 QKF917536 QUB917536 RDX917536 RNT917536 RXP917536 SHL917536 SRH917536 TBD917536 TKZ917536 TUV917536 UER917536 UON917536 UYJ917536 VIF917536 VSB917536 WBX917536 WLT917536 WVP917536 H983072 JD983072 SZ983072 ACV983072 AMR983072 AWN983072 BGJ983072 BQF983072 CAB983072 CJX983072 CTT983072 DDP983072 DNL983072 DXH983072 EHD983072 EQZ983072 FAV983072 FKR983072 FUN983072 GEJ983072 GOF983072 GYB983072 HHX983072 HRT983072 IBP983072 ILL983072 IVH983072 JFD983072 JOZ983072 JYV983072 KIR983072 KSN983072 LCJ983072 LMF983072 LWB983072 MFX983072 MPT983072 MZP983072 NJL983072 NTH983072 ODD983072 OMZ983072 OWV983072 PGR983072 PQN983072 QAJ983072 QKF983072 QUB983072 RDX983072 RNT983072 RXP983072 SHL983072 SRH983072 TBD983072 TKZ983072 TUV983072 UER983072 UON983072 UYJ983072 VIF983072 VSB983072 WBX983072 WLT983072 WVP983072 K32:K33 JG32:JG33 TC32:TC33 ACY32:ACY33 AMU32:AMU33 AWQ32:AWQ33 BGM32:BGM33 BQI32:BQI33 CAE32:CAE33 CKA32:CKA33 CTW32:CTW33 DDS32:DDS33 DNO32:DNO33 DXK32:DXK33 EHG32:EHG33 ERC32:ERC33 FAY32:FAY33 FKU32:FKU33 FUQ32:FUQ33 GEM32:GEM33 GOI32:GOI33 GYE32:GYE33 HIA32:HIA33 HRW32:HRW33 IBS32:IBS33 ILO32:ILO33 IVK32:IVK33 JFG32:JFG33 JPC32:JPC33 JYY32:JYY33 KIU32:KIU33 KSQ32:KSQ33 LCM32:LCM33 LMI32:LMI33 LWE32:LWE33 MGA32:MGA33 MPW32:MPW33 MZS32:MZS33 NJO32:NJO33 NTK32:NTK33 ODG32:ODG33 ONC32:ONC33 OWY32:OWY33 PGU32:PGU33 PQQ32:PQQ33 QAM32:QAM33 QKI32:QKI33 QUE32:QUE33 REA32:REA33 RNW32:RNW33 RXS32:RXS33 SHO32:SHO33 SRK32:SRK33 TBG32:TBG33 TLC32:TLC33 TUY32:TUY33 UEU32:UEU33 UOQ32:UOQ33 UYM32:UYM33 VII32:VII33 VSE32:VSE33 WCA32:WCA33 WLW32:WLW33 WVS32:WVS33 K65568:K65569 JG65568:JG65569 TC65568:TC65569 ACY65568:ACY65569 AMU65568:AMU65569 AWQ65568:AWQ65569 BGM65568:BGM65569 BQI65568:BQI65569 CAE65568:CAE65569 CKA65568:CKA65569 CTW65568:CTW65569 DDS65568:DDS65569 DNO65568:DNO65569 DXK65568:DXK65569 EHG65568:EHG65569 ERC65568:ERC65569 FAY65568:FAY65569 FKU65568:FKU65569 FUQ65568:FUQ65569 GEM65568:GEM65569 GOI65568:GOI65569 GYE65568:GYE65569 HIA65568:HIA65569 HRW65568:HRW65569 IBS65568:IBS65569 ILO65568:ILO65569 IVK65568:IVK65569 JFG65568:JFG65569 JPC65568:JPC65569 JYY65568:JYY65569 KIU65568:KIU65569 KSQ65568:KSQ65569 LCM65568:LCM65569 LMI65568:LMI65569 LWE65568:LWE65569 MGA65568:MGA65569 MPW65568:MPW65569 MZS65568:MZS65569 NJO65568:NJO65569 NTK65568:NTK65569 ODG65568:ODG65569 ONC65568:ONC65569 OWY65568:OWY65569 PGU65568:PGU65569 PQQ65568:PQQ65569 QAM65568:QAM65569 QKI65568:QKI65569 QUE65568:QUE65569 REA65568:REA65569 RNW65568:RNW65569 RXS65568:RXS65569 SHO65568:SHO65569 SRK65568:SRK65569 TBG65568:TBG65569 TLC65568:TLC65569 TUY65568:TUY65569 UEU65568:UEU65569 UOQ65568:UOQ65569 UYM65568:UYM65569 VII65568:VII65569 VSE65568:VSE65569 WCA65568:WCA65569 WLW65568:WLW65569 WVS65568:WVS65569 K131104:K131105 JG131104:JG131105 TC131104:TC131105 ACY131104:ACY131105 AMU131104:AMU131105 AWQ131104:AWQ131105 BGM131104:BGM131105 BQI131104:BQI131105 CAE131104:CAE131105 CKA131104:CKA131105 CTW131104:CTW131105 DDS131104:DDS131105 DNO131104:DNO131105 DXK131104:DXK131105 EHG131104:EHG131105 ERC131104:ERC131105 FAY131104:FAY131105 FKU131104:FKU131105 FUQ131104:FUQ131105 GEM131104:GEM131105 GOI131104:GOI131105 GYE131104:GYE131105 HIA131104:HIA131105 HRW131104:HRW131105 IBS131104:IBS131105 ILO131104:ILO131105 IVK131104:IVK131105 JFG131104:JFG131105 JPC131104:JPC131105 JYY131104:JYY131105 KIU131104:KIU131105 KSQ131104:KSQ131105 LCM131104:LCM131105 LMI131104:LMI131105 LWE131104:LWE131105 MGA131104:MGA131105 MPW131104:MPW131105 MZS131104:MZS131105 NJO131104:NJO131105 NTK131104:NTK131105 ODG131104:ODG131105 ONC131104:ONC131105 OWY131104:OWY131105 PGU131104:PGU131105 PQQ131104:PQQ131105 QAM131104:QAM131105 QKI131104:QKI131105 QUE131104:QUE131105 REA131104:REA131105 RNW131104:RNW131105 RXS131104:RXS131105 SHO131104:SHO131105 SRK131104:SRK131105 TBG131104:TBG131105 TLC131104:TLC131105 TUY131104:TUY131105 UEU131104:UEU131105 UOQ131104:UOQ131105 UYM131104:UYM131105 VII131104:VII131105 VSE131104:VSE131105 WCA131104:WCA131105 WLW131104:WLW131105 WVS131104:WVS131105 K196640:K196641 JG196640:JG196641 TC196640:TC196641 ACY196640:ACY196641 AMU196640:AMU196641 AWQ196640:AWQ196641 BGM196640:BGM196641 BQI196640:BQI196641 CAE196640:CAE196641 CKA196640:CKA196641 CTW196640:CTW196641 DDS196640:DDS196641 DNO196640:DNO196641 DXK196640:DXK196641 EHG196640:EHG196641 ERC196640:ERC196641 FAY196640:FAY196641 FKU196640:FKU196641 FUQ196640:FUQ196641 GEM196640:GEM196641 GOI196640:GOI196641 GYE196640:GYE196641 HIA196640:HIA196641 HRW196640:HRW196641 IBS196640:IBS196641 ILO196640:ILO196641 IVK196640:IVK196641 JFG196640:JFG196641 JPC196640:JPC196641 JYY196640:JYY196641 KIU196640:KIU196641 KSQ196640:KSQ196641 LCM196640:LCM196641 LMI196640:LMI196641 LWE196640:LWE196641 MGA196640:MGA196641 MPW196640:MPW196641 MZS196640:MZS196641 NJO196640:NJO196641 NTK196640:NTK196641 ODG196640:ODG196641 ONC196640:ONC196641 OWY196640:OWY196641 PGU196640:PGU196641 PQQ196640:PQQ196641 QAM196640:QAM196641 QKI196640:QKI196641 QUE196640:QUE196641 REA196640:REA196641 RNW196640:RNW196641 RXS196640:RXS196641 SHO196640:SHO196641 SRK196640:SRK196641 TBG196640:TBG196641 TLC196640:TLC196641 TUY196640:TUY196641 UEU196640:UEU196641 UOQ196640:UOQ196641 UYM196640:UYM196641 VII196640:VII196641 VSE196640:VSE196641 WCA196640:WCA196641 WLW196640:WLW196641 WVS196640:WVS196641 K262176:K262177 JG262176:JG262177 TC262176:TC262177 ACY262176:ACY262177 AMU262176:AMU262177 AWQ262176:AWQ262177 BGM262176:BGM262177 BQI262176:BQI262177 CAE262176:CAE262177 CKA262176:CKA262177 CTW262176:CTW262177 DDS262176:DDS262177 DNO262176:DNO262177 DXK262176:DXK262177 EHG262176:EHG262177 ERC262176:ERC262177 FAY262176:FAY262177 FKU262176:FKU262177 FUQ262176:FUQ262177 GEM262176:GEM262177 GOI262176:GOI262177 GYE262176:GYE262177 HIA262176:HIA262177 HRW262176:HRW262177 IBS262176:IBS262177 ILO262176:ILO262177 IVK262176:IVK262177 JFG262176:JFG262177 JPC262176:JPC262177 JYY262176:JYY262177 KIU262176:KIU262177 KSQ262176:KSQ262177 LCM262176:LCM262177 LMI262176:LMI262177 LWE262176:LWE262177 MGA262176:MGA262177 MPW262176:MPW262177 MZS262176:MZS262177 NJO262176:NJO262177 NTK262176:NTK262177 ODG262176:ODG262177 ONC262176:ONC262177 OWY262176:OWY262177 PGU262176:PGU262177 PQQ262176:PQQ262177 QAM262176:QAM262177 QKI262176:QKI262177 QUE262176:QUE262177 REA262176:REA262177 RNW262176:RNW262177 RXS262176:RXS262177 SHO262176:SHO262177 SRK262176:SRK262177 TBG262176:TBG262177 TLC262176:TLC262177 TUY262176:TUY262177 UEU262176:UEU262177 UOQ262176:UOQ262177 UYM262176:UYM262177 VII262176:VII262177 VSE262176:VSE262177 WCA262176:WCA262177 WLW262176:WLW262177 WVS262176:WVS262177 K327712:K327713 JG327712:JG327713 TC327712:TC327713 ACY327712:ACY327713 AMU327712:AMU327713 AWQ327712:AWQ327713 BGM327712:BGM327713 BQI327712:BQI327713 CAE327712:CAE327713 CKA327712:CKA327713 CTW327712:CTW327713 DDS327712:DDS327713 DNO327712:DNO327713 DXK327712:DXK327713 EHG327712:EHG327713 ERC327712:ERC327713 FAY327712:FAY327713 FKU327712:FKU327713 FUQ327712:FUQ327713 GEM327712:GEM327713 GOI327712:GOI327713 GYE327712:GYE327713 HIA327712:HIA327713 HRW327712:HRW327713 IBS327712:IBS327713 ILO327712:ILO327713 IVK327712:IVK327713 JFG327712:JFG327713 JPC327712:JPC327713 JYY327712:JYY327713 KIU327712:KIU327713 KSQ327712:KSQ327713 LCM327712:LCM327713 LMI327712:LMI327713 LWE327712:LWE327713 MGA327712:MGA327713 MPW327712:MPW327713 MZS327712:MZS327713 NJO327712:NJO327713 NTK327712:NTK327713 ODG327712:ODG327713 ONC327712:ONC327713 OWY327712:OWY327713 PGU327712:PGU327713 PQQ327712:PQQ327713 QAM327712:QAM327713 QKI327712:QKI327713 QUE327712:QUE327713 REA327712:REA327713 RNW327712:RNW327713 RXS327712:RXS327713 SHO327712:SHO327713 SRK327712:SRK327713 TBG327712:TBG327713 TLC327712:TLC327713 TUY327712:TUY327713 UEU327712:UEU327713 UOQ327712:UOQ327713 UYM327712:UYM327713 VII327712:VII327713 VSE327712:VSE327713 WCA327712:WCA327713 WLW327712:WLW327713 WVS327712:WVS327713 K393248:K393249 JG393248:JG393249 TC393248:TC393249 ACY393248:ACY393249 AMU393248:AMU393249 AWQ393248:AWQ393249 BGM393248:BGM393249 BQI393248:BQI393249 CAE393248:CAE393249 CKA393248:CKA393249 CTW393248:CTW393249 DDS393248:DDS393249 DNO393248:DNO393249 DXK393248:DXK393249 EHG393248:EHG393249 ERC393248:ERC393249 FAY393248:FAY393249 FKU393248:FKU393249 FUQ393248:FUQ393249 GEM393248:GEM393249 GOI393248:GOI393249 GYE393248:GYE393249 HIA393248:HIA393249 HRW393248:HRW393249 IBS393248:IBS393249 ILO393248:ILO393249 IVK393248:IVK393249 JFG393248:JFG393249 JPC393248:JPC393249 JYY393248:JYY393249 KIU393248:KIU393249 KSQ393248:KSQ393249 LCM393248:LCM393249 LMI393248:LMI393249 LWE393248:LWE393249 MGA393248:MGA393249 MPW393248:MPW393249 MZS393248:MZS393249 NJO393248:NJO393249 NTK393248:NTK393249 ODG393248:ODG393249 ONC393248:ONC393249 OWY393248:OWY393249 PGU393248:PGU393249 PQQ393248:PQQ393249 QAM393248:QAM393249 QKI393248:QKI393249 QUE393248:QUE393249 REA393248:REA393249 RNW393248:RNW393249 RXS393248:RXS393249 SHO393248:SHO393249 SRK393248:SRK393249 TBG393248:TBG393249 TLC393248:TLC393249 TUY393248:TUY393249 UEU393248:UEU393249 UOQ393248:UOQ393249 UYM393248:UYM393249 VII393248:VII393249 VSE393248:VSE393249 WCA393248:WCA393249 WLW393248:WLW393249 WVS393248:WVS393249 K458784:K458785 JG458784:JG458785 TC458784:TC458785 ACY458784:ACY458785 AMU458784:AMU458785 AWQ458784:AWQ458785 BGM458784:BGM458785 BQI458784:BQI458785 CAE458784:CAE458785 CKA458784:CKA458785 CTW458784:CTW458785 DDS458784:DDS458785 DNO458784:DNO458785 DXK458784:DXK458785 EHG458784:EHG458785 ERC458784:ERC458785 FAY458784:FAY458785 FKU458784:FKU458785 FUQ458784:FUQ458785 GEM458784:GEM458785 GOI458784:GOI458785 GYE458784:GYE458785 HIA458784:HIA458785 HRW458784:HRW458785 IBS458784:IBS458785 ILO458784:ILO458785 IVK458784:IVK458785 JFG458784:JFG458785 JPC458784:JPC458785 JYY458784:JYY458785 KIU458784:KIU458785 KSQ458784:KSQ458785 LCM458784:LCM458785 LMI458784:LMI458785 LWE458784:LWE458785 MGA458784:MGA458785 MPW458784:MPW458785 MZS458784:MZS458785 NJO458784:NJO458785 NTK458784:NTK458785 ODG458784:ODG458785 ONC458784:ONC458785 OWY458784:OWY458785 PGU458784:PGU458785 PQQ458784:PQQ458785 QAM458784:QAM458785 QKI458784:QKI458785 QUE458784:QUE458785 REA458784:REA458785 RNW458784:RNW458785 RXS458784:RXS458785 SHO458784:SHO458785 SRK458784:SRK458785 TBG458784:TBG458785 TLC458784:TLC458785 TUY458784:TUY458785 UEU458784:UEU458785 UOQ458784:UOQ458785 UYM458784:UYM458785 VII458784:VII458785 VSE458784:VSE458785 WCA458784:WCA458785 WLW458784:WLW458785 WVS458784:WVS458785 K524320:K524321 JG524320:JG524321 TC524320:TC524321 ACY524320:ACY524321 AMU524320:AMU524321 AWQ524320:AWQ524321 BGM524320:BGM524321 BQI524320:BQI524321 CAE524320:CAE524321 CKA524320:CKA524321 CTW524320:CTW524321 DDS524320:DDS524321 DNO524320:DNO524321 DXK524320:DXK524321 EHG524320:EHG524321 ERC524320:ERC524321 FAY524320:FAY524321 FKU524320:FKU524321 FUQ524320:FUQ524321 GEM524320:GEM524321 GOI524320:GOI524321 GYE524320:GYE524321 HIA524320:HIA524321 HRW524320:HRW524321 IBS524320:IBS524321 ILO524320:ILO524321 IVK524320:IVK524321 JFG524320:JFG524321 JPC524320:JPC524321 JYY524320:JYY524321 KIU524320:KIU524321 KSQ524320:KSQ524321 LCM524320:LCM524321 LMI524320:LMI524321 LWE524320:LWE524321 MGA524320:MGA524321 MPW524320:MPW524321 MZS524320:MZS524321 NJO524320:NJO524321 NTK524320:NTK524321 ODG524320:ODG524321 ONC524320:ONC524321 OWY524320:OWY524321 PGU524320:PGU524321 PQQ524320:PQQ524321 QAM524320:QAM524321 QKI524320:QKI524321 QUE524320:QUE524321 REA524320:REA524321 RNW524320:RNW524321 RXS524320:RXS524321 SHO524320:SHO524321 SRK524320:SRK524321 TBG524320:TBG524321 TLC524320:TLC524321 TUY524320:TUY524321 UEU524320:UEU524321 UOQ524320:UOQ524321 UYM524320:UYM524321 VII524320:VII524321 VSE524320:VSE524321 WCA524320:WCA524321 WLW524320:WLW524321 WVS524320:WVS524321 K589856:K589857 JG589856:JG589857 TC589856:TC589857 ACY589856:ACY589857 AMU589856:AMU589857 AWQ589856:AWQ589857 BGM589856:BGM589857 BQI589856:BQI589857 CAE589856:CAE589857 CKA589856:CKA589857 CTW589856:CTW589857 DDS589856:DDS589857 DNO589856:DNO589857 DXK589856:DXK589857 EHG589856:EHG589857 ERC589856:ERC589857 FAY589856:FAY589857 FKU589856:FKU589857 FUQ589856:FUQ589857 GEM589856:GEM589857 GOI589856:GOI589857 GYE589856:GYE589857 HIA589856:HIA589857 HRW589856:HRW589857 IBS589856:IBS589857 ILO589856:ILO589857 IVK589856:IVK589857 JFG589856:JFG589857 JPC589856:JPC589857 JYY589856:JYY589857 KIU589856:KIU589857 KSQ589856:KSQ589857 LCM589856:LCM589857 LMI589856:LMI589857 LWE589856:LWE589857 MGA589856:MGA589857 MPW589856:MPW589857 MZS589856:MZS589857 NJO589856:NJO589857 NTK589856:NTK589857 ODG589856:ODG589857 ONC589856:ONC589857 OWY589856:OWY589857 PGU589856:PGU589857 PQQ589856:PQQ589857 QAM589856:QAM589857 QKI589856:QKI589857 QUE589856:QUE589857 REA589856:REA589857 RNW589856:RNW589857 RXS589856:RXS589857 SHO589856:SHO589857 SRK589856:SRK589857 TBG589856:TBG589857 TLC589856:TLC589857 TUY589856:TUY589857 UEU589856:UEU589857 UOQ589856:UOQ589857 UYM589856:UYM589857 VII589856:VII589857 VSE589856:VSE589857 WCA589856:WCA589857 WLW589856:WLW589857 WVS589856:WVS589857 K655392:K655393 JG655392:JG655393 TC655392:TC655393 ACY655392:ACY655393 AMU655392:AMU655393 AWQ655392:AWQ655393 BGM655392:BGM655393 BQI655392:BQI655393 CAE655392:CAE655393 CKA655392:CKA655393 CTW655392:CTW655393 DDS655392:DDS655393 DNO655392:DNO655393 DXK655392:DXK655393 EHG655392:EHG655393 ERC655392:ERC655393 FAY655392:FAY655393 FKU655392:FKU655393 FUQ655392:FUQ655393 GEM655392:GEM655393 GOI655392:GOI655393 GYE655392:GYE655393 HIA655392:HIA655393 HRW655392:HRW655393 IBS655392:IBS655393 ILO655392:ILO655393 IVK655392:IVK655393 JFG655392:JFG655393 JPC655392:JPC655393 JYY655392:JYY655393 KIU655392:KIU655393 KSQ655392:KSQ655393 LCM655392:LCM655393 LMI655392:LMI655393 LWE655392:LWE655393 MGA655392:MGA655393 MPW655392:MPW655393 MZS655392:MZS655393 NJO655392:NJO655393 NTK655392:NTK655393 ODG655392:ODG655393 ONC655392:ONC655393 OWY655392:OWY655393 PGU655392:PGU655393 PQQ655392:PQQ655393 QAM655392:QAM655393 QKI655392:QKI655393 QUE655392:QUE655393 REA655392:REA655393 RNW655392:RNW655393 RXS655392:RXS655393 SHO655392:SHO655393 SRK655392:SRK655393 TBG655392:TBG655393 TLC655392:TLC655393 TUY655392:TUY655393 UEU655392:UEU655393 UOQ655392:UOQ655393 UYM655392:UYM655393 VII655392:VII655393 VSE655392:VSE655393 WCA655392:WCA655393 WLW655392:WLW655393 WVS655392:WVS655393 K720928:K720929 JG720928:JG720929 TC720928:TC720929 ACY720928:ACY720929 AMU720928:AMU720929 AWQ720928:AWQ720929 BGM720928:BGM720929 BQI720928:BQI720929 CAE720928:CAE720929 CKA720928:CKA720929 CTW720928:CTW720929 DDS720928:DDS720929 DNO720928:DNO720929 DXK720928:DXK720929 EHG720928:EHG720929 ERC720928:ERC720929 FAY720928:FAY720929 FKU720928:FKU720929 FUQ720928:FUQ720929 GEM720928:GEM720929 GOI720928:GOI720929 GYE720928:GYE720929 HIA720928:HIA720929 HRW720928:HRW720929 IBS720928:IBS720929 ILO720928:ILO720929 IVK720928:IVK720929 JFG720928:JFG720929 JPC720928:JPC720929 JYY720928:JYY720929 KIU720928:KIU720929 KSQ720928:KSQ720929 LCM720928:LCM720929 LMI720928:LMI720929 LWE720928:LWE720929 MGA720928:MGA720929 MPW720928:MPW720929 MZS720928:MZS720929 NJO720928:NJO720929 NTK720928:NTK720929 ODG720928:ODG720929 ONC720928:ONC720929 OWY720928:OWY720929 PGU720928:PGU720929 PQQ720928:PQQ720929 QAM720928:QAM720929 QKI720928:QKI720929 QUE720928:QUE720929 REA720928:REA720929 RNW720928:RNW720929 RXS720928:RXS720929 SHO720928:SHO720929 SRK720928:SRK720929 TBG720928:TBG720929 TLC720928:TLC720929 TUY720928:TUY720929 UEU720928:UEU720929 UOQ720928:UOQ720929 UYM720928:UYM720929 VII720928:VII720929 VSE720928:VSE720929 WCA720928:WCA720929 WLW720928:WLW720929 WVS720928:WVS720929 K786464:K786465 JG786464:JG786465 TC786464:TC786465 ACY786464:ACY786465 AMU786464:AMU786465 AWQ786464:AWQ786465 BGM786464:BGM786465 BQI786464:BQI786465 CAE786464:CAE786465 CKA786464:CKA786465 CTW786464:CTW786465 DDS786464:DDS786465 DNO786464:DNO786465 DXK786464:DXK786465 EHG786464:EHG786465 ERC786464:ERC786465 FAY786464:FAY786465 FKU786464:FKU786465 FUQ786464:FUQ786465 GEM786464:GEM786465 GOI786464:GOI786465 GYE786464:GYE786465 HIA786464:HIA786465 HRW786464:HRW786465 IBS786464:IBS786465 ILO786464:ILO786465 IVK786464:IVK786465 JFG786464:JFG786465 JPC786464:JPC786465 JYY786464:JYY786465 KIU786464:KIU786465 KSQ786464:KSQ786465 LCM786464:LCM786465 LMI786464:LMI786465 LWE786464:LWE786465 MGA786464:MGA786465 MPW786464:MPW786465 MZS786464:MZS786465 NJO786464:NJO786465 NTK786464:NTK786465 ODG786464:ODG786465 ONC786464:ONC786465 OWY786464:OWY786465 PGU786464:PGU786465 PQQ786464:PQQ786465 QAM786464:QAM786465 QKI786464:QKI786465 QUE786464:QUE786465 REA786464:REA786465 RNW786464:RNW786465 RXS786464:RXS786465 SHO786464:SHO786465 SRK786464:SRK786465 TBG786464:TBG786465 TLC786464:TLC786465 TUY786464:TUY786465 UEU786464:UEU786465 UOQ786464:UOQ786465 UYM786464:UYM786465 VII786464:VII786465 VSE786464:VSE786465 WCA786464:WCA786465 WLW786464:WLW786465 WVS786464:WVS786465 K852000:K852001 JG852000:JG852001 TC852000:TC852001 ACY852000:ACY852001 AMU852000:AMU852001 AWQ852000:AWQ852001 BGM852000:BGM852001 BQI852000:BQI852001 CAE852000:CAE852001 CKA852000:CKA852001 CTW852000:CTW852001 DDS852000:DDS852001 DNO852000:DNO852001 DXK852000:DXK852001 EHG852000:EHG852001 ERC852000:ERC852001 FAY852000:FAY852001 FKU852000:FKU852001 FUQ852000:FUQ852001 GEM852000:GEM852001 GOI852000:GOI852001 GYE852000:GYE852001 HIA852000:HIA852001 HRW852000:HRW852001 IBS852000:IBS852001 ILO852000:ILO852001 IVK852000:IVK852001 JFG852000:JFG852001 JPC852000:JPC852001 JYY852000:JYY852001 KIU852000:KIU852001 KSQ852000:KSQ852001 LCM852000:LCM852001 LMI852000:LMI852001 LWE852000:LWE852001 MGA852000:MGA852001 MPW852000:MPW852001 MZS852000:MZS852001 NJO852000:NJO852001 NTK852000:NTK852001 ODG852000:ODG852001 ONC852000:ONC852001 OWY852000:OWY852001 PGU852000:PGU852001 PQQ852000:PQQ852001 QAM852000:QAM852001 QKI852000:QKI852001 QUE852000:QUE852001 REA852000:REA852001 RNW852000:RNW852001 RXS852000:RXS852001 SHO852000:SHO852001 SRK852000:SRK852001 TBG852000:TBG852001 TLC852000:TLC852001 TUY852000:TUY852001 UEU852000:UEU852001 UOQ852000:UOQ852001 UYM852000:UYM852001 VII852000:VII852001 VSE852000:VSE852001 WCA852000:WCA852001 WLW852000:WLW852001 WVS852000:WVS852001 K917536:K917537 JG917536:JG917537 TC917536:TC917537 ACY917536:ACY917537 AMU917536:AMU917537 AWQ917536:AWQ917537 BGM917536:BGM917537 BQI917536:BQI917537 CAE917536:CAE917537 CKA917536:CKA917537 CTW917536:CTW917537 DDS917536:DDS917537 DNO917536:DNO917537 DXK917536:DXK917537 EHG917536:EHG917537 ERC917536:ERC917537 FAY917536:FAY917537 FKU917536:FKU917537 FUQ917536:FUQ917537 GEM917536:GEM917537 GOI917536:GOI917537 GYE917536:GYE917537 HIA917536:HIA917537 HRW917536:HRW917537 IBS917536:IBS917537 ILO917536:ILO917537 IVK917536:IVK917537 JFG917536:JFG917537 JPC917536:JPC917537 JYY917536:JYY917537 KIU917536:KIU917537 KSQ917536:KSQ917537 LCM917536:LCM917537 LMI917536:LMI917537 LWE917536:LWE917537 MGA917536:MGA917537 MPW917536:MPW917537 MZS917536:MZS917537 NJO917536:NJO917537 NTK917536:NTK917537 ODG917536:ODG917537 ONC917536:ONC917537 OWY917536:OWY917537 PGU917536:PGU917537 PQQ917536:PQQ917537 QAM917536:QAM917537 QKI917536:QKI917537 QUE917536:QUE917537 REA917536:REA917537 RNW917536:RNW917537 RXS917536:RXS917537 SHO917536:SHO917537 SRK917536:SRK917537 TBG917536:TBG917537 TLC917536:TLC917537 TUY917536:TUY917537 UEU917536:UEU917537 UOQ917536:UOQ917537 UYM917536:UYM917537 VII917536:VII917537 VSE917536:VSE917537 WCA917536:WCA917537 WLW917536:WLW917537 WVS917536:WVS917537 K983072:K983073 JG983072:JG983073 TC983072:TC983073 ACY983072:ACY983073 AMU983072:AMU983073 AWQ983072:AWQ983073 BGM983072:BGM983073 BQI983072:BQI983073 CAE983072:CAE983073 CKA983072:CKA983073 CTW983072:CTW983073 DDS983072:DDS983073 DNO983072:DNO983073 DXK983072:DXK983073 EHG983072:EHG983073 ERC983072:ERC983073 FAY983072:FAY983073 FKU983072:FKU983073 FUQ983072:FUQ983073 GEM983072:GEM983073 GOI983072:GOI983073 GYE983072:GYE983073 HIA983072:HIA983073 HRW983072:HRW983073 IBS983072:IBS983073 ILO983072:ILO983073 IVK983072:IVK983073 JFG983072:JFG983073 JPC983072:JPC983073 JYY983072:JYY983073 KIU983072:KIU983073 KSQ983072:KSQ983073 LCM983072:LCM983073 LMI983072:LMI983073 LWE983072:LWE983073 MGA983072:MGA983073 MPW983072:MPW983073 MZS983072:MZS983073 NJO983072:NJO983073 NTK983072:NTK983073 ODG983072:ODG983073 ONC983072:ONC983073 OWY983072:OWY983073 PGU983072:PGU983073 PQQ983072:PQQ983073 QAM983072:QAM983073 QKI983072:QKI983073 QUE983072:QUE983073 REA983072:REA983073 RNW983072:RNW983073 RXS983072:RXS983073 SHO983072:SHO983073 SRK983072:SRK983073 TBG983072:TBG983073 TLC983072:TLC983073 TUY983072:TUY983073 UEU983072:UEU983073 UOQ983072:UOQ983073 UYM983072:UYM983073 VII983072:VII983073 VSE983072:VSE983073 WCA983072:WCA983073 WLW983072:WLW983073 WVS983072:WVS983073 N32 JJ32 TF32 ADB32 AMX32 AWT32 BGP32 BQL32 CAH32 CKD32 CTZ32 DDV32 DNR32 DXN32 EHJ32 ERF32 FBB32 FKX32 FUT32 GEP32 GOL32 GYH32 HID32 HRZ32 IBV32 ILR32 IVN32 JFJ32 JPF32 JZB32 KIX32 KST32 LCP32 LML32 LWH32 MGD32 MPZ32 MZV32 NJR32 NTN32 ODJ32 ONF32 OXB32 PGX32 PQT32 QAP32 QKL32 QUH32 RED32 RNZ32 RXV32 SHR32 SRN32 TBJ32 TLF32 TVB32 UEX32 UOT32 UYP32 VIL32 VSH32 WCD32 WLZ32 WVV32 N65568 JJ65568 TF65568 ADB65568 AMX65568 AWT65568 BGP65568 BQL65568 CAH65568 CKD65568 CTZ65568 DDV65568 DNR65568 DXN65568 EHJ65568 ERF65568 FBB65568 FKX65568 FUT65568 GEP65568 GOL65568 GYH65568 HID65568 HRZ65568 IBV65568 ILR65568 IVN65568 JFJ65568 JPF65568 JZB65568 KIX65568 KST65568 LCP65568 LML65568 LWH65568 MGD65568 MPZ65568 MZV65568 NJR65568 NTN65568 ODJ65568 ONF65568 OXB65568 PGX65568 PQT65568 QAP65568 QKL65568 QUH65568 RED65568 RNZ65568 RXV65568 SHR65568 SRN65568 TBJ65568 TLF65568 TVB65568 UEX65568 UOT65568 UYP65568 VIL65568 VSH65568 WCD65568 WLZ65568 WVV65568 N131104 JJ131104 TF131104 ADB131104 AMX131104 AWT131104 BGP131104 BQL131104 CAH131104 CKD131104 CTZ131104 DDV131104 DNR131104 DXN131104 EHJ131104 ERF131104 FBB131104 FKX131104 FUT131104 GEP131104 GOL131104 GYH131104 HID131104 HRZ131104 IBV131104 ILR131104 IVN131104 JFJ131104 JPF131104 JZB131104 KIX131104 KST131104 LCP131104 LML131104 LWH131104 MGD131104 MPZ131104 MZV131104 NJR131104 NTN131104 ODJ131104 ONF131104 OXB131104 PGX131104 PQT131104 QAP131104 QKL131104 QUH131104 RED131104 RNZ131104 RXV131104 SHR131104 SRN131104 TBJ131104 TLF131104 TVB131104 UEX131104 UOT131104 UYP131104 VIL131104 VSH131104 WCD131104 WLZ131104 WVV131104 N196640 JJ196640 TF196640 ADB196640 AMX196640 AWT196640 BGP196640 BQL196640 CAH196640 CKD196640 CTZ196640 DDV196640 DNR196640 DXN196640 EHJ196640 ERF196640 FBB196640 FKX196640 FUT196640 GEP196640 GOL196640 GYH196640 HID196640 HRZ196640 IBV196640 ILR196640 IVN196640 JFJ196640 JPF196640 JZB196640 KIX196640 KST196640 LCP196640 LML196640 LWH196640 MGD196640 MPZ196640 MZV196640 NJR196640 NTN196640 ODJ196640 ONF196640 OXB196640 PGX196640 PQT196640 QAP196640 QKL196640 QUH196640 RED196640 RNZ196640 RXV196640 SHR196640 SRN196640 TBJ196640 TLF196640 TVB196640 UEX196640 UOT196640 UYP196640 VIL196640 VSH196640 WCD196640 WLZ196640 WVV196640 N262176 JJ262176 TF262176 ADB262176 AMX262176 AWT262176 BGP262176 BQL262176 CAH262176 CKD262176 CTZ262176 DDV262176 DNR262176 DXN262176 EHJ262176 ERF262176 FBB262176 FKX262176 FUT262176 GEP262176 GOL262176 GYH262176 HID262176 HRZ262176 IBV262176 ILR262176 IVN262176 JFJ262176 JPF262176 JZB262176 KIX262176 KST262176 LCP262176 LML262176 LWH262176 MGD262176 MPZ262176 MZV262176 NJR262176 NTN262176 ODJ262176 ONF262176 OXB262176 PGX262176 PQT262176 QAP262176 QKL262176 QUH262176 RED262176 RNZ262176 RXV262176 SHR262176 SRN262176 TBJ262176 TLF262176 TVB262176 UEX262176 UOT262176 UYP262176 VIL262176 VSH262176 WCD262176 WLZ262176 WVV262176 N327712 JJ327712 TF327712 ADB327712 AMX327712 AWT327712 BGP327712 BQL327712 CAH327712 CKD327712 CTZ327712 DDV327712 DNR327712 DXN327712 EHJ327712 ERF327712 FBB327712 FKX327712 FUT327712 GEP327712 GOL327712 GYH327712 HID327712 HRZ327712 IBV327712 ILR327712 IVN327712 JFJ327712 JPF327712 JZB327712 KIX327712 KST327712 LCP327712 LML327712 LWH327712 MGD327712 MPZ327712 MZV327712 NJR327712 NTN327712 ODJ327712 ONF327712 OXB327712 PGX327712 PQT327712 QAP327712 QKL327712 QUH327712 RED327712 RNZ327712 RXV327712 SHR327712 SRN327712 TBJ327712 TLF327712 TVB327712 UEX327712 UOT327712 UYP327712 VIL327712 VSH327712 WCD327712 WLZ327712 WVV327712 N393248 JJ393248 TF393248 ADB393248 AMX393248 AWT393248 BGP393248 BQL393248 CAH393248 CKD393248 CTZ393248 DDV393248 DNR393248 DXN393248 EHJ393248 ERF393248 FBB393248 FKX393248 FUT393248 GEP393248 GOL393248 GYH393248 HID393248 HRZ393248 IBV393248 ILR393248 IVN393248 JFJ393248 JPF393248 JZB393248 KIX393248 KST393248 LCP393248 LML393248 LWH393248 MGD393248 MPZ393248 MZV393248 NJR393248 NTN393248 ODJ393248 ONF393248 OXB393248 PGX393248 PQT393248 QAP393248 QKL393248 QUH393248 RED393248 RNZ393248 RXV393248 SHR393248 SRN393248 TBJ393248 TLF393248 TVB393248 UEX393248 UOT393248 UYP393248 VIL393248 VSH393248 WCD393248 WLZ393248 WVV393248 N458784 JJ458784 TF458784 ADB458784 AMX458784 AWT458784 BGP458784 BQL458784 CAH458784 CKD458784 CTZ458784 DDV458784 DNR458784 DXN458784 EHJ458784 ERF458784 FBB458784 FKX458784 FUT458784 GEP458784 GOL458784 GYH458784 HID458784 HRZ458784 IBV458784 ILR458784 IVN458784 JFJ458784 JPF458784 JZB458784 KIX458784 KST458784 LCP458784 LML458784 LWH458784 MGD458784 MPZ458784 MZV458784 NJR458784 NTN458784 ODJ458784 ONF458784 OXB458784 PGX458784 PQT458784 QAP458784 QKL458784 QUH458784 RED458784 RNZ458784 RXV458784 SHR458784 SRN458784 TBJ458784 TLF458784 TVB458784 UEX458784 UOT458784 UYP458784 VIL458784 VSH458784 WCD458784 WLZ458784 WVV458784 N524320 JJ524320 TF524320 ADB524320 AMX524320 AWT524320 BGP524320 BQL524320 CAH524320 CKD524320 CTZ524320 DDV524320 DNR524320 DXN524320 EHJ524320 ERF524320 FBB524320 FKX524320 FUT524320 GEP524320 GOL524320 GYH524320 HID524320 HRZ524320 IBV524320 ILR524320 IVN524320 JFJ524320 JPF524320 JZB524320 KIX524320 KST524320 LCP524320 LML524320 LWH524320 MGD524320 MPZ524320 MZV524320 NJR524320 NTN524320 ODJ524320 ONF524320 OXB524320 PGX524320 PQT524320 QAP524320 QKL524320 QUH524320 RED524320 RNZ524320 RXV524320 SHR524320 SRN524320 TBJ524320 TLF524320 TVB524320 UEX524320 UOT524320 UYP524320 VIL524320 VSH524320 WCD524320 WLZ524320 WVV524320 N589856 JJ589856 TF589856 ADB589856 AMX589856 AWT589856 BGP589856 BQL589856 CAH589856 CKD589856 CTZ589856 DDV589856 DNR589856 DXN589856 EHJ589856 ERF589856 FBB589856 FKX589856 FUT589856 GEP589856 GOL589856 GYH589856 HID589856 HRZ589856 IBV589856 ILR589856 IVN589856 JFJ589856 JPF589856 JZB589856 KIX589856 KST589856 LCP589856 LML589856 LWH589856 MGD589856 MPZ589856 MZV589856 NJR589856 NTN589856 ODJ589856 ONF589856 OXB589856 PGX589856 PQT589856 QAP589856 QKL589856 QUH589856 RED589856 RNZ589856 RXV589856 SHR589856 SRN589856 TBJ589856 TLF589856 TVB589856 UEX589856 UOT589856 UYP589856 VIL589856 VSH589856 WCD589856 WLZ589856 WVV589856 N655392 JJ655392 TF655392 ADB655392 AMX655392 AWT655392 BGP655392 BQL655392 CAH655392 CKD655392 CTZ655392 DDV655392 DNR655392 DXN655392 EHJ655392 ERF655392 FBB655392 FKX655392 FUT655392 GEP655392 GOL655392 GYH655392 HID655392 HRZ655392 IBV655392 ILR655392 IVN655392 JFJ655392 JPF655392 JZB655392 KIX655392 KST655392 LCP655392 LML655392 LWH655392 MGD655392 MPZ655392 MZV655392 NJR655392 NTN655392 ODJ655392 ONF655392 OXB655392 PGX655392 PQT655392 QAP655392 QKL655392 QUH655392 RED655392 RNZ655392 RXV655392 SHR655392 SRN655392 TBJ655392 TLF655392 TVB655392 UEX655392 UOT655392 UYP655392 VIL655392 VSH655392 WCD655392 WLZ655392 WVV655392 N720928 JJ720928 TF720928 ADB720928 AMX720928 AWT720928 BGP720928 BQL720928 CAH720928 CKD720928 CTZ720928 DDV720928 DNR720928 DXN720928 EHJ720928 ERF720928 FBB720928 FKX720928 FUT720928 GEP720928 GOL720928 GYH720928 HID720928 HRZ720928 IBV720928 ILR720928 IVN720928 JFJ720928 JPF720928 JZB720928 KIX720928 KST720928 LCP720928 LML720928 LWH720928 MGD720928 MPZ720928 MZV720928 NJR720928 NTN720928 ODJ720928 ONF720928 OXB720928 PGX720928 PQT720928 QAP720928 QKL720928 QUH720928 RED720928 RNZ720928 RXV720928 SHR720928 SRN720928 TBJ720928 TLF720928 TVB720928 UEX720928 UOT720928 UYP720928 VIL720928 VSH720928 WCD720928 WLZ720928 WVV720928 N786464 JJ786464 TF786464 ADB786464 AMX786464 AWT786464 BGP786464 BQL786464 CAH786464 CKD786464 CTZ786464 DDV786464 DNR786464 DXN786464 EHJ786464 ERF786464 FBB786464 FKX786464 FUT786464 GEP786464 GOL786464 GYH786464 HID786464 HRZ786464 IBV786464 ILR786464 IVN786464 JFJ786464 JPF786464 JZB786464 KIX786464 KST786464 LCP786464 LML786464 LWH786464 MGD786464 MPZ786464 MZV786464 NJR786464 NTN786464 ODJ786464 ONF786464 OXB786464 PGX786464 PQT786464 QAP786464 QKL786464 QUH786464 RED786464 RNZ786464 RXV786464 SHR786464 SRN786464 TBJ786464 TLF786464 TVB786464 UEX786464 UOT786464 UYP786464 VIL786464 VSH786464 WCD786464 WLZ786464 WVV786464 N852000 JJ852000 TF852000 ADB852000 AMX852000 AWT852000 BGP852000 BQL852000 CAH852000 CKD852000 CTZ852000 DDV852000 DNR852000 DXN852000 EHJ852000 ERF852000 FBB852000 FKX852000 FUT852000 GEP852000 GOL852000 GYH852000 HID852000 HRZ852000 IBV852000 ILR852000 IVN852000 JFJ852000 JPF852000 JZB852000 KIX852000 KST852000 LCP852000 LML852000 LWH852000 MGD852000 MPZ852000 MZV852000 NJR852000 NTN852000 ODJ852000 ONF852000 OXB852000 PGX852000 PQT852000 QAP852000 QKL852000 QUH852000 RED852000 RNZ852000 RXV852000 SHR852000 SRN852000 TBJ852000 TLF852000 TVB852000 UEX852000 UOT852000 UYP852000 VIL852000 VSH852000 WCD852000 WLZ852000 WVV852000 N917536 JJ917536 TF917536 ADB917536 AMX917536 AWT917536 BGP917536 BQL917536 CAH917536 CKD917536 CTZ917536 DDV917536 DNR917536 DXN917536 EHJ917536 ERF917536 FBB917536 FKX917536 FUT917536 GEP917536 GOL917536 GYH917536 HID917536 HRZ917536 IBV917536 ILR917536 IVN917536 JFJ917536 JPF917536 JZB917536 KIX917536 KST917536 LCP917536 LML917536 LWH917536 MGD917536 MPZ917536 MZV917536 NJR917536 NTN917536 ODJ917536 ONF917536 OXB917536 PGX917536 PQT917536 QAP917536 QKL917536 QUH917536 RED917536 RNZ917536 RXV917536 SHR917536 SRN917536 TBJ917536 TLF917536 TVB917536 UEX917536 UOT917536 UYP917536 VIL917536 VSH917536 WCD917536 WLZ917536 WVV917536 N983072 JJ983072 TF983072 ADB983072 AMX983072 AWT983072 BGP983072 BQL983072 CAH983072 CKD983072 CTZ983072 DDV983072 DNR983072 DXN983072 EHJ983072 ERF983072 FBB983072 FKX983072 FUT983072 GEP983072 GOL983072 GYH983072 HID983072 HRZ983072 IBV983072 ILR983072 IVN983072 JFJ983072 JPF983072 JZB983072 KIX983072 KST983072 LCP983072 LML983072 LWH983072 MGD983072 MPZ983072 MZV983072 NJR983072 NTN983072 ODJ983072 ONF983072 OXB983072 PGX983072 PQT983072 QAP983072 QKL983072 QUH983072 RED983072 RNZ983072 RXV983072 SHR983072 SRN983072 TBJ983072 TLF983072 TVB983072 UEX983072 UOT983072 UYP983072 VIL983072 VSH983072 WCD983072 WLZ983072 WVV983072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Z71"/>
  <sheetViews>
    <sheetView showGridLines="0" showZeros="0" zoomScaleNormal="100" zoomScaleSheetLayoutView="100" workbookViewId="0"/>
  </sheetViews>
  <sheetFormatPr defaultColWidth="9" defaultRowHeight="13.2"/>
  <cols>
    <col min="1" max="24" width="4.109375" style="1209" customWidth="1"/>
    <col min="25" max="256" width="9" style="1209" customWidth="1"/>
    <col min="257" max="280" width="4.109375" style="1209" customWidth="1"/>
    <col min="281" max="512" width="9" style="1209" customWidth="1"/>
    <col min="513" max="536" width="4.109375" style="1209" customWidth="1"/>
    <col min="537" max="768" width="9" style="1209" customWidth="1"/>
    <col min="769" max="792" width="4.109375" style="1209" customWidth="1"/>
    <col min="793" max="1024" width="9" style="1209" customWidth="1"/>
    <col min="1025" max="1048" width="4.109375" style="1209" customWidth="1"/>
    <col min="1049" max="1280" width="9" style="1209" customWidth="1"/>
    <col min="1281" max="1304" width="4.109375" style="1209" customWidth="1"/>
    <col min="1305" max="1536" width="9" style="1209" customWidth="1"/>
    <col min="1537" max="1560" width="4.109375" style="1209" customWidth="1"/>
    <col min="1561" max="1792" width="9" style="1209" customWidth="1"/>
    <col min="1793" max="1816" width="4.109375" style="1209" customWidth="1"/>
    <col min="1817" max="2048" width="9" style="1209" customWidth="1"/>
    <col min="2049" max="2072" width="4.109375" style="1209" customWidth="1"/>
    <col min="2073" max="2304" width="9" style="1209" customWidth="1"/>
    <col min="2305" max="2328" width="4.109375" style="1209" customWidth="1"/>
    <col min="2329" max="2560" width="9" style="1209" customWidth="1"/>
    <col min="2561" max="2584" width="4.109375" style="1209" customWidth="1"/>
    <col min="2585" max="2816" width="9" style="1209" customWidth="1"/>
    <col min="2817" max="2840" width="4.109375" style="1209" customWidth="1"/>
    <col min="2841" max="3072" width="9" style="1209" customWidth="1"/>
    <col min="3073" max="3096" width="4.109375" style="1209" customWidth="1"/>
    <col min="3097" max="3328" width="9" style="1209" customWidth="1"/>
    <col min="3329" max="3352" width="4.109375" style="1209" customWidth="1"/>
    <col min="3353" max="3584" width="9" style="1209" customWidth="1"/>
    <col min="3585" max="3608" width="4.109375" style="1209" customWidth="1"/>
    <col min="3609" max="3840" width="9" style="1209" customWidth="1"/>
    <col min="3841" max="3864" width="4.109375" style="1209" customWidth="1"/>
    <col min="3865" max="4096" width="9" style="1209" customWidth="1"/>
    <col min="4097" max="4120" width="4.109375" style="1209" customWidth="1"/>
    <col min="4121" max="4352" width="9" style="1209" customWidth="1"/>
    <col min="4353" max="4376" width="4.109375" style="1209" customWidth="1"/>
    <col min="4377" max="4608" width="9" style="1209" customWidth="1"/>
    <col min="4609" max="4632" width="4.109375" style="1209" customWidth="1"/>
    <col min="4633" max="4864" width="9" style="1209" customWidth="1"/>
    <col min="4865" max="4888" width="4.109375" style="1209" customWidth="1"/>
    <col min="4889" max="5120" width="9" style="1209" customWidth="1"/>
    <col min="5121" max="5144" width="4.109375" style="1209" customWidth="1"/>
    <col min="5145" max="5376" width="9" style="1209" customWidth="1"/>
    <col min="5377" max="5400" width="4.109375" style="1209" customWidth="1"/>
    <col min="5401" max="5632" width="9" style="1209" customWidth="1"/>
    <col min="5633" max="5656" width="4.109375" style="1209" customWidth="1"/>
    <col min="5657" max="5888" width="9" style="1209" customWidth="1"/>
    <col min="5889" max="5912" width="4.109375" style="1209" customWidth="1"/>
    <col min="5913" max="6144" width="9" style="1209" customWidth="1"/>
    <col min="6145" max="6168" width="4.109375" style="1209" customWidth="1"/>
    <col min="6169" max="6400" width="9" style="1209" customWidth="1"/>
    <col min="6401" max="6424" width="4.109375" style="1209" customWidth="1"/>
    <col min="6425" max="6656" width="9" style="1209" customWidth="1"/>
    <col min="6657" max="6680" width="4.109375" style="1209" customWidth="1"/>
    <col min="6681" max="6912" width="9" style="1209" customWidth="1"/>
    <col min="6913" max="6936" width="4.109375" style="1209" customWidth="1"/>
    <col min="6937" max="7168" width="9" style="1209" customWidth="1"/>
    <col min="7169" max="7192" width="4.109375" style="1209" customWidth="1"/>
    <col min="7193" max="7424" width="9" style="1209" customWidth="1"/>
    <col min="7425" max="7448" width="4.109375" style="1209" customWidth="1"/>
    <col min="7449" max="7680" width="9" style="1209" customWidth="1"/>
    <col min="7681" max="7704" width="4.109375" style="1209" customWidth="1"/>
    <col min="7705" max="7936" width="9" style="1209" customWidth="1"/>
    <col min="7937" max="7960" width="4.109375" style="1209" customWidth="1"/>
    <col min="7961" max="8192" width="9" style="1209" customWidth="1"/>
    <col min="8193" max="8216" width="4.109375" style="1209" customWidth="1"/>
    <col min="8217" max="8448" width="9" style="1209" customWidth="1"/>
    <col min="8449" max="8472" width="4.109375" style="1209" customWidth="1"/>
    <col min="8473" max="8704" width="9" style="1209" customWidth="1"/>
    <col min="8705" max="8728" width="4.109375" style="1209" customWidth="1"/>
    <col min="8729" max="8960" width="9" style="1209" customWidth="1"/>
    <col min="8961" max="8984" width="4.109375" style="1209" customWidth="1"/>
    <col min="8985" max="9216" width="9" style="1209" customWidth="1"/>
    <col min="9217" max="9240" width="4.109375" style="1209" customWidth="1"/>
    <col min="9241" max="9472" width="9" style="1209" customWidth="1"/>
    <col min="9473" max="9496" width="4.109375" style="1209" customWidth="1"/>
    <col min="9497" max="9728" width="9" style="1209" customWidth="1"/>
    <col min="9729" max="9752" width="4.109375" style="1209" customWidth="1"/>
    <col min="9753" max="9984" width="9" style="1209" customWidth="1"/>
    <col min="9985" max="10008" width="4.109375" style="1209" customWidth="1"/>
    <col min="10009" max="10240" width="9" style="1209" customWidth="1"/>
    <col min="10241" max="10264" width="4.109375" style="1209" customWidth="1"/>
    <col min="10265" max="10496" width="9" style="1209" customWidth="1"/>
    <col min="10497" max="10520" width="4.109375" style="1209" customWidth="1"/>
    <col min="10521" max="10752" width="9" style="1209" customWidth="1"/>
    <col min="10753" max="10776" width="4.109375" style="1209" customWidth="1"/>
    <col min="10777" max="11008" width="9" style="1209" customWidth="1"/>
    <col min="11009" max="11032" width="4.109375" style="1209" customWidth="1"/>
    <col min="11033" max="11264" width="9" style="1209" customWidth="1"/>
    <col min="11265" max="11288" width="4.109375" style="1209" customWidth="1"/>
    <col min="11289" max="11520" width="9" style="1209" customWidth="1"/>
    <col min="11521" max="11544" width="4.109375" style="1209" customWidth="1"/>
    <col min="11545" max="11776" width="9" style="1209" customWidth="1"/>
    <col min="11777" max="11800" width="4.109375" style="1209" customWidth="1"/>
    <col min="11801" max="12032" width="9" style="1209" customWidth="1"/>
    <col min="12033" max="12056" width="4.109375" style="1209" customWidth="1"/>
    <col min="12057" max="12288" width="9" style="1209" customWidth="1"/>
    <col min="12289" max="12312" width="4.109375" style="1209" customWidth="1"/>
    <col min="12313" max="12544" width="9" style="1209" customWidth="1"/>
    <col min="12545" max="12568" width="4.109375" style="1209" customWidth="1"/>
    <col min="12569" max="12800" width="9" style="1209" customWidth="1"/>
    <col min="12801" max="12824" width="4.109375" style="1209" customWidth="1"/>
    <col min="12825" max="13056" width="9" style="1209" customWidth="1"/>
    <col min="13057" max="13080" width="4.109375" style="1209" customWidth="1"/>
    <col min="13081" max="13312" width="9" style="1209" customWidth="1"/>
    <col min="13313" max="13336" width="4.109375" style="1209" customWidth="1"/>
    <col min="13337" max="13568" width="9" style="1209" customWidth="1"/>
    <col min="13569" max="13592" width="4.109375" style="1209" customWidth="1"/>
    <col min="13593" max="13824" width="9" style="1209" customWidth="1"/>
    <col min="13825" max="13848" width="4.109375" style="1209" customWidth="1"/>
    <col min="13849" max="14080" width="9" style="1209" customWidth="1"/>
    <col min="14081" max="14104" width="4.109375" style="1209" customWidth="1"/>
    <col min="14105" max="14336" width="9" style="1209" customWidth="1"/>
    <col min="14337" max="14360" width="4.109375" style="1209" customWidth="1"/>
    <col min="14361" max="14592" width="9" style="1209" customWidth="1"/>
    <col min="14593" max="14616" width="4.109375" style="1209" customWidth="1"/>
    <col min="14617" max="14848" width="9" style="1209" customWidth="1"/>
    <col min="14849" max="14872" width="4.109375" style="1209" customWidth="1"/>
    <col min="14873" max="15104" width="9" style="1209" customWidth="1"/>
    <col min="15105" max="15128" width="4.109375" style="1209" customWidth="1"/>
    <col min="15129" max="15360" width="9" style="1209" customWidth="1"/>
    <col min="15361" max="15384" width="4.109375" style="1209" customWidth="1"/>
    <col min="15385" max="15616" width="9" style="1209" customWidth="1"/>
    <col min="15617" max="15640" width="4.109375" style="1209" customWidth="1"/>
    <col min="15641" max="15872" width="9" style="1209" customWidth="1"/>
    <col min="15873" max="15896" width="4.109375" style="1209" customWidth="1"/>
    <col min="15897" max="16128" width="9" style="1209" customWidth="1"/>
    <col min="16129" max="16152" width="4.109375" style="1209" customWidth="1"/>
    <col min="16153" max="16384" width="9" style="1209" customWidth="1"/>
  </cols>
  <sheetData>
    <row r="1" spans="1:25" s="1127" customFormat="1" ht="15" customHeight="1">
      <c r="A1" s="1413" t="s">
        <v>3907</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114"/>
    </row>
    <row r="2" spans="1:25" s="1127" customFormat="1" ht="15" customHeight="1">
      <c r="A2" s="1127" t="s">
        <v>3908</v>
      </c>
    </row>
    <row r="3" spans="1:25" s="1127" customFormat="1" ht="15" customHeight="1">
      <c r="A3" s="1186" t="s">
        <v>3909</v>
      </c>
      <c r="B3" s="1187"/>
      <c r="C3" s="1187"/>
      <c r="D3" s="1187"/>
      <c r="E3" s="1188">
        <v>1</v>
      </c>
      <c r="F3" s="1187"/>
      <c r="G3" s="1187"/>
      <c r="H3" s="1187"/>
      <c r="I3" s="1187"/>
      <c r="J3" s="1187"/>
      <c r="K3" s="1187"/>
      <c r="L3" s="1187"/>
      <c r="M3" s="1187"/>
      <c r="N3" s="1187"/>
      <c r="O3" s="1187"/>
      <c r="P3" s="1187"/>
      <c r="Q3" s="1187"/>
      <c r="R3" s="1187"/>
      <c r="S3" s="1187"/>
      <c r="T3" s="1187"/>
      <c r="U3" s="1187"/>
      <c r="V3" s="1187"/>
      <c r="W3" s="1187"/>
      <c r="X3" s="1187"/>
    </row>
    <row r="4" spans="1:25" s="1127" customFormat="1" ht="15" customHeight="1">
      <c r="A4" s="1118" t="s">
        <v>3910</v>
      </c>
      <c r="D4" s="1414" t="s">
        <v>3845</v>
      </c>
      <c r="E4" s="1414"/>
      <c r="F4" s="1402" t="s">
        <v>34</v>
      </c>
      <c r="G4" s="1402"/>
      <c r="H4" s="1118" t="s">
        <v>3</v>
      </c>
      <c r="I4" s="1415"/>
      <c r="J4" s="1416"/>
      <c r="K4" s="1416"/>
      <c r="L4" s="1416"/>
      <c r="M4" s="1416"/>
      <c r="N4" s="1416"/>
      <c r="O4" s="1416"/>
      <c r="P4" s="1416"/>
      <c r="Q4" s="1416"/>
      <c r="R4" s="1416"/>
      <c r="S4" s="1416"/>
      <c r="T4" s="1416"/>
      <c r="U4" s="1416"/>
      <c r="V4" s="1416"/>
      <c r="W4" s="1416"/>
      <c r="X4" s="1416"/>
    </row>
    <row r="5" spans="1:25" s="1127" customFormat="1" ht="15" customHeight="1">
      <c r="D5" s="1401" t="s">
        <v>3845</v>
      </c>
      <c r="E5" s="1401"/>
      <c r="F5" s="1402" t="s">
        <v>34</v>
      </c>
      <c r="G5" s="1402"/>
      <c r="H5" s="1118" t="s">
        <v>3</v>
      </c>
      <c r="I5" s="1403"/>
      <c r="J5" s="1404"/>
      <c r="K5" s="1404"/>
      <c r="L5" s="1404"/>
      <c r="M5" s="1404"/>
      <c r="N5" s="1404"/>
      <c r="O5" s="1404"/>
      <c r="P5" s="1404"/>
      <c r="Q5" s="1404"/>
      <c r="R5" s="1404"/>
      <c r="S5" s="1404"/>
      <c r="T5" s="1404"/>
      <c r="U5" s="1404"/>
      <c r="V5" s="1404"/>
      <c r="W5" s="1404"/>
      <c r="X5" s="1404"/>
    </row>
    <row r="6" spans="1:25" s="1127" customFormat="1" ht="15" customHeight="1">
      <c r="D6" s="1401" t="s">
        <v>3845</v>
      </c>
      <c r="E6" s="1401"/>
      <c r="F6" s="1402" t="s">
        <v>34</v>
      </c>
      <c r="G6" s="1402"/>
      <c r="H6" s="1118" t="s">
        <v>3</v>
      </c>
      <c r="I6" s="1403"/>
      <c r="J6" s="1404"/>
      <c r="K6" s="1404"/>
      <c r="L6" s="1404"/>
      <c r="M6" s="1404"/>
      <c r="N6" s="1404"/>
      <c r="O6" s="1404"/>
      <c r="P6" s="1404"/>
      <c r="Q6" s="1404"/>
      <c r="R6" s="1404"/>
      <c r="S6" s="1404"/>
      <c r="T6" s="1404"/>
      <c r="U6" s="1404"/>
      <c r="V6" s="1404"/>
      <c r="W6" s="1404"/>
      <c r="X6" s="1404"/>
    </row>
    <row r="7" spans="1:25" s="1127" customFormat="1" ht="15" customHeight="1">
      <c r="A7" s="1123" t="s">
        <v>3911</v>
      </c>
      <c r="B7" s="1126"/>
      <c r="C7" s="1126"/>
      <c r="D7" s="1126"/>
      <c r="E7" s="1189" t="s">
        <v>40</v>
      </c>
      <c r="F7" s="1123" t="s">
        <v>376</v>
      </c>
      <c r="G7" s="1190"/>
      <c r="H7" s="1189" t="s">
        <v>40</v>
      </c>
      <c r="I7" s="1123" t="s">
        <v>377</v>
      </c>
      <c r="J7" s="1126"/>
      <c r="K7" s="1189" t="s">
        <v>40</v>
      </c>
      <c r="L7" s="1123" t="s">
        <v>378</v>
      </c>
      <c r="M7" s="1126"/>
      <c r="N7" s="1189" t="s">
        <v>40</v>
      </c>
      <c r="O7" s="1123" t="s">
        <v>379</v>
      </c>
      <c r="P7" s="1126"/>
      <c r="Q7" s="1189" t="s">
        <v>40</v>
      </c>
      <c r="R7" s="1123" t="s">
        <v>519</v>
      </c>
      <c r="S7" s="1126"/>
      <c r="T7" s="1126"/>
      <c r="U7" s="1126"/>
      <c r="V7" s="1126"/>
      <c r="W7" s="1126"/>
      <c r="X7" s="1126"/>
    </row>
    <row r="8" spans="1:25" s="1127" customFormat="1" ht="15" customHeight="1">
      <c r="E8" s="1191" t="s">
        <v>40</v>
      </c>
      <c r="F8" s="1118" t="s">
        <v>1057</v>
      </c>
      <c r="K8" s="1191" t="s">
        <v>40</v>
      </c>
      <c r="L8" s="1118" t="s">
        <v>1059</v>
      </c>
    </row>
    <row r="9" spans="1:25" s="1127" customFormat="1" ht="15" customHeight="1">
      <c r="A9" s="1123" t="s">
        <v>3912</v>
      </c>
      <c r="B9" s="1126"/>
      <c r="C9" s="1126"/>
      <c r="D9" s="1189" t="s">
        <v>40</v>
      </c>
      <c r="E9" s="1126" t="s">
        <v>3913</v>
      </c>
      <c r="F9" s="1126"/>
      <c r="G9" s="1189" t="s">
        <v>40</v>
      </c>
      <c r="H9" s="1126" t="s">
        <v>3914</v>
      </c>
      <c r="I9" s="1126"/>
      <c r="J9" s="1126"/>
      <c r="K9" s="1189" t="s">
        <v>40</v>
      </c>
      <c r="L9" s="1126" t="s">
        <v>3915</v>
      </c>
      <c r="M9" s="1126"/>
      <c r="N9" s="1126"/>
      <c r="O9" s="1126"/>
      <c r="P9" s="1126"/>
      <c r="Q9" s="1126"/>
      <c r="R9" s="1126"/>
      <c r="S9" s="1126"/>
      <c r="T9" s="1126"/>
      <c r="U9" s="1126"/>
      <c r="V9" s="1126"/>
      <c r="W9" s="1126"/>
      <c r="X9" s="1126"/>
    </row>
    <row r="10" spans="1:25" s="1127" customFormat="1" ht="15" customHeight="1">
      <c r="D10" s="1191" t="s">
        <v>40</v>
      </c>
      <c r="E10" s="1127" t="s">
        <v>3916</v>
      </c>
      <c r="G10" s="1191" t="s">
        <v>40</v>
      </c>
      <c r="H10" s="1127" t="s">
        <v>3917</v>
      </c>
      <c r="J10" s="1191" t="s">
        <v>40</v>
      </c>
      <c r="K10" s="1127" t="s">
        <v>3918</v>
      </c>
      <c r="O10" s="1127" t="s">
        <v>527</v>
      </c>
      <c r="Q10" s="1405"/>
      <c r="R10" s="1405"/>
      <c r="S10" s="1405"/>
      <c r="T10" s="1405"/>
      <c r="U10" s="1406"/>
      <c r="V10" s="1127" t="s">
        <v>3919</v>
      </c>
    </row>
    <row r="11" spans="1:25" s="1131" customFormat="1" ht="15" customHeight="1">
      <c r="A11" s="1192" t="s">
        <v>3920</v>
      </c>
      <c r="B11" s="1193"/>
      <c r="C11" s="1193"/>
      <c r="D11" s="1193"/>
      <c r="E11" s="1193"/>
      <c r="F11" s="1193"/>
      <c r="G11" s="1193"/>
      <c r="H11" s="1193"/>
      <c r="I11" s="1193"/>
      <c r="J11" s="1193"/>
      <c r="K11" s="1193"/>
      <c r="L11" s="1193"/>
      <c r="M11" s="1193"/>
      <c r="N11" s="1193"/>
      <c r="O11" s="1193"/>
      <c r="P11" s="1193"/>
      <c r="Q11" s="1193"/>
      <c r="R11" s="1193"/>
      <c r="S11" s="1193"/>
      <c r="T11" s="1193"/>
      <c r="U11" s="1193"/>
      <c r="V11" s="1193"/>
      <c r="W11" s="1193"/>
      <c r="X11" s="1193"/>
    </row>
    <row r="12" spans="1:25" s="1131" customFormat="1" ht="15" customHeight="1">
      <c r="A12" s="1194"/>
      <c r="B12" s="1195" t="s">
        <v>40</v>
      </c>
      <c r="C12" s="1196" t="s">
        <v>3921</v>
      </c>
      <c r="D12" s="1194"/>
      <c r="E12" s="1194"/>
      <c r="F12" s="1194"/>
      <c r="G12" s="1194"/>
      <c r="H12" s="1194"/>
      <c r="I12" s="1194"/>
      <c r="J12" s="1194"/>
      <c r="K12" s="1194"/>
      <c r="L12" s="1194"/>
      <c r="M12" s="1194"/>
      <c r="N12" s="1194"/>
      <c r="O12" s="1194"/>
      <c r="P12" s="1194"/>
      <c r="Q12" s="1194"/>
      <c r="R12" s="1194"/>
      <c r="S12" s="1194"/>
      <c r="T12" s="1194"/>
      <c r="U12" s="1194"/>
      <c r="V12" s="1194"/>
      <c r="W12" s="1194"/>
      <c r="X12" s="1194"/>
    </row>
    <row r="13" spans="1:25" s="1131" customFormat="1" ht="15" customHeight="1">
      <c r="A13" s="1194"/>
      <c r="B13" s="1195" t="s">
        <v>40</v>
      </c>
      <c r="C13" s="1196" t="s">
        <v>3922</v>
      </c>
      <c r="D13" s="1194"/>
      <c r="E13" s="1194"/>
      <c r="F13" s="1194"/>
      <c r="G13" s="1197"/>
      <c r="H13" s="1197"/>
      <c r="I13" s="1197"/>
      <c r="J13" s="1197"/>
      <c r="K13" s="1197"/>
      <c r="L13" s="1197"/>
      <c r="M13" s="1197"/>
      <c r="N13" s="1197"/>
      <c r="O13" s="1197"/>
      <c r="P13" s="1197"/>
      <c r="Q13" s="1197"/>
      <c r="R13" s="1197"/>
      <c r="S13" s="1197"/>
      <c r="T13" s="1197"/>
      <c r="U13" s="1197"/>
      <c r="V13" s="1197"/>
      <c r="W13" s="1197"/>
      <c r="X13" s="1197"/>
    </row>
    <row r="14" spans="1:25" s="1131" customFormat="1" ht="15" customHeight="1">
      <c r="A14" s="1194"/>
      <c r="B14" s="1195" t="s">
        <v>40</v>
      </c>
      <c r="C14" s="1407" t="s">
        <v>3923</v>
      </c>
      <c r="D14" s="1407"/>
      <c r="E14" s="1407"/>
      <c r="F14" s="1407"/>
      <c r="G14" s="1407"/>
      <c r="H14" s="1407"/>
      <c r="I14" s="1407"/>
      <c r="J14" s="1407"/>
      <c r="K14" s="1407"/>
      <c r="L14" s="1407"/>
      <c r="M14" s="1407"/>
      <c r="N14" s="1407"/>
      <c r="O14" s="1407"/>
      <c r="P14" s="1407"/>
      <c r="Q14" s="1407"/>
      <c r="R14" s="1407"/>
      <c r="S14" s="1407"/>
      <c r="T14" s="1407"/>
      <c r="U14" s="1197"/>
      <c r="V14" s="1197"/>
      <c r="W14" s="1197"/>
      <c r="X14" s="1197"/>
    </row>
    <row r="15" spans="1:25" s="1131" customFormat="1" ht="15" customHeight="1">
      <c r="A15" s="1194"/>
      <c r="B15" s="1195" t="s">
        <v>40</v>
      </c>
      <c r="C15" s="1196" t="s">
        <v>3924</v>
      </c>
      <c r="D15" s="1194"/>
      <c r="E15" s="1194"/>
      <c r="F15" s="1194"/>
      <c r="G15" s="1194"/>
      <c r="H15" s="1194"/>
      <c r="I15" s="1194"/>
      <c r="J15" s="1194"/>
      <c r="K15" s="1194"/>
      <c r="L15" s="1194"/>
      <c r="M15" s="1196"/>
      <c r="N15" s="1194"/>
      <c r="O15" s="1194"/>
      <c r="P15" s="1194"/>
      <c r="Q15" s="1194"/>
      <c r="R15" s="1194"/>
      <c r="S15" s="1194"/>
      <c r="T15" s="1194"/>
      <c r="U15" s="1194"/>
      <c r="V15" s="1194"/>
      <c r="W15" s="1194"/>
      <c r="X15" s="1194"/>
    </row>
    <row r="16" spans="1:25" s="1131" customFormat="1" ht="15" customHeight="1">
      <c r="A16" s="1194"/>
      <c r="B16" s="1195" t="s">
        <v>40</v>
      </c>
      <c r="C16" s="1196" t="s">
        <v>3925</v>
      </c>
      <c r="D16" s="1194"/>
      <c r="E16" s="1194"/>
      <c r="F16" s="1194"/>
      <c r="G16" s="1194"/>
      <c r="H16" s="1194"/>
      <c r="I16" s="1194"/>
      <c r="J16" s="1194"/>
      <c r="K16" s="1194"/>
      <c r="L16" s="1194"/>
      <c r="M16" s="1196"/>
      <c r="N16" s="1194"/>
      <c r="O16" s="1194"/>
      <c r="P16" s="1194"/>
      <c r="Q16" s="1194"/>
      <c r="R16" s="1194"/>
      <c r="S16" s="1194"/>
      <c r="T16" s="1194"/>
      <c r="U16" s="1194"/>
      <c r="V16" s="1194"/>
      <c r="W16" s="1194"/>
      <c r="X16" s="1194"/>
    </row>
    <row r="17" spans="1:26" s="1131" customFormat="1" ht="15" customHeight="1">
      <c r="A17" s="1194"/>
      <c r="B17" s="1195" t="s">
        <v>40</v>
      </c>
      <c r="C17" s="1196" t="s">
        <v>3926</v>
      </c>
      <c r="D17" s="1194"/>
      <c r="E17" s="1194"/>
      <c r="F17" s="1194"/>
      <c r="G17" s="1194"/>
      <c r="H17" s="1194"/>
      <c r="I17" s="1194"/>
      <c r="J17" s="1194"/>
      <c r="K17" s="1194"/>
      <c r="L17" s="1194"/>
      <c r="M17" s="1196"/>
      <c r="N17" s="1194"/>
      <c r="O17" s="1194"/>
      <c r="P17" s="1194"/>
      <c r="Q17" s="1195" t="s">
        <v>40</v>
      </c>
      <c r="R17" s="1194" t="s">
        <v>1</v>
      </c>
      <c r="S17" s="1194"/>
      <c r="T17" s="1194"/>
      <c r="U17" s="1194"/>
      <c r="V17" s="1194"/>
      <c r="W17" s="1194"/>
      <c r="X17" s="1194"/>
    </row>
    <row r="18" spans="1:26" s="1131" customFormat="1" ht="15" customHeight="1">
      <c r="A18" s="1193" t="s">
        <v>3927</v>
      </c>
      <c r="B18" s="1193"/>
      <c r="C18" s="1192"/>
      <c r="D18" s="1193"/>
      <c r="E18" s="1193"/>
      <c r="F18" s="1193"/>
      <c r="G18" s="1193"/>
      <c r="H18" s="1193"/>
      <c r="I18" s="1193"/>
      <c r="J18" s="1193"/>
      <c r="K18" s="1193"/>
      <c r="L18" s="1193"/>
      <c r="M18" s="1192"/>
      <c r="N18" s="1193"/>
      <c r="O18" s="1193"/>
      <c r="P18" s="1193"/>
      <c r="Q18" s="1193"/>
      <c r="R18" s="1193"/>
      <c r="S18" s="1193"/>
      <c r="T18" s="1193"/>
      <c r="U18" s="1193"/>
      <c r="V18" s="1193"/>
      <c r="W18" s="1193"/>
      <c r="X18" s="1193"/>
    </row>
    <row r="19" spans="1:26" s="1131" customFormat="1" ht="15" customHeight="1">
      <c r="A19" s="1194"/>
      <c r="B19" s="1195" t="s">
        <v>40</v>
      </c>
      <c r="C19" s="1194" t="s">
        <v>3928</v>
      </c>
      <c r="D19" s="1194"/>
      <c r="E19" s="1194"/>
      <c r="F19" s="1194"/>
      <c r="G19" s="1194"/>
      <c r="H19" s="1194"/>
      <c r="I19" s="1194"/>
      <c r="J19" s="1194"/>
      <c r="K19" s="1194"/>
      <c r="L19" s="1194"/>
      <c r="M19" s="1196"/>
      <c r="N19" s="1194"/>
      <c r="O19" s="1194"/>
      <c r="P19" s="1194"/>
      <c r="Q19" s="1194"/>
      <c r="R19" s="1194"/>
      <c r="S19" s="1194"/>
      <c r="T19" s="1194"/>
      <c r="U19" s="1194"/>
      <c r="V19" s="1194"/>
      <c r="W19" s="1194"/>
      <c r="X19" s="1194"/>
    </row>
    <row r="20" spans="1:26" s="1131" customFormat="1" ht="15" customHeight="1">
      <c r="A20" s="1194"/>
      <c r="B20" s="1195" t="s">
        <v>40</v>
      </c>
      <c r="C20" s="1194" t="s">
        <v>3929</v>
      </c>
      <c r="D20" s="1194"/>
      <c r="E20" s="1194"/>
      <c r="F20" s="1194"/>
      <c r="G20" s="1194"/>
      <c r="H20" s="1194"/>
      <c r="I20" s="1194"/>
      <c r="J20" s="1194"/>
      <c r="K20" s="1194"/>
      <c r="L20" s="1194"/>
      <c r="M20" s="1196"/>
      <c r="N20" s="1194"/>
      <c r="O20" s="1194"/>
      <c r="P20" s="1194"/>
      <c r="Q20" s="1194"/>
      <c r="R20" s="1194"/>
      <c r="S20" s="1194"/>
      <c r="T20" s="1194"/>
      <c r="U20" s="1194"/>
      <c r="V20" s="1194"/>
      <c r="W20" s="1194"/>
      <c r="X20" s="1194"/>
    </row>
    <row r="21" spans="1:26" s="1131" customFormat="1" ht="15" customHeight="1">
      <c r="A21" s="1194"/>
      <c r="B21" s="1195" t="s">
        <v>40</v>
      </c>
      <c r="C21" s="1194" t="s">
        <v>3930</v>
      </c>
      <c r="D21" s="1194"/>
      <c r="E21" s="1194"/>
      <c r="F21" s="1194"/>
      <c r="G21" s="1194"/>
      <c r="H21" s="1194"/>
      <c r="I21" s="1194"/>
      <c r="J21" s="1194"/>
      <c r="K21" s="1194"/>
      <c r="L21" s="1194"/>
      <c r="M21" s="1196"/>
      <c r="N21" s="1194"/>
      <c r="O21" s="1194"/>
      <c r="P21" s="1194"/>
      <c r="Q21" s="1194"/>
      <c r="R21" s="1194"/>
      <c r="S21" s="1194"/>
      <c r="T21" s="1194"/>
      <c r="U21" s="1194"/>
      <c r="V21" s="1194"/>
      <c r="W21" s="1194"/>
      <c r="X21" s="1194"/>
    </row>
    <row r="22" spans="1:26" s="1131" customFormat="1" ht="15" customHeight="1">
      <c r="A22" s="1194"/>
      <c r="B22" s="1195" t="s">
        <v>40</v>
      </c>
      <c r="C22" s="1194" t="s">
        <v>3931</v>
      </c>
      <c r="D22" s="1194"/>
      <c r="E22" s="1194"/>
      <c r="F22" s="1194"/>
      <c r="G22" s="1194"/>
      <c r="H22" s="1194"/>
      <c r="I22" s="1194"/>
      <c r="J22" s="1194"/>
      <c r="K22" s="1194"/>
      <c r="L22" s="1194"/>
      <c r="M22" s="1196"/>
      <c r="N22" s="1194"/>
      <c r="O22" s="1194"/>
      <c r="P22" s="1194"/>
      <c r="Q22" s="1194"/>
      <c r="R22" s="1194"/>
      <c r="S22" s="1194"/>
      <c r="T22" s="1194"/>
      <c r="U22" s="1194"/>
      <c r="V22" s="1194"/>
      <c r="W22" s="1194"/>
      <c r="X22" s="1194"/>
    </row>
    <row r="23" spans="1:26" s="1131" customFormat="1" ht="15" customHeight="1">
      <c r="A23" s="1194"/>
      <c r="B23" s="1195" t="s">
        <v>40</v>
      </c>
      <c r="C23" s="1194" t="s">
        <v>1</v>
      </c>
      <c r="D23" s="1194"/>
      <c r="E23" s="1194"/>
      <c r="F23" s="1194"/>
      <c r="G23" s="1194"/>
      <c r="H23" s="1198" t="s">
        <v>40</v>
      </c>
      <c r="I23" s="1194" t="s">
        <v>3932</v>
      </c>
      <c r="J23" s="1194"/>
      <c r="K23" s="1194"/>
      <c r="L23" s="1194"/>
      <c r="M23" s="1196"/>
      <c r="N23" s="1194"/>
      <c r="O23" s="1194"/>
      <c r="P23" s="1194"/>
      <c r="Q23" s="1194"/>
      <c r="R23" s="1194"/>
      <c r="S23" s="1194"/>
      <c r="T23" s="1194"/>
      <c r="U23" s="1194"/>
      <c r="V23" s="1194"/>
      <c r="W23" s="1194"/>
      <c r="X23" s="1194"/>
    </row>
    <row r="24" spans="1:26" s="1131" customFormat="1" ht="15" customHeight="1">
      <c r="A24" s="1193" t="s">
        <v>3933</v>
      </c>
      <c r="B24" s="1193"/>
      <c r="C24" s="1192"/>
      <c r="D24" s="1193"/>
      <c r="E24" s="1193"/>
      <c r="F24" s="1193"/>
      <c r="G24" s="1193"/>
      <c r="H24" s="1193"/>
      <c r="I24" s="1193"/>
      <c r="J24" s="1193"/>
      <c r="K24" s="1193"/>
      <c r="L24" s="1193"/>
      <c r="M24" s="1192"/>
      <c r="N24" s="1193"/>
      <c r="O24" s="1193"/>
      <c r="P24" s="1193"/>
      <c r="Q24" s="1193"/>
      <c r="R24" s="1193"/>
      <c r="S24" s="1193"/>
      <c r="T24" s="1193"/>
      <c r="U24" s="1193"/>
      <c r="V24" s="1193"/>
      <c r="W24" s="1193"/>
      <c r="X24" s="1193"/>
    </row>
    <row r="25" spans="1:26" s="1131" customFormat="1" ht="15" customHeight="1">
      <c r="A25" s="1194"/>
      <c r="B25" s="1198" t="s">
        <v>40</v>
      </c>
      <c r="C25" s="1196" t="s">
        <v>143</v>
      </c>
      <c r="D25" s="1194"/>
      <c r="E25" s="1194"/>
      <c r="F25" s="1194"/>
      <c r="G25" s="1194"/>
      <c r="H25" s="1198" t="s">
        <v>40</v>
      </c>
      <c r="I25" s="1194" t="s">
        <v>3934</v>
      </c>
      <c r="J25" s="1194"/>
      <c r="K25" s="1194"/>
      <c r="L25" s="1194"/>
      <c r="M25" s="1196"/>
      <c r="N25" s="1198" t="s">
        <v>40</v>
      </c>
      <c r="O25" s="1194" t="s">
        <v>1</v>
      </c>
      <c r="P25" s="1194"/>
      <c r="Q25" s="1194"/>
      <c r="R25" s="1194"/>
      <c r="S25" s="1194"/>
      <c r="T25" s="1194"/>
      <c r="U25" s="1194"/>
      <c r="V25" s="1194"/>
      <c r="W25" s="1194"/>
      <c r="X25" s="1194"/>
    </row>
    <row r="26" spans="1:26" s="1131" customFormat="1" ht="15" customHeight="1">
      <c r="A26"/>
      <c r="B26" s="1198" t="s">
        <v>40</v>
      </c>
      <c r="C26" s="1194" t="s">
        <v>3935</v>
      </c>
      <c r="D26" s="1194"/>
      <c r="E26" s="1196"/>
      <c r="F26" s="1194"/>
      <c r="G26" s="1194"/>
      <c r="H26" s="1198" t="s">
        <v>40</v>
      </c>
      <c r="I26" s="1194" t="s">
        <v>3936</v>
      </c>
      <c r="J26" s="1194"/>
      <c r="K26" s="1194"/>
      <c r="L26" s="1194"/>
      <c r="M26" s="1194"/>
      <c r="N26" s="1198" t="s">
        <v>40</v>
      </c>
      <c r="O26" s="1194" t="s">
        <v>3937</v>
      </c>
      <c r="P26" s="1194"/>
      <c r="Q26" s="1194"/>
      <c r="R26" s="1194"/>
      <c r="S26" s="1194"/>
      <c r="T26" s="1194"/>
      <c r="U26" s="1194"/>
      <c r="V26" s="1194"/>
      <c r="W26" s="1194"/>
      <c r="X26" s="1194"/>
    </row>
    <row r="27" spans="1:26" s="1127" customFormat="1" ht="15" customHeight="1">
      <c r="A27" s="1192" t="s">
        <v>3938</v>
      </c>
      <c r="B27" s="1192"/>
      <c r="C27" s="1193"/>
      <c r="D27" s="1193"/>
      <c r="E27" s="1193"/>
      <c r="F27" s="1193"/>
      <c r="G27" s="1193"/>
      <c r="H27" s="1193"/>
      <c r="I27" s="1193"/>
      <c r="J27" s="1193"/>
      <c r="K27" s="1193"/>
      <c r="L27" s="1193"/>
      <c r="M27" s="1193"/>
      <c r="N27" s="1193"/>
      <c r="O27" s="1193"/>
      <c r="P27" s="1193"/>
      <c r="Q27" s="1193"/>
      <c r="R27" s="1193"/>
      <c r="S27" s="1193"/>
      <c r="T27" s="1193"/>
      <c r="U27" s="1193"/>
      <c r="V27" s="1193"/>
      <c r="W27" s="1193"/>
      <c r="X27" s="1193"/>
    </row>
    <row r="28" spans="1:26" s="1127" customFormat="1" ht="15" customHeight="1">
      <c r="A28" s="1196"/>
      <c r="B28" s="1196" t="s">
        <v>3939</v>
      </c>
      <c r="C28" s="1194"/>
      <c r="D28" s="1194"/>
      <c r="E28" s="1194"/>
      <c r="F28" s="1194"/>
      <c r="G28" s="1194"/>
      <c r="H28" s="1194"/>
      <c r="I28" s="1199"/>
      <c r="J28" s="1194"/>
      <c r="K28" s="1194"/>
      <c r="L28" s="1194"/>
      <c r="M28" s="1196" t="s">
        <v>3940</v>
      </c>
      <c r="N28" s="1194"/>
      <c r="O28" s="1194"/>
      <c r="P28" s="1194"/>
      <c r="Q28" s="1194"/>
      <c r="R28" s="1194"/>
      <c r="S28" s="1194"/>
      <c r="T28" s="1199"/>
      <c r="U28" s="1194"/>
      <c r="V28" s="1194"/>
      <c r="W28" s="1194"/>
      <c r="X28" s="1194"/>
    </row>
    <row r="29" spans="1:26" s="1127" customFormat="1" ht="15" customHeight="1">
      <c r="A29" s="1196"/>
      <c r="B29" s="1196" t="s">
        <v>3941</v>
      </c>
      <c r="C29" s="1194"/>
      <c r="D29" s="1194"/>
      <c r="E29" s="1194"/>
      <c r="F29" s="1194"/>
      <c r="G29" s="1194"/>
      <c r="H29" s="1194"/>
      <c r="I29" s="1199"/>
      <c r="J29" s="1194"/>
      <c r="K29" s="1194"/>
      <c r="L29" s="1194"/>
      <c r="M29" s="1196" t="s">
        <v>3942</v>
      </c>
      <c r="N29" s="1194"/>
      <c r="O29" s="1194"/>
      <c r="P29" s="1194"/>
      <c r="Q29" s="1194"/>
      <c r="R29" s="1194"/>
      <c r="S29" s="1194"/>
      <c r="T29" s="1199"/>
      <c r="U29" s="1194"/>
      <c r="V29" s="1194"/>
      <c r="W29" s="1194"/>
      <c r="X29" s="1194"/>
      <c r="Y29" s="1200"/>
      <c r="Z29" s="1200"/>
    </row>
    <row r="30" spans="1:26" s="1127" customFormat="1" ht="15" customHeight="1">
      <c r="A30" s="1192" t="s">
        <v>3943</v>
      </c>
      <c r="B30" s="1201"/>
      <c r="C30" s="1193"/>
      <c r="D30" s="1193"/>
      <c r="E30" s="1193"/>
      <c r="F30" s="1193"/>
      <c r="G30" s="1193"/>
      <c r="H30" s="1193"/>
      <c r="I30" s="1193"/>
      <c r="J30" s="1193"/>
      <c r="K30" s="1193"/>
      <c r="L30" s="1193"/>
      <c r="M30" s="1193"/>
      <c r="N30" s="1193"/>
      <c r="O30" s="1193"/>
      <c r="P30" s="1193"/>
      <c r="Q30" s="1193"/>
      <c r="R30" s="1193"/>
      <c r="S30" s="1193"/>
      <c r="T30" s="1193"/>
      <c r="U30" s="1193"/>
      <c r="V30" s="1193"/>
      <c r="W30" s="1193"/>
      <c r="X30" s="1193"/>
    </row>
    <row r="31" spans="1:26" s="1127" customFormat="1" ht="15" customHeight="1">
      <c r="A31" s="1196"/>
      <c r="B31" s="1196" t="s">
        <v>3944</v>
      </c>
      <c r="C31" s="1194"/>
      <c r="D31" s="1194"/>
      <c r="E31" s="1194"/>
      <c r="F31" s="1194"/>
      <c r="G31" s="1194"/>
      <c r="H31" s="1408"/>
      <c r="I31" s="1408"/>
      <c r="J31" s="1408"/>
      <c r="K31" s="1194" t="s">
        <v>3822</v>
      </c>
      <c r="L31" s="1194"/>
      <c r="M31" s="1196" t="s">
        <v>3945</v>
      </c>
      <c r="N31" s="1194"/>
      <c r="O31" s="1194"/>
      <c r="P31" s="1194"/>
      <c r="Q31" s="1194"/>
      <c r="R31" s="1194"/>
      <c r="S31" s="1408"/>
      <c r="T31" s="1408"/>
      <c r="U31" s="1408"/>
      <c r="V31" s="1194" t="s">
        <v>3822</v>
      </c>
      <c r="W31" s="1194"/>
      <c r="X31" s="1194"/>
    </row>
    <row r="32" spans="1:26" s="1127" customFormat="1" ht="15" customHeight="1">
      <c r="A32" s="1123" t="s">
        <v>3946</v>
      </c>
      <c r="B32" s="1126"/>
      <c r="C32" s="1126"/>
      <c r="D32" s="1126"/>
      <c r="E32" s="1126"/>
      <c r="F32" s="1126"/>
      <c r="G32" s="1126"/>
      <c r="H32" s="1126"/>
      <c r="I32" s="1126"/>
      <c r="J32" s="1126"/>
      <c r="K32" s="1126"/>
      <c r="L32" s="1126"/>
      <c r="M32" s="1126"/>
      <c r="N32" s="1126"/>
      <c r="O32" s="1126"/>
      <c r="P32" s="1126"/>
      <c r="Q32" s="1126"/>
      <c r="R32" s="1126"/>
      <c r="S32" s="1126"/>
      <c r="T32" s="1126"/>
      <c r="U32" s="1126"/>
      <c r="V32" s="1126"/>
      <c r="W32" s="1126"/>
      <c r="X32" s="1126"/>
    </row>
    <row r="33" spans="1:24" s="1127" customFormat="1" ht="15" customHeight="1">
      <c r="B33" s="1191" t="s">
        <v>40</v>
      </c>
      <c r="C33" s="1127" t="s">
        <v>3947</v>
      </c>
      <c r="E33" s="1191" t="s">
        <v>40</v>
      </c>
      <c r="F33" s="1127" t="s">
        <v>3948</v>
      </c>
      <c r="H33" s="1191" t="s">
        <v>40</v>
      </c>
      <c r="I33" s="1127" t="s">
        <v>3949</v>
      </c>
      <c r="K33" s="1191" t="s">
        <v>40</v>
      </c>
      <c r="L33" s="1127" t="s">
        <v>3950</v>
      </c>
      <c r="N33" s="1191" t="s">
        <v>40</v>
      </c>
      <c r="O33" s="1127" t="s">
        <v>3951</v>
      </c>
      <c r="Q33" s="1191" t="s">
        <v>40</v>
      </c>
      <c r="R33" s="1127" t="s">
        <v>3952</v>
      </c>
      <c r="T33" s="1191" t="s">
        <v>40</v>
      </c>
      <c r="U33" s="1127" t="s">
        <v>3953</v>
      </c>
    </row>
    <row r="34" spans="1:24" s="1127" customFormat="1" ht="15" customHeight="1">
      <c r="B34" s="1191" t="s">
        <v>40</v>
      </c>
      <c r="C34" s="1127" t="s">
        <v>3954</v>
      </c>
      <c r="E34" s="1191" t="s">
        <v>40</v>
      </c>
      <c r="F34" s="1127" t="s">
        <v>3955</v>
      </c>
      <c r="H34" s="1191" t="s">
        <v>40</v>
      </c>
      <c r="I34" s="1127" t="s">
        <v>3956</v>
      </c>
      <c r="L34" s="1202"/>
      <c r="M34" s="1127" t="s">
        <v>3957</v>
      </c>
      <c r="O34" s="1191" t="s">
        <v>40</v>
      </c>
      <c r="P34" s="1127" t="s">
        <v>1216</v>
      </c>
      <c r="R34" s="1191" t="s">
        <v>40</v>
      </c>
      <c r="S34" s="1409"/>
      <c r="T34" s="1410"/>
      <c r="U34" s="1410"/>
      <c r="V34" s="1410"/>
      <c r="W34" s="1410"/>
      <c r="X34" s="1410"/>
    </row>
    <row r="35" spans="1:24" s="1127" customFormat="1" ht="15" customHeight="1">
      <c r="A35" s="1123" t="s">
        <v>3958</v>
      </c>
      <c r="B35" s="1123"/>
      <c r="C35" s="1126"/>
      <c r="D35" s="1126"/>
      <c r="E35" s="1126"/>
      <c r="F35" s="1126"/>
      <c r="G35" s="1126"/>
      <c r="H35" s="1126"/>
      <c r="I35" s="1126"/>
      <c r="J35" s="1126"/>
      <c r="K35" s="1126"/>
      <c r="L35" s="1126"/>
      <c r="M35" s="1126"/>
      <c r="N35" s="1126"/>
      <c r="O35" s="1126"/>
      <c r="P35" s="1126"/>
      <c r="Q35" s="1126"/>
      <c r="R35" s="1126"/>
      <c r="S35" s="1126"/>
      <c r="T35" s="1126"/>
      <c r="U35" s="1126"/>
      <c r="V35" s="1126"/>
      <c r="W35" s="1126"/>
      <c r="X35" s="1126"/>
    </row>
    <row r="36" spans="1:24" s="1127" customFormat="1" ht="15" customHeight="1">
      <c r="A36" s="1118"/>
      <c r="B36" s="1118" t="s">
        <v>3959</v>
      </c>
    </row>
    <row r="37" spans="1:24" s="1127" customFormat="1" ht="15" customHeight="1">
      <c r="A37" s="1118"/>
      <c r="B37" s="1118"/>
      <c r="C37" s="1127" t="s">
        <v>3960</v>
      </c>
      <c r="T37" s="1191" t="s">
        <v>40</v>
      </c>
      <c r="U37" s="1118" t="s">
        <v>3889</v>
      </c>
      <c r="V37" s="1191" t="s">
        <v>40</v>
      </c>
      <c r="W37" s="1118" t="s">
        <v>3890</v>
      </c>
    </row>
    <row r="38" spans="1:24" s="1127" customFormat="1" ht="15" customHeight="1">
      <c r="A38" s="1118"/>
      <c r="B38" s="1112" t="s">
        <v>3961</v>
      </c>
      <c r="C38" s="1118"/>
      <c r="D38" s="1118"/>
      <c r="E38" s="1118"/>
      <c r="F38" s="1118"/>
      <c r="G38" s="1118"/>
      <c r="T38" s="1203"/>
      <c r="U38" s="1118"/>
      <c r="V38" s="1203"/>
      <c r="W38" s="1118"/>
    </row>
    <row r="39" spans="1:24" s="1127" customFormat="1" ht="15" customHeight="1">
      <c r="A39" s="1118"/>
      <c r="B39" s="1112"/>
      <c r="C39" s="1191" t="s">
        <v>40</v>
      </c>
      <c r="D39" s="1411" t="s">
        <v>3962</v>
      </c>
      <c r="E39" s="1411"/>
      <c r="F39" s="1411"/>
      <c r="G39" s="1411"/>
      <c r="H39" s="1411"/>
      <c r="I39" s="1411"/>
      <c r="J39" s="1411"/>
      <c r="K39" s="1411"/>
      <c r="L39" s="1411"/>
      <c r="M39" s="1411"/>
      <c r="N39" s="1411"/>
      <c r="O39" s="1411"/>
      <c r="P39" s="1411"/>
      <c r="Q39" s="1411"/>
      <c r="R39" s="1411"/>
      <c r="S39" s="1411"/>
      <c r="T39" s="1411"/>
      <c r="U39" s="1411"/>
      <c r="V39" s="1411"/>
      <c r="W39" s="1411"/>
      <c r="X39" s="1411"/>
    </row>
    <row r="40" spans="1:24" s="1127" customFormat="1" ht="15" customHeight="1">
      <c r="A40" s="1118"/>
      <c r="B40" s="1112"/>
      <c r="C40" s="1191" t="s">
        <v>40</v>
      </c>
      <c r="D40" s="1411" t="s">
        <v>3963</v>
      </c>
      <c r="E40" s="1411"/>
      <c r="F40" s="1411"/>
      <c r="G40" s="1411"/>
      <c r="H40" s="1411"/>
      <c r="I40" s="1411"/>
      <c r="J40" s="1411"/>
      <c r="K40" s="1411"/>
      <c r="L40" s="1411"/>
      <c r="M40" s="1411"/>
      <c r="N40" s="1411"/>
      <c r="O40" s="1411"/>
      <c r="P40" s="1411"/>
      <c r="Q40" s="1411"/>
      <c r="R40" s="1411"/>
      <c r="S40" s="1411"/>
      <c r="T40" s="1411"/>
      <c r="U40" s="1411"/>
      <c r="V40" s="1411"/>
      <c r="W40" s="1411"/>
      <c r="X40" s="1411"/>
    </row>
    <row r="41" spans="1:24" s="1127" customFormat="1" ht="15" customHeight="1">
      <c r="A41" s="1118"/>
      <c r="B41" s="1112"/>
      <c r="C41" s="1118"/>
      <c r="D41" s="1118" t="s">
        <v>3964</v>
      </c>
      <c r="E41" s="1118"/>
      <c r="F41" s="1118"/>
      <c r="G41" s="1118"/>
      <c r="T41" s="1203"/>
      <c r="U41" s="1118"/>
      <c r="V41" s="1203"/>
      <c r="W41" s="1118"/>
    </row>
    <row r="42" spans="1:24" s="1127" customFormat="1" ht="15" customHeight="1">
      <c r="A42" s="1118"/>
      <c r="B42" s="1112"/>
      <c r="C42" s="1118"/>
      <c r="D42" s="1118" t="s">
        <v>3965</v>
      </c>
      <c r="E42" s="1118"/>
      <c r="F42" s="1118"/>
      <c r="G42" s="1118"/>
      <c r="T42" s="1203"/>
      <c r="U42" s="1118"/>
      <c r="V42" s="1203"/>
      <c r="W42" s="1118"/>
    </row>
    <row r="43" spans="1:24" s="1127" customFormat="1" ht="15" customHeight="1">
      <c r="A43" s="1118"/>
      <c r="B43" s="1112"/>
      <c r="C43" s="1118"/>
      <c r="D43" s="1118"/>
      <c r="E43" s="1118" t="s">
        <v>3966</v>
      </c>
      <c r="F43" s="1118"/>
      <c r="G43" s="1118"/>
      <c r="L43" s="1412"/>
      <c r="M43" s="1412"/>
      <c r="N43" s="1412"/>
      <c r="O43" s="1412"/>
      <c r="P43" s="1412"/>
      <c r="Q43" s="1412"/>
      <c r="R43" s="1412"/>
      <c r="S43" s="1412"/>
      <c r="T43" s="1412"/>
      <c r="U43" s="1412"/>
      <c r="V43" s="1412"/>
      <c r="W43" s="1412"/>
      <c r="X43" s="1412"/>
    </row>
    <row r="44" spans="1:24" s="1127" customFormat="1" ht="15" customHeight="1">
      <c r="A44" s="1118"/>
      <c r="B44" s="1112"/>
      <c r="C44" s="1118"/>
      <c r="D44" s="1118"/>
      <c r="E44" s="1118" t="s">
        <v>3967</v>
      </c>
      <c r="F44" s="1118"/>
      <c r="G44" s="1118"/>
      <c r="M44" s="1118"/>
      <c r="O44" s="1412"/>
      <c r="P44" s="1412"/>
      <c r="Q44" s="1412"/>
      <c r="R44" s="1412"/>
      <c r="S44" s="1412"/>
      <c r="T44" s="1412"/>
      <c r="U44" s="1412"/>
      <c r="V44" s="1412"/>
      <c r="W44" s="1412"/>
      <c r="X44" s="1118" t="s">
        <v>381</v>
      </c>
    </row>
    <row r="45" spans="1:24" s="1127" customFormat="1" ht="15" customHeight="1">
      <c r="A45" s="1118"/>
      <c r="B45" s="1118" t="s">
        <v>3968</v>
      </c>
      <c r="T45" s="1191" t="s">
        <v>40</v>
      </c>
      <c r="U45" s="1118" t="s">
        <v>3889</v>
      </c>
      <c r="V45" s="1191" t="s">
        <v>40</v>
      </c>
      <c r="W45" s="1118" t="s">
        <v>3890</v>
      </c>
    </row>
    <row r="46" spans="1:24" s="1127" customFormat="1" ht="15" customHeight="1">
      <c r="A46" s="1118"/>
      <c r="B46" s="1118" t="s">
        <v>3969</v>
      </c>
    </row>
    <row r="47" spans="1:24" s="1127" customFormat="1" ht="15" customHeight="1">
      <c r="A47" s="1118"/>
      <c r="B47" s="1118"/>
      <c r="F47" s="1191" t="s">
        <v>40</v>
      </c>
      <c r="G47" s="1127" t="s">
        <v>634</v>
      </c>
      <c r="J47" s="1191" t="s">
        <v>40</v>
      </c>
      <c r="K47" s="1127" t="s">
        <v>635</v>
      </c>
      <c r="N47" s="1191" t="s">
        <v>40</v>
      </c>
      <c r="O47" s="1127" t="s">
        <v>636</v>
      </c>
      <c r="R47" s="1191" t="s">
        <v>40</v>
      </c>
      <c r="S47" s="1127" t="s">
        <v>637</v>
      </c>
    </row>
    <row r="48" spans="1:24" s="1127" customFormat="1" ht="15" customHeight="1">
      <c r="A48" s="1118"/>
      <c r="B48" s="1118" t="s">
        <v>3970</v>
      </c>
      <c r="C48" s="1204"/>
      <c r="D48" s="1204"/>
      <c r="E48" s="1204"/>
      <c r="F48" s="1204"/>
      <c r="G48" s="1204"/>
      <c r="H48" s="1204"/>
      <c r="I48" s="1204"/>
      <c r="J48" s="1118" t="s">
        <v>3065</v>
      </c>
      <c r="K48" s="1400"/>
      <c r="L48" s="1400"/>
      <c r="M48" s="1400"/>
      <c r="N48" s="1400"/>
      <c r="O48" s="1400"/>
      <c r="P48" s="1400"/>
      <c r="Q48" s="1400"/>
      <c r="R48" s="1118" t="s">
        <v>381</v>
      </c>
      <c r="S48" s="1204"/>
      <c r="T48" s="1204"/>
      <c r="U48" s="1204"/>
      <c r="V48" s="1204"/>
      <c r="W48" s="1204"/>
      <c r="X48" s="1204"/>
    </row>
    <row r="49" spans="1:24" s="1127" customFormat="1" ht="15" customHeight="1">
      <c r="A49" s="1118"/>
      <c r="B49" s="1118" t="s">
        <v>3971</v>
      </c>
      <c r="D49" s="1204"/>
      <c r="E49" s="1204"/>
      <c r="F49" s="1204"/>
      <c r="G49" s="1204"/>
      <c r="H49" s="1204"/>
      <c r="J49" s="1191" t="s">
        <v>40</v>
      </c>
      <c r="K49" s="1118" t="s">
        <v>3972</v>
      </c>
      <c r="L49" s="1185"/>
      <c r="M49" s="1185"/>
      <c r="N49" s="1185"/>
      <c r="V49" s="1204"/>
      <c r="W49" s="1204"/>
      <c r="X49" s="1204"/>
    </row>
    <row r="50" spans="1:24" s="1127" customFormat="1" ht="15" customHeight="1">
      <c r="A50" s="1118"/>
      <c r="B50" s="1118"/>
      <c r="J50" s="1191" t="s">
        <v>40</v>
      </c>
      <c r="K50" s="1118" t="s">
        <v>3973</v>
      </c>
    </row>
    <row r="51" spans="1:24" s="1127" customFormat="1" ht="15" customHeight="1">
      <c r="A51" s="1118"/>
      <c r="B51" s="1118" t="s">
        <v>3974</v>
      </c>
      <c r="J51" s="1399"/>
      <c r="K51" s="1399"/>
      <c r="L51" s="1399"/>
      <c r="M51" s="1399"/>
      <c r="N51" s="1399"/>
      <c r="O51" s="1399"/>
      <c r="P51" s="1399"/>
      <c r="Q51" s="1399"/>
      <c r="R51" s="1399"/>
      <c r="S51" s="1399"/>
      <c r="T51" s="1399"/>
      <c r="U51" s="1399"/>
      <c r="V51" s="1399"/>
      <c r="W51" s="1399"/>
      <c r="X51" s="1399"/>
    </row>
    <row r="52" spans="1:24" s="1127" customFormat="1" ht="15" customHeight="1">
      <c r="A52" s="1123" t="s">
        <v>3975</v>
      </c>
      <c r="B52" s="1123"/>
      <c r="C52" s="1123"/>
      <c r="D52" s="1123"/>
      <c r="E52" s="1123"/>
      <c r="F52" s="1123"/>
      <c r="G52" s="1123"/>
      <c r="H52" s="1128" t="s">
        <v>3976</v>
      </c>
      <c r="I52" s="1123" t="s">
        <v>1063</v>
      </c>
      <c r="J52" s="1123"/>
      <c r="K52" s="1123"/>
      <c r="L52" s="1206" t="s">
        <v>3849</v>
      </c>
      <c r="M52" s="1123"/>
      <c r="N52" s="1123"/>
      <c r="O52" s="1123"/>
      <c r="P52" s="1123"/>
      <c r="Q52" s="1123" t="s">
        <v>3850</v>
      </c>
      <c r="R52" s="1123"/>
      <c r="S52" s="1123" t="s">
        <v>3851</v>
      </c>
      <c r="T52" s="1123"/>
      <c r="U52" s="1123"/>
      <c r="V52" s="1123" t="s">
        <v>3852</v>
      </c>
      <c r="W52" s="1126"/>
      <c r="X52" s="1126"/>
    </row>
    <row r="53" spans="1:24" s="1127" customFormat="1" ht="15" customHeight="1">
      <c r="B53" s="1118" t="s">
        <v>3977</v>
      </c>
      <c r="E53" s="1118" t="s">
        <v>2</v>
      </c>
      <c r="F53" s="1205"/>
      <c r="G53" s="1118" t="s">
        <v>3978</v>
      </c>
      <c r="H53" s="1120" t="s">
        <v>3976</v>
      </c>
      <c r="I53" s="1397"/>
      <c r="J53" s="1397"/>
      <c r="K53" s="1397"/>
      <c r="L53" s="1118" t="s">
        <v>3854</v>
      </c>
      <c r="N53" s="1397"/>
      <c r="O53" s="1397"/>
      <c r="P53" s="1397"/>
      <c r="Q53" s="1118" t="s">
        <v>3855</v>
      </c>
      <c r="S53" s="1398">
        <f t="shared" ref="S53:S61" si="0">SUM(I53,N53)</f>
        <v>0</v>
      </c>
      <c r="T53" s="1398"/>
      <c r="U53" s="1398"/>
      <c r="V53" s="1118" t="s">
        <v>3856</v>
      </c>
    </row>
    <row r="54" spans="1:24" s="1127" customFormat="1" ht="15" customHeight="1">
      <c r="E54" s="1118" t="s">
        <v>2</v>
      </c>
      <c r="F54" s="1205"/>
      <c r="G54" s="1118" t="s">
        <v>3978</v>
      </c>
      <c r="H54" s="1120" t="s">
        <v>3976</v>
      </c>
      <c r="I54" s="1397"/>
      <c r="J54" s="1397"/>
      <c r="K54" s="1397"/>
      <c r="L54" s="1118" t="s">
        <v>3854</v>
      </c>
      <c r="N54" s="1397"/>
      <c r="O54" s="1397"/>
      <c r="P54" s="1397"/>
      <c r="Q54" s="1118" t="s">
        <v>3855</v>
      </c>
      <c r="S54" s="1398">
        <f t="shared" si="0"/>
        <v>0</v>
      </c>
      <c r="T54" s="1398"/>
      <c r="U54" s="1398"/>
      <c r="V54" s="1118" t="s">
        <v>3856</v>
      </c>
    </row>
    <row r="55" spans="1:24" s="1127" customFormat="1" ht="15" customHeight="1">
      <c r="E55" s="1118" t="s">
        <v>2</v>
      </c>
      <c r="F55" s="1205"/>
      <c r="G55" s="1118" t="s">
        <v>3978</v>
      </c>
      <c r="H55" s="1120" t="s">
        <v>3976</v>
      </c>
      <c r="I55" s="1397"/>
      <c r="J55" s="1397"/>
      <c r="K55" s="1397"/>
      <c r="L55" s="1118" t="s">
        <v>3854</v>
      </c>
      <c r="N55" s="1397"/>
      <c r="O55" s="1397"/>
      <c r="P55" s="1397"/>
      <c r="Q55" s="1118" t="s">
        <v>3855</v>
      </c>
      <c r="S55" s="1398">
        <f t="shared" si="0"/>
        <v>0</v>
      </c>
      <c r="T55" s="1398"/>
      <c r="U55" s="1398"/>
      <c r="V55" s="1118" t="s">
        <v>3856</v>
      </c>
    </row>
    <row r="56" spans="1:24" s="1127" customFormat="1" ht="15" customHeight="1">
      <c r="E56" s="1118" t="s">
        <v>2</v>
      </c>
      <c r="F56" s="1205"/>
      <c r="G56" s="1118" t="s">
        <v>3978</v>
      </c>
      <c r="H56" s="1120" t="s">
        <v>3976</v>
      </c>
      <c r="I56" s="1397"/>
      <c r="J56" s="1397"/>
      <c r="K56" s="1397"/>
      <c r="L56" s="1118" t="s">
        <v>3854</v>
      </c>
      <c r="N56" s="1397"/>
      <c r="O56" s="1397"/>
      <c r="P56" s="1397"/>
      <c r="Q56" s="1118" t="s">
        <v>3855</v>
      </c>
      <c r="S56" s="1398">
        <f t="shared" si="0"/>
        <v>0</v>
      </c>
      <c r="T56" s="1398"/>
      <c r="U56" s="1398"/>
      <c r="V56" s="1118" t="s">
        <v>3856</v>
      </c>
    </row>
    <row r="57" spans="1:24" s="1127" customFormat="1" ht="15" customHeight="1">
      <c r="E57" s="1118" t="s">
        <v>2</v>
      </c>
      <c r="F57" s="1205"/>
      <c r="G57" s="1118" t="s">
        <v>3978</v>
      </c>
      <c r="H57" s="1120" t="s">
        <v>3976</v>
      </c>
      <c r="I57" s="1397"/>
      <c r="J57" s="1397"/>
      <c r="K57" s="1397"/>
      <c r="L57" s="1118" t="s">
        <v>3854</v>
      </c>
      <c r="N57" s="1397"/>
      <c r="O57" s="1397"/>
      <c r="P57" s="1397"/>
      <c r="Q57" s="1118" t="s">
        <v>3855</v>
      </c>
      <c r="S57" s="1398">
        <f t="shared" si="0"/>
        <v>0</v>
      </c>
      <c r="T57" s="1398"/>
      <c r="U57" s="1398"/>
      <c r="V57" s="1118" t="s">
        <v>3856</v>
      </c>
    </row>
    <row r="58" spans="1:24" s="1127" customFormat="1" ht="15" customHeight="1">
      <c r="E58" s="1118" t="s">
        <v>2</v>
      </c>
      <c r="F58" s="1205"/>
      <c r="G58" s="1118" t="s">
        <v>3978</v>
      </c>
      <c r="H58" s="1120" t="s">
        <v>3976</v>
      </c>
      <c r="I58" s="1397"/>
      <c r="J58" s="1397"/>
      <c r="K58" s="1397"/>
      <c r="L58" s="1118" t="s">
        <v>3854</v>
      </c>
      <c r="N58" s="1397"/>
      <c r="O58" s="1397"/>
      <c r="P58" s="1397"/>
      <c r="Q58" s="1118" t="s">
        <v>3855</v>
      </c>
      <c r="S58" s="1398">
        <f t="shared" si="0"/>
        <v>0</v>
      </c>
      <c r="T58" s="1398"/>
      <c r="U58" s="1398"/>
      <c r="V58" s="1118" t="s">
        <v>3856</v>
      </c>
    </row>
    <row r="59" spans="1:24" s="1127" customFormat="1" ht="15" customHeight="1">
      <c r="E59" s="1118" t="s">
        <v>2</v>
      </c>
      <c r="F59" s="1205"/>
      <c r="G59" s="1118" t="s">
        <v>3978</v>
      </c>
      <c r="H59" s="1120" t="s">
        <v>3976</v>
      </c>
      <c r="I59" s="1397"/>
      <c r="J59" s="1397"/>
      <c r="K59" s="1397"/>
      <c r="L59" s="1118" t="s">
        <v>3854</v>
      </c>
      <c r="N59" s="1397"/>
      <c r="O59" s="1397"/>
      <c r="P59" s="1397"/>
      <c r="Q59" s="1118" t="s">
        <v>3855</v>
      </c>
      <c r="S59" s="1398">
        <f t="shared" si="0"/>
        <v>0</v>
      </c>
      <c r="T59" s="1398"/>
      <c r="U59" s="1398"/>
      <c r="V59" s="1118" t="s">
        <v>3856</v>
      </c>
    </row>
    <row r="60" spans="1:24" s="1127" customFormat="1" ht="15" customHeight="1">
      <c r="E60" s="1118" t="s">
        <v>2</v>
      </c>
      <c r="F60" s="1205"/>
      <c r="G60" s="1118" t="s">
        <v>3978</v>
      </c>
      <c r="H60" s="1120" t="s">
        <v>3976</v>
      </c>
      <c r="I60" s="1397"/>
      <c r="J60" s="1397"/>
      <c r="K60" s="1397"/>
      <c r="L60" s="1118" t="s">
        <v>3854</v>
      </c>
      <c r="N60" s="1397"/>
      <c r="O60" s="1397"/>
      <c r="P60" s="1397"/>
      <c r="Q60" s="1118" t="s">
        <v>3855</v>
      </c>
      <c r="S60" s="1398">
        <f t="shared" si="0"/>
        <v>0</v>
      </c>
      <c r="T60" s="1398"/>
      <c r="U60" s="1398"/>
      <c r="V60" s="1118" t="s">
        <v>3856</v>
      </c>
    </row>
    <row r="61" spans="1:24" s="1127" customFormat="1" ht="15" customHeight="1">
      <c r="B61" s="1127" t="s">
        <v>3979</v>
      </c>
      <c r="H61" s="1203" t="s">
        <v>3976</v>
      </c>
      <c r="I61" s="1393">
        <f>SUM(I53:K60)</f>
        <v>0</v>
      </c>
      <c r="J61" s="1393"/>
      <c r="K61" s="1393"/>
      <c r="L61" s="1118" t="s">
        <v>3854</v>
      </c>
      <c r="N61" s="1393">
        <f>SUM(N53:P60)</f>
        <v>0</v>
      </c>
      <c r="O61" s="1393"/>
      <c r="P61" s="1393"/>
      <c r="Q61" s="1118" t="s">
        <v>3855</v>
      </c>
      <c r="S61" s="1394">
        <f t="shared" si="0"/>
        <v>0</v>
      </c>
      <c r="T61" s="1394"/>
      <c r="U61" s="1394"/>
      <c r="V61" s="1118" t="s">
        <v>3856</v>
      </c>
    </row>
    <row r="62" spans="1:24" s="1127" customFormat="1" ht="15" customHeight="1">
      <c r="A62" s="1123" t="s">
        <v>3980</v>
      </c>
      <c r="B62" s="1126"/>
      <c r="C62" s="1126"/>
      <c r="D62" s="1126"/>
      <c r="E62" s="1395"/>
      <c r="F62" s="1395"/>
      <c r="G62" s="1395"/>
      <c r="H62" s="1395"/>
      <c r="I62" s="1395"/>
      <c r="J62" s="1395"/>
      <c r="K62" s="1395"/>
      <c r="L62" s="1395"/>
      <c r="M62" s="1395"/>
      <c r="N62" s="1395"/>
      <c r="O62" s="1395"/>
      <c r="P62" s="1395"/>
      <c r="Q62" s="1395"/>
      <c r="R62" s="1395"/>
      <c r="S62" s="1395"/>
      <c r="T62" s="1395"/>
      <c r="U62" s="1395"/>
      <c r="V62" s="1395"/>
      <c r="W62" s="1395"/>
      <c r="X62" s="1395"/>
    </row>
    <row r="63" spans="1:24" s="1127" customFormat="1" ht="15" customHeight="1">
      <c r="A63" s="1123" t="s">
        <v>3981</v>
      </c>
      <c r="B63" s="1126"/>
      <c r="C63" s="1126"/>
      <c r="D63" s="1126"/>
      <c r="E63" s="1396"/>
      <c r="F63" s="1396"/>
      <c r="G63" s="1396"/>
      <c r="H63" s="1396"/>
      <c r="I63" s="1396"/>
      <c r="J63" s="1396"/>
      <c r="K63" s="1396"/>
      <c r="L63" s="1396"/>
      <c r="M63" s="1396"/>
      <c r="N63" s="1396"/>
      <c r="O63" s="1396"/>
      <c r="P63" s="1396"/>
      <c r="Q63" s="1396"/>
      <c r="R63" s="1396"/>
      <c r="S63" s="1396"/>
      <c r="T63" s="1396"/>
      <c r="U63" s="1396"/>
      <c r="V63" s="1396"/>
      <c r="W63" s="1396"/>
      <c r="X63" s="1396"/>
    </row>
    <row r="64" spans="1:24" s="1127" customFormat="1" ht="15" customHeight="1">
      <c r="A64" s="1116"/>
      <c r="B64" s="1207"/>
      <c r="C64" s="1207"/>
      <c r="D64" s="1207"/>
      <c r="E64" s="1384"/>
      <c r="F64" s="1384"/>
      <c r="G64" s="1384"/>
      <c r="H64" s="1384"/>
      <c r="I64" s="1384"/>
      <c r="J64" s="1384"/>
      <c r="K64" s="1384"/>
      <c r="L64" s="1384"/>
      <c r="M64" s="1384"/>
      <c r="N64" s="1384"/>
      <c r="O64" s="1384"/>
      <c r="P64" s="1384"/>
      <c r="Q64" s="1384"/>
      <c r="R64" s="1384"/>
      <c r="S64" s="1384"/>
      <c r="T64" s="1384"/>
      <c r="U64" s="1384"/>
      <c r="V64" s="1384"/>
      <c r="W64" s="1384"/>
      <c r="X64" s="1384"/>
    </row>
    <row r="65" spans="1:24" s="1127" customFormat="1" ht="15" customHeight="1">
      <c r="A65" s="1186" t="s">
        <v>3982</v>
      </c>
      <c r="B65" s="1187"/>
      <c r="C65" s="1187"/>
      <c r="D65" s="1187"/>
      <c r="E65" s="1384"/>
      <c r="F65" s="1384"/>
      <c r="G65" s="1384"/>
      <c r="H65" s="1384"/>
      <c r="I65" s="1384"/>
      <c r="J65" s="1384"/>
      <c r="K65" s="1384"/>
      <c r="L65" s="1384"/>
      <c r="M65" s="1384"/>
      <c r="N65" s="1384"/>
      <c r="O65" s="1384"/>
      <c r="P65" s="1384"/>
      <c r="Q65" s="1384"/>
      <c r="R65" s="1384"/>
      <c r="S65" s="1384"/>
      <c r="T65" s="1384"/>
      <c r="U65" s="1384"/>
      <c r="V65" s="1384"/>
      <c r="W65" s="1384"/>
      <c r="X65" s="1384"/>
    </row>
    <row r="66" spans="1:24" s="1127" customFormat="1" ht="15" customHeight="1">
      <c r="A66" s="1186" t="s">
        <v>3983</v>
      </c>
      <c r="B66" s="1187"/>
      <c r="C66" s="1187"/>
      <c r="D66" s="1187"/>
      <c r="E66" s="1187"/>
      <c r="F66" s="1187"/>
      <c r="G66" s="1187"/>
      <c r="H66" s="1385"/>
      <c r="I66" s="1385"/>
      <c r="J66" s="1187" t="s">
        <v>3984</v>
      </c>
      <c r="K66" s="1187"/>
      <c r="L66" s="1187"/>
      <c r="M66" s="1187"/>
      <c r="N66" s="1187"/>
      <c r="O66" s="1187"/>
      <c r="P66" s="1187"/>
      <c r="Q66" s="1187"/>
      <c r="R66" s="1187"/>
      <c r="S66" s="1187"/>
      <c r="T66" s="1187"/>
      <c r="U66" s="1187"/>
      <c r="V66" s="1187"/>
      <c r="W66" s="1187"/>
      <c r="X66" s="1126"/>
    </row>
    <row r="67" spans="1:24" s="1127" customFormat="1" ht="15" customHeight="1">
      <c r="A67" s="1186" t="s">
        <v>3985</v>
      </c>
      <c r="B67" s="1187"/>
      <c r="C67" s="1187"/>
      <c r="D67" s="1187"/>
      <c r="E67" s="1187"/>
      <c r="F67" s="1187"/>
      <c r="G67" s="1187"/>
      <c r="H67" s="1191" t="s">
        <v>40</v>
      </c>
      <c r="I67" s="1187" t="s">
        <v>153</v>
      </c>
      <c r="J67" s="1187"/>
      <c r="K67" s="1191" t="s">
        <v>40</v>
      </c>
      <c r="L67" s="1187" t="s">
        <v>3986</v>
      </c>
      <c r="M67" s="1187"/>
      <c r="N67" s="1386"/>
      <c r="O67" s="1387"/>
      <c r="P67" s="1387"/>
      <c r="Q67" s="1387"/>
      <c r="R67" s="1387"/>
      <c r="S67" s="1187" t="s">
        <v>3799</v>
      </c>
      <c r="T67" s="1187"/>
      <c r="U67" s="1187"/>
      <c r="V67" s="1187"/>
      <c r="X67" s="1187"/>
    </row>
    <row r="68" spans="1:24" s="1127" customFormat="1" ht="15" customHeight="1">
      <c r="A68" s="1186" t="s">
        <v>3987</v>
      </c>
      <c r="B68" s="1187"/>
      <c r="C68" s="1187"/>
      <c r="D68" s="1187"/>
      <c r="E68" s="1187"/>
      <c r="F68" s="1187"/>
      <c r="G68" s="1187"/>
      <c r="H68" s="1208" t="s">
        <v>40</v>
      </c>
      <c r="I68" s="1187" t="s">
        <v>3988</v>
      </c>
      <c r="J68" s="1187"/>
      <c r="K68" s="1187"/>
      <c r="L68" s="1187"/>
      <c r="M68" s="1187"/>
      <c r="N68" s="1187"/>
      <c r="O68" s="1187"/>
      <c r="P68" s="1187"/>
      <c r="Q68" s="1187"/>
      <c r="R68" s="1187"/>
      <c r="S68" s="1187"/>
      <c r="T68" s="1187"/>
      <c r="U68" s="1187"/>
      <c r="V68" s="1187"/>
      <c r="W68" s="1126"/>
      <c r="X68" s="1187"/>
    </row>
    <row r="69" spans="1:24" s="1127" customFormat="1" ht="15" customHeight="1">
      <c r="A69" s="1123" t="s">
        <v>3989</v>
      </c>
      <c r="B69" s="1126"/>
      <c r="C69" s="1126"/>
      <c r="D69" s="1388"/>
      <c r="E69" s="1389"/>
      <c r="F69" s="1389"/>
      <c r="G69" s="1389"/>
      <c r="H69" s="1389"/>
      <c r="I69" s="1389"/>
      <c r="J69" s="1389"/>
      <c r="K69" s="1389"/>
      <c r="L69" s="1389"/>
      <c r="M69" s="1389"/>
      <c r="N69" s="1389"/>
      <c r="O69" s="1389"/>
      <c r="P69" s="1389"/>
      <c r="Q69" s="1389"/>
      <c r="R69" s="1389"/>
      <c r="S69" s="1389"/>
      <c r="T69" s="1389"/>
      <c r="U69" s="1389"/>
      <c r="V69" s="1389"/>
      <c r="W69" s="1389"/>
      <c r="X69" s="1389"/>
    </row>
    <row r="70" spans="1:24" s="1127" customFormat="1" ht="15" customHeight="1">
      <c r="D70" s="1390"/>
      <c r="E70" s="1391"/>
      <c r="F70" s="1391"/>
      <c r="G70" s="1391"/>
      <c r="H70" s="1391"/>
      <c r="I70" s="1391"/>
      <c r="J70" s="1391"/>
      <c r="K70" s="1391"/>
      <c r="L70" s="1391"/>
      <c r="M70" s="1391"/>
      <c r="N70" s="1391"/>
      <c r="O70" s="1391"/>
      <c r="P70" s="1391"/>
      <c r="Q70" s="1391"/>
      <c r="R70" s="1391"/>
      <c r="S70" s="1391"/>
      <c r="T70" s="1391"/>
      <c r="U70" s="1391"/>
      <c r="V70" s="1391"/>
      <c r="W70" s="1391"/>
      <c r="X70" s="1391"/>
    </row>
    <row r="71" spans="1:24" s="1127" customFormat="1" ht="15" customHeight="1">
      <c r="A71" s="1207"/>
      <c r="B71" s="1207"/>
      <c r="C71" s="1207"/>
      <c r="D71" s="1392"/>
      <c r="E71" s="1392"/>
      <c r="F71" s="1392"/>
      <c r="G71" s="1392"/>
      <c r="H71" s="1392"/>
      <c r="I71" s="1392"/>
      <c r="J71" s="1392"/>
      <c r="K71" s="1392"/>
      <c r="L71" s="1392"/>
      <c r="M71" s="1392"/>
      <c r="N71" s="1392"/>
      <c r="O71" s="1392"/>
      <c r="P71" s="1392"/>
      <c r="Q71" s="1392"/>
      <c r="R71" s="1392"/>
      <c r="S71" s="1392"/>
      <c r="T71" s="1392"/>
      <c r="U71" s="1392"/>
      <c r="V71" s="1392"/>
      <c r="W71" s="1392"/>
      <c r="X71" s="1392"/>
    </row>
  </sheetData>
  <sheetProtection formatCells="0"/>
  <mergeCells count="55">
    <mergeCell ref="A1:X1"/>
    <mergeCell ref="D4:E4"/>
    <mergeCell ref="F4:G4"/>
    <mergeCell ref="I4:X4"/>
    <mergeCell ref="D5:E5"/>
    <mergeCell ref="F5:G5"/>
    <mergeCell ref="I5:X5"/>
    <mergeCell ref="K48:Q48"/>
    <mergeCell ref="D6:E6"/>
    <mergeCell ref="F6:G6"/>
    <mergeCell ref="I6:X6"/>
    <mergeCell ref="Q10:U10"/>
    <mergeCell ref="C14:T14"/>
    <mergeCell ref="H31:J31"/>
    <mergeCell ref="S31:U31"/>
    <mergeCell ref="S34:X34"/>
    <mergeCell ref="D39:X39"/>
    <mergeCell ref="D40:X40"/>
    <mergeCell ref="L43:X43"/>
    <mergeCell ref="O44:W44"/>
    <mergeCell ref="J51:X51"/>
    <mergeCell ref="I53:K53"/>
    <mergeCell ref="N53:P53"/>
    <mergeCell ref="S53:U53"/>
    <mergeCell ref="I54:K54"/>
    <mergeCell ref="N54:P54"/>
    <mergeCell ref="S54:U54"/>
    <mergeCell ref="I55:K55"/>
    <mergeCell ref="N55:P55"/>
    <mergeCell ref="S55:U55"/>
    <mergeCell ref="I56:K56"/>
    <mergeCell ref="N56:P56"/>
    <mergeCell ref="S56:U56"/>
    <mergeCell ref="I57:K57"/>
    <mergeCell ref="N57:P57"/>
    <mergeCell ref="S57:U57"/>
    <mergeCell ref="I58:K58"/>
    <mergeCell ref="N58:P58"/>
    <mergeCell ref="S58:U58"/>
    <mergeCell ref="I59:K59"/>
    <mergeCell ref="N59:P59"/>
    <mergeCell ref="S59:U59"/>
    <mergeCell ref="I60:K60"/>
    <mergeCell ref="N60:P60"/>
    <mergeCell ref="S60:U60"/>
    <mergeCell ref="E65:X65"/>
    <mergeCell ref="H66:I66"/>
    <mergeCell ref="N67:R67"/>
    <mergeCell ref="D69:X71"/>
    <mergeCell ref="I61:K61"/>
    <mergeCell ref="N61:P61"/>
    <mergeCell ref="S61:U61"/>
    <mergeCell ref="E62:X62"/>
    <mergeCell ref="E63:X63"/>
    <mergeCell ref="E64:X64"/>
  </mergeCells>
  <phoneticPr fontId="122"/>
  <printOptions horizontalCentered="1"/>
  <pageMargins left="0.70866141732283472" right="0.70866141732283472" top="0.59055118110236227" bottom="0.19685039370078741" header="0.31496062992125984" footer="0"/>
  <pageSetup paperSize="9" scale="80"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5F393AF-A2A7-441A-870C-2AC04FA98AC3}">
          <x14:formula1>
            <xm:f>しろくろ</xm:f>
          </x14:formula1>
          <xm:sqref>E7:E8 JA7:JA8 SW7:SW8 ACS7:ACS8 AMO7:AMO8 AWK7:AWK8 BGG7:BGG8 BQC7:BQC8 BZY7:BZY8 CJU7:CJU8 CTQ7:CTQ8 DDM7:DDM8 DNI7:DNI8 DXE7:DXE8 EHA7:EHA8 EQW7:EQW8 FAS7:FAS8 FKO7:FKO8 FUK7:FUK8 GEG7:GEG8 GOC7:GOC8 GXY7:GXY8 HHU7:HHU8 HRQ7:HRQ8 IBM7:IBM8 ILI7:ILI8 IVE7:IVE8 JFA7:JFA8 JOW7:JOW8 JYS7:JYS8 KIO7:KIO8 KSK7:KSK8 LCG7:LCG8 LMC7:LMC8 LVY7:LVY8 MFU7:MFU8 MPQ7:MPQ8 MZM7:MZM8 NJI7:NJI8 NTE7:NTE8 ODA7:ODA8 OMW7:OMW8 OWS7:OWS8 PGO7:PGO8 PQK7:PQK8 QAG7:QAG8 QKC7:QKC8 QTY7:QTY8 RDU7:RDU8 RNQ7:RNQ8 RXM7:RXM8 SHI7:SHI8 SRE7:SRE8 TBA7:TBA8 TKW7:TKW8 TUS7:TUS8 UEO7:UEO8 UOK7:UOK8 UYG7:UYG8 VIC7:VIC8 VRY7:VRY8 WBU7:WBU8 WLQ7:WLQ8 WVM7:WVM8 E65543:E65544 JA65543:JA65544 SW65543:SW65544 ACS65543:ACS65544 AMO65543:AMO65544 AWK65543:AWK65544 BGG65543:BGG65544 BQC65543:BQC65544 BZY65543:BZY65544 CJU65543:CJU65544 CTQ65543:CTQ65544 DDM65543:DDM65544 DNI65543:DNI65544 DXE65543:DXE65544 EHA65543:EHA65544 EQW65543:EQW65544 FAS65543:FAS65544 FKO65543:FKO65544 FUK65543:FUK65544 GEG65543:GEG65544 GOC65543:GOC65544 GXY65543:GXY65544 HHU65543:HHU65544 HRQ65543:HRQ65544 IBM65543:IBM65544 ILI65543:ILI65544 IVE65543:IVE65544 JFA65543:JFA65544 JOW65543:JOW65544 JYS65543:JYS65544 KIO65543:KIO65544 KSK65543:KSK65544 LCG65543:LCG65544 LMC65543:LMC65544 LVY65543:LVY65544 MFU65543:MFU65544 MPQ65543:MPQ65544 MZM65543:MZM65544 NJI65543:NJI65544 NTE65543:NTE65544 ODA65543:ODA65544 OMW65543:OMW65544 OWS65543:OWS65544 PGO65543:PGO65544 PQK65543:PQK65544 QAG65543:QAG65544 QKC65543:QKC65544 QTY65543:QTY65544 RDU65543:RDU65544 RNQ65543:RNQ65544 RXM65543:RXM65544 SHI65543:SHI65544 SRE65543:SRE65544 TBA65543:TBA65544 TKW65543:TKW65544 TUS65543:TUS65544 UEO65543:UEO65544 UOK65543:UOK65544 UYG65543:UYG65544 VIC65543:VIC65544 VRY65543:VRY65544 WBU65543:WBU65544 WLQ65543:WLQ65544 WVM65543:WVM65544 E131079:E131080 JA131079:JA131080 SW131079:SW131080 ACS131079:ACS131080 AMO131079:AMO131080 AWK131079:AWK131080 BGG131079:BGG131080 BQC131079:BQC131080 BZY131079:BZY131080 CJU131079:CJU131080 CTQ131079:CTQ131080 DDM131079:DDM131080 DNI131079:DNI131080 DXE131079:DXE131080 EHA131079:EHA131080 EQW131079:EQW131080 FAS131079:FAS131080 FKO131079:FKO131080 FUK131079:FUK131080 GEG131079:GEG131080 GOC131079:GOC131080 GXY131079:GXY131080 HHU131079:HHU131080 HRQ131079:HRQ131080 IBM131079:IBM131080 ILI131079:ILI131080 IVE131079:IVE131080 JFA131079:JFA131080 JOW131079:JOW131080 JYS131079:JYS131080 KIO131079:KIO131080 KSK131079:KSK131080 LCG131079:LCG131080 LMC131079:LMC131080 LVY131079:LVY131080 MFU131079:MFU131080 MPQ131079:MPQ131080 MZM131079:MZM131080 NJI131079:NJI131080 NTE131079:NTE131080 ODA131079:ODA131080 OMW131079:OMW131080 OWS131079:OWS131080 PGO131079:PGO131080 PQK131079:PQK131080 QAG131079:QAG131080 QKC131079:QKC131080 QTY131079:QTY131080 RDU131079:RDU131080 RNQ131079:RNQ131080 RXM131079:RXM131080 SHI131079:SHI131080 SRE131079:SRE131080 TBA131079:TBA131080 TKW131079:TKW131080 TUS131079:TUS131080 UEO131079:UEO131080 UOK131079:UOK131080 UYG131079:UYG131080 VIC131079:VIC131080 VRY131079:VRY131080 WBU131079:WBU131080 WLQ131079:WLQ131080 WVM131079:WVM131080 E196615:E196616 JA196615:JA196616 SW196615:SW196616 ACS196615:ACS196616 AMO196615:AMO196616 AWK196615:AWK196616 BGG196615:BGG196616 BQC196615:BQC196616 BZY196615:BZY196616 CJU196615:CJU196616 CTQ196615:CTQ196616 DDM196615:DDM196616 DNI196615:DNI196616 DXE196615:DXE196616 EHA196615:EHA196616 EQW196615:EQW196616 FAS196615:FAS196616 FKO196615:FKO196616 FUK196615:FUK196616 GEG196615:GEG196616 GOC196615:GOC196616 GXY196615:GXY196616 HHU196615:HHU196616 HRQ196615:HRQ196616 IBM196615:IBM196616 ILI196615:ILI196616 IVE196615:IVE196616 JFA196615:JFA196616 JOW196615:JOW196616 JYS196615:JYS196616 KIO196615:KIO196616 KSK196615:KSK196616 LCG196615:LCG196616 LMC196615:LMC196616 LVY196615:LVY196616 MFU196615:MFU196616 MPQ196615:MPQ196616 MZM196615:MZM196616 NJI196615:NJI196616 NTE196615:NTE196616 ODA196615:ODA196616 OMW196615:OMW196616 OWS196615:OWS196616 PGO196615:PGO196616 PQK196615:PQK196616 QAG196615:QAG196616 QKC196615:QKC196616 QTY196615:QTY196616 RDU196615:RDU196616 RNQ196615:RNQ196616 RXM196615:RXM196616 SHI196615:SHI196616 SRE196615:SRE196616 TBA196615:TBA196616 TKW196615:TKW196616 TUS196615:TUS196616 UEO196615:UEO196616 UOK196615:UOK196616 UYG196615:UYG196616 VIC196615:VIC196616 VRY196615:VRY196616 WBU196615:WBU196616 WLQ196615:WLQ196616 WVM196615:WVM196616 E262151:E262152 JA262151:JA262152 SW262151:SW262152 ACS262151:ACS262152 AMO262151:AMO262152 AWK262151:AWK262152 BGG262151:BGG262152 BQC262151:BQC262152 BZY262151:BZY262152 CJU262151:CJU262152 CTQ262151:CTQ262152 DDM262151:DDM262152 DNI262151:DNI262152 DXE262151:DXE262152 EHA262151:EHA262152 EQW262151:EQW262152 FAS262151:FAS262152 FKO262151:FKO262152 FUK262151:FUK262152 GEG262151:GEG262152 GOC262151:GOC262152 GXY262151:GXY262152 HHU262151:HHU262152 HRQ262151:HRQ262152 IBM262151:IBM262152 ILI262151:ILI262152 IVE262151:IVE262152 JFA262151:JFA262152 JOW262151:JOW262152 JYS262151:JYS262152 KIO262151:KIO262152 KSK262151:KSK262152 LCG262151:LCG262152 LMC262151:LMC262152 LVY262151:LVY262152 MFU262151:MFU262152 MPQ262151:MPQ262152 MZM262151:MZM262152 NJI262151:NJI262152 NTE262151:NTE262152 ODA262151:ODA262152 OMW262151:OMW262152 OWS262151:OWS262152 PGO262151:PGO262152 PQK262151:PQK262152 QAG262151:QAG262152 QKC262151:QKC262152 QTY262151:QTY262152 RDU262151:RDU262152 RNQ262151:RNQ262152 RXM262151:RXM262152 SHI262151:SHI262152 SRE262151:SRE262152 TBA262151:TBA262152 TKW262151:TKW262152 TUS262151:TUS262152 UEO262151:UEO262152 UOK262151:UOK262152 UYG262151:UYG262152 VIC262151:VIC262152 VRY262151:VRY262152 WBU262151:WBU262152 WLQ262151:WLQ262152 WVM262151:WVM262152 E327687:E327688 JA327687:JA327688 SW327687:SW327688 ACS327687:ACS327688 AMO327687:AMO327688 AWK327687:AWK327688 BGG327687:BGG327688 BQC327687:BQC327688 BZY327687:BZY327688 CJU327687:CJU327688 CTQ327687:CTQ327688 DDM327687:DDM327688 DNI327687:DNI327688 DXE327687:DXE327688 EHA327687:EHA327688 EQW327687:EQW327688 FAS327687:FAS327688 FKO327687:FKO327688 FUK327687:FUK327688 GEG327687:GEG327688 GOC327687:GOC327688 GXY327687:GXY327688 HHU327687:HHU327688 HRQ327687:HRQ327688 IBM327687:IBM327688 ILI327687:ILI327688 IVE327687:IVE327688 JFA327687:JFA327688 JOW327687:JOW327688 JYS327687:JYS327688 KIO327687:KIO327688 KSK327687:KSK327688 LCG327687:LCG327688 LMC327687:LMC327688 LVY327687:LVY327688 MFU327687:MFU327688 MPQ327687:MPQ327688 MZM327687:MZM327688 NJI327687:NJI327688 NTE327687:NTE327688 ODA327687:ODA327688 OMW327687:OMW327688 OWS327687:OWS327688 PGO327687:PGO327688 PQK327687:PQK327688 QAG327687:QAG327688 QKC327687:QKC327688 QTY327687:QTY327688 RDU327687:RDU327688 RNQ327687:RNQ327688 RXM327687:RXM327688 SHI327687:SHI327688 SRE327687:SRE327688 TBA327687:TBA327688 TKW327687:TKW327688 TUS327687:TUS327688 UEO327687:UEO327688 UOK327687:UOK327688 UYG327687:UYG327688 VIC327687:VIC327688 VRY327687:VRY327688 WBU327687:WBU327688 WLQ327687:WLQ327688 WVM327687:WVM327688 E393223:E393224 JA393223:JA393224 SW393223:SW393224 ACS393223:ACS393224 AMO393223:AMO393224 AWK393223:AWK393224 BGG393223:BGG393224 BQC393223:BQC393224 BZY393223:BZY393224 CJU393223:CJU393224 CTQ393223:CTQ393224 DDM393223:DDM393224 DNI393223:DNI393224 DXE393223:DXE393224 EHA393223:EHA393224 EQW393223:EQW393224 FAS393223:FAS393224 FKO393223:FKO393224 FUK393223:FUK393224 GEG393223:GEG393224 GOC393223:GOC393224 GXY393223:GXY393224 HHU393223:HHU393224 HRQ393223:HRQ393224 IBM393223:IBM393224 ILI393223:ILI393224 IVE393223:IVE393224 JFA393223:JFA393224 JOW393223:JOW393224 JYS393223:JYS393224 KIO393223:KIO393224 KSK393223:KSK393224 LCG393223:LCG393224 LMC393223:LMC393224 LVY393223:LVY393224 MFU393223:MFU393224 MPQ393223:MPQ393224 MZM393223:MZM393224 NJI393223:NJI393224 NTE393223:NTE393224 ODA393223:ODA393224 OMW393223:OMW393224 OWS393223:OWS393224 PGO393223:PGO393224 PQK393223:PQK393224 QAG393223:QAG393224 QKC393223:QKC393224 QTY393223:QTY393224 RDU393223:RDU393224 RNQ393223:RNQ393224 RXM393223:RXM393224 SHI393223:SHI393224 SRE393223:SRE393224 TBA393223:TBA393224 TKW393223:TKW393224 TUS393223:TUS393224 UEO393223:UEO393224 UOK393223:UOK393224 UYG393223:UYG393224 VIC393223:VIC393224 VRY393223:VRY393224 WBU393223:WBU393224 WLQ393223:WLQ393224 WVM393223:WVM393224 E458759:E458760 JA458759:JA458760 SW458759:SW458760 ACS458759:ACS458760 AMO458759:AMO458760 AWK458759:AWK458760 BGG458759:BGG458760 BQC458759:BQC458760 BZY458759:BZY458760 CJU458759:CJU458760 CTQ458759:CTQ458760 DDM458759:DDM458760 DNI458759:DNI458760 DXE458759:DXE458760 EHA458759:EHA458760 EQW458759:EQW458760 FAS458759:FAS458760 FKO458759:FKO458760 FUK458759:FUK458760 GEG458759:GEG458760 GOC458759:GOC458760 GXY458759:GXY458760 HHU458759:HHU458760 HRQ458759:HRQ458760 IBM458759:IBM458760 ILI458759:ILI458760 IVE458759:IVE458760 JFA458759:JFA458760 JOW458759:JOW458760 JYS458759:JYS458760 KIO458759:KIO458760 KSK458759:KSK458760 LCG458759:LCG458760 LMC458759:LMC458760 LVY458759:LVY458760 MFU458759:MFU458760 MPQ458759:MPQ458760 MZM458759:MZM458760 NJI458759:NJI458760 NTE458759:NTE458760 ODA458759:ODA458760 OMW458759:OMW458760 OWS458759:OWS458760 PGO458759:PGO458760 PQK458759:PQK458760 QAG458759:QAG458760 QKC458759:QKC458760 QTY458759:QTY458760 RDU458759:RDU458760 RNQ458759:RNQ458760 RXM458759:RXM458760 SHI458759:SHI458760 SRE458759:SRE458760 TBA458759:TBA458760 TKW458759:TKW458760 TUS458759:TUS458760 UEO458759:UEO458760 UOK458759:UOK458760 UYG458759:UYG458760 VIC458759:VIC458760 VRY458759:VRY458760 WBU458759:WBU458760 WLQ458759:WLQ458760 WVM458759:WVM458760 E524295:E524296 JA524295:JA524296 SW524295:SW524296 ACS524295:ACS524296 AMO524295:AMO524296 AWK524295:AWK524296 BGG524295:BGG524296 BQC524295:BQC524296 BZY524295:BZY524296 CJU524295:CJU524296 CTQ524295:CTQ524296 DDM524295:DDM524296 DNI524295:DNI524296 DXE524295:DXE524296 EHA524295:EHA524296 EQW524295:EQW524296 FAS524295:FAS524296 FKO524295:FKO524296 FUK524295:FUK524296 GEG524295:GEG524296 GOC524295:GOC524296 GXY524295:GXY524296 HHU524295:HHU524296 HRQ524295:HRQ524296 IBM524295:IBM524296 ILI524295:ILI524296 IVE524295:IVE524296 JFA524295:JFA524296 JOW524295:JOW524296 JYS524295:JYS524296 KIO524295:KIO524296 KSK524295:KSK524296 LCG524295:LCG524296 LMC524295:LMC524296 LVY524295:LVY524296 MFU524295:MFU524296 MPQ524295:MPQ524296 MZM524295:MZM524296 NJI524295:NJI524296 NTE524295:NTE524296 ODA524295:ODA524296 OMW524295:OMW524296 OWS524295:OWS524296 PGO524295:PGO524296 PQK524295:PQK524296 QAG524295:QAG524296 QKC524295:QKC524296 QTY524295:QTY524296 RDU524295:RDU524296 RNQ524295:RNQ524296 RXM524295:RXM524296 SHI524295:SHI524296 SRE524295:SRE524296 TBA524295:TBA524296 TKW524295:TKW524296 TUS524295:TUS524296 UEO524295:UEO524296 UOK524295:UOK524296 UYG524295:UYG524296 VIC524295:VIC524296 VRY524295:VRY524296 WBU524295:WBU524296 WLQ524295:WLQ524296 WVM524295:WVM524296 E589831:E589832 JA589831:JA589832 SW589831:SW589832 ACS589831:ACS589832 AMO589831:AMO589832 AWK589831:AWK589832 BGG589831:BGG589832 BQC589831:BQC589832 BZY589831:BZY589832 CJU589831:CJU589832 CTQ589831:CTQ589832 DDM589831:DDM589832 DNI589831:DNI589832 DXE589831:DXE589832 EHA589831:EHA589832 EQW589831:EQW589832 FAS589831:FAS589832 FKO589831:FKO589832 FUK589831:FUK589832 GEG589831:GEG589832 GOC589831:GOC589832 GXY589831:GXY589832 HHU589831:HHU589832 HRQ589831:HRQ589832 IBM589831:IBM589832 ILI589831:ILI589832 IVE589831:IVE589832 JFA589831:JFA589832 JOW589831:JOW589832 JYS589831:JYS589832 KIO589831:KIO589832 KSK589831:KSK589832 LCG589831:LCG589832 LMC589831:LMC589832 LVY589831:LVY589832 MFU589831:MFU589832 MPQ589831:MPQ589832 MZM589831:MZM589832 NJI589831:NJI589832 NTE589831:NTE589832 ODA589831:ODA589832 OMW589831:OMW589832 OWS589831:OWS589832 PGO589831:PGO589832 PQK589831:PQK589832 QAG589831:QAG589832 QKC589831:QKC589832 QTY589831:QTY589832 RDU589831:RDU589832 RNQ589831:RNQ589832 RXM589831:RXM589832 SHI589831:SHI589832 SRE589831:SRE589832 TBA589831:TBA589832 TKW589831:TKW589832 TUS589831:TUS589832 UEO589831:UEO589832 UOK589831:UOK589832 UYG589831:UYG589832 VIC589831:VIC589832 VRY589831:VRY589832 WBU589831:WBU589832 WLQ589831:WLQ589832 WVM589831:WVM589832 E655367:E655368 JA655367:JA655368 SW655367:SW655368 ACS655367:ACS655368 AMO655367:AMO655368 AWK655367:AWK655368 BGG655367:BGG655368 BQC655367:BQC655368 BZY655367:BZY655368 CJU655367:CJU655368 CTQ655367:CTQ655368 DDM655367:DDM655368 DNI655367:DNI655368 DXE655367:DXE655368 EHA655367:EHA655368 EQW655367:EQW655368 FAS655367:FAS655368 FKO655367:FKO655368 FUK655367:FUK655368 GEG655367:GEG655368 GOC655367:GOC655368 GXY655367:GXY655368 HHU655367:HHU655368 HRQ655367:HRQ655368 IBM655367:IBM655368 ILI655367:ILI655368 IVE655367:IVE655368 JFA655367:JFA655368 JOW655367:JOW655368 JYS655367:JYS655368 KIO655367:KIO655368 KSK655367:KSK655368 LCG655367:LCG655368 LMC655367:LMC655368 LVY655367:LVY655368 MFU655367:MFU655368 MPQ655367:MPQ655368 MZM655367:MZM655368 NJI655367:NJI655368 NTE655367:NTE655368 ODA655367:ODA655368 OMW655367:OMW655368 OWS655367:OWS655368 PGO655367:PGO655368 PQK655367:PQK655368 QAG655367:QAG655368 QKC655367:QKC655368 QTY655367:QTY655368 RDU655367:RDU655368 RNQ655367:RNQ655368 RXM655367:RXM655368 SHI655367:SHI655368 SRE655367:SRE655368 TBA655367:TBA655368 TKW655367:TKW655368 TUS655367:TUS655368 UEO655367:UEO655368 UOK655367:UOK655368 UYG655367:UYG655368 VIC655367:VIC655368 VRY655367:VRY655368 WBU655367:WBU655368 WLQ655367:WLQ655368 WVM655367:WVM655368 E720903:E720904 JA720903:JA720904 SW720903:SW720904 ACS720903:ACS720904 AMO720903:AMO720904 AWK720903:AWK720904 BGG720903:BGG720904 BQC720903:BQC720904 BZY720903:BZY720904 CJU720903:CJU720904 CTQ720903:CTQ720904 DDM720903:DDM720904 DNI720903:DNI720904 DXE720903:DXE720904 EHA720903:EHA720904 EQW720903:EQW720904 FAS720903:FAS720904 FKO720903:FKO720904 FUK720903:FUK720904 GEG720903:GEG720904 GOC720903:GOC720904 GXY720903:GXY720904 HHU720903:HHU720904 HRQ720903:HRQ720904 IBM720903:IBM720904 ILI720903:ILI720904 IVE720903:IVE720904 JFA720903:JFA720904 JOW720903:JOW720904 JYS720903:JYS720904 KIO720903:KIO720904 KSK720903:KSK720904 LCG720903:LCG720904 LMC720903:LMC720904 LVY720903:LVY720904 MFU720903:MFU720904 MPQ720903:MPQ720904 MZM720903:MZM720904 NJI720903:NJI720904 NTE720903:NTE720904 ODA720903:ODA720904 OMW720903:OMW720904 OWS720903:OWS720904 PGO720903:PGO720904 PQK720903:PQK720904 QAG720903:QAG720904 QKC720903:QKC720904 QTY720903:QTY720904 RDU720903:RDU720904 RNQ720903:RNQ720904 RXM720903:RXM720904 SHI720903:SHI720904 SRE720903:SRE720904 TBA720903:TBA720904 TKW720903:TKW720904 TUS720903:TUS720904 UEO720903:UEO720904 UOK720903:UOK720904 UYG720903:UYG720904 VIC720903:VIC720904 VRY720903:VRY720904 WBU720903:WBU720904 WLQ720903:WLQ720904 WVM720903:WVM720904 E786439:E786440 JA786439:JA786440 SW786439:SW786440 ACS786439:ACS786440 AMO786439:AMO786440 AWK786439:AWK786440 BGG786439:BGG786440 BQC786439:BQC786440 BZY786439:BZY786440 CJU786439:CJU786440 CTQ786439:CTQ786440 DDM786439:DDM786440 DNI786439:DNI786440 DXE786439:DXE786440 EHA786439:EHA786440 EQW786439:EQW786440 FAS786439:FAS786440 FKO786439:FKO786440 FUK786439:FUK786440 GEG786439:GEG786440 GOC786439:GOC786440 GXY786439:GXY786440 HHU786439:HHU786440 HRQ786439:HRQ786440 IBM786439:IBM786440 ILI786439:ILI786440 IVE786439:IVE786440 JFA786439:JFA786440 JOW786439:JOW786440 JYS786439:JYS786440 KIO786439:KIO786440 KSK786439:KSK786440 LCG786439:LCG786440 LMC786439:LMC786440 LVY786439:LVY786440 MFU786439:MFU786440 MPQ786439:MPQ786440 MZM786439:MZM786440 NJI786439:NJI786440 NTE786439:NTE786440 ODA786439:ODA786440 OMW786439:OMW786440 OWS786439:OWS786440 PGO786439:PGO786440 PQK786439:PQK786440 QAG786439:QAG786440 QKC786439:QKC786440 QTY786439:QTY786440 RDU786439:RDU786440 RNQ786439:RNQ786440 RXM786439:RXM786440 SHI786439:SHI786440 SRE786439:SRE786440 TBA786439:TBA786440 TKW786439:TKW786440 TUS786439:TUS786440 UEO786439:UEO786440 UOK786439:UOK786440 UYG786439:UYG786440 VIC786439:VIC786440 VRY786439:VRY786440 WBU786439:WBU786440 WLQ786439:WLQ786440 WVM786439:WVM786440 E851975:E851976 JA851975:JA851976 SW851975:SW851976 ACS851975:ACS851976 AMO851975:AMO851976 AWK851975:AWK851976 BGG851975:BGG851976 BQC851975:BQC851976 BZY851975:BZY851976 CJU851975:CJU851976 CTQ851975:CTQ851976 DDM851975:DDM851976 DNI851975:DNI851976 DXE851975:DXE851976 EHA851975:EHA851976 EQW851975:EQW851976 FAS851975:FAS851976 FKO851975:FKO851976 FUK851975:FUK851976 GEG851975:GEG851976 GOC851975:GOC851976 GXY851975:GXY851976 HHU851975:HHU851976 HRQ851975:HRQ851976 IBM851975:IBM851976 ILI851975:ILI851976 IVE851975:IVE851976 JFA851975:JFA851976 JOW851975:JOW851976 JYS851975:JYS851976 KIO851975:KIO851976 KSK851975:KSK851976 LCG851975:LCG851976 LMC851975:LMC851976 LVY851975:LVY851976 MFU851975:MFU851976 MPQ851975:MPQ851976 MZM851975:MZM851976 NJI851975:NJI851976 NTE851975:NTE851976 ODA851975:ODA851976 OMW851975:OMW851976 OWS851975:OWS851976 PGO851975:PGO851976 PQK851975:PQK851976 QAG851975:QAG851976 QKC851975:QKC851976 QTY851975:QTY851976 RDU851975:RDU851976 RNQ851975:RNQ851976 RXM851975:RXM851976 SHI851975:SHI851976 SRE851975:SRE851976 TBA851975:TBA851976 TKW851975:TKW851976 TUS851975:TUS851976 UEO851975:UEO851976 UOK851975:UOK851976 UYG851975:UYG851976 VIC851975:VIC851976 VRY851975:VRY851976 WBU851975:WBU851976 WLQ851975:WLQ851976 WVM851975:WVM851976 E917511:E917512 JA917511:JA917512 SW917511:SW917512 ACS917511:ACS917512 AMO917511:AMO917512 AWK917511:AWK917512 BGG917511:BGG917512 BQC917511:BQC917512 BZY917511:BZY917512 CJU917511:CJU917512 CTQ917511:CTQ917512 DDM917511:DDM917512 DNI917511:DNI917512 DXE917511:DXE917512 EHA917511:EHA917512 EQW917511:EQW917512 FAS917511:FAS917512 FKO917511:FKO917512 FUK917511:FUK917512 GEG917511:GEG917512 GOC917511:GOC917512 GXY917511:GXY917512 HHU917511:HHU917512 HRQ917511:HRQ917512 IBM917511:IBM917512 ILI917511:ILI917512 IVE917511:IVE917512 JFA917511:JFA917512 JOW917511:JOW917512 JYS917511:JYS917512 KIO917511:KIO917512 KSK917511:KSK917512 LCG917511:LCG917512 LMC917511:LMC917512 LVY917511:LVY917512 MFU917511:MFU917512 MPQ917511:MPQ917512 MZM917511:MZM917512 NJI917511:NJI917512 NTE917511:NTE917512 ODA917511:ODA917512 OMW917511:OMW917512 OWS917511:OWS917512 PGO917511:PGO917512 PQK917511:PQK917512 QAG917511:QAG917512 QKC917511:QKC917512 QTY917511:QTY917512 RDU917511:RDU917512 RNQ917511:RNQ917512 RXM917511:RXM917512 SHI917511:SHI917512 SRE917511:SRE917512 TBA917511:TBA917512 TKW917511:TKW917512 TUS917511:TUS917512 UEO917511:UEO917512 UOK917511:UOK917512 UYG917511:UYG917512 VIC917511:VIC917512 VRY917511:VRY917512 WBU917511:WBU917512 WLQ917511:WLQ917512 WVM917511:WVM917512 E983047:E983048 JA983047:JA983048 SW983047:SW983048 ACS983047:ACS983048 AMO983047:AMO983048 AWK983047:AWK983048 BGG983047:BGG983048 BQC983047:BQC983048 BZY983047:BZY983048 CJU983047:CJU983048 CTQ983047:CTQ983048 DDM983047:DDM983048 DNI983047:DNI983048 DXE983047:DXE983048 EHA983047:EHA983048 EQW983047:EQW983048 FAS983047:FAS983048 FKO983047:FKO983048 FUK983047:FUK983048 GEG983047:GEG983048 GOC983047:GOC983048 GXY983047:GXY983048 HHU983047:HHU983048 HRQ983047:HRQ983048 IBM983047:IBM983048 ILI983047:ILI983048 IVE983047:IVE983048 JFA983047:JFA983048 JOW983047:JOW983048 JYS983047:JYS983048 KIO983047:KIO983048 KSK983047:KSK983048 LCG983047:LCG983048 LMC983047:LMC983048 LVY983047:LVY983048 MFU983047:MFU983048 MPQ983047:MPQ983048 MZM983047:MZM983048 NJI983047:NJI983048 NTE983047:NTE983048 ODA983047:ODA983048 OMW983047:OMW983048 OWS983047:OWS983048 PGO983047:PGO983048 PQK983047:PQK983048 QAG983047:QAG983048 QKC983047:QKC983048 QTY983047:QTY983048 RDU983047:RDU983048 RNQ983047:RNQ983048 RXM983047:RXM983048 SHI983047:SHI983048 SRE983047:SRE983048 TBA983047:TBA983048 TKW983047:TKW983048 TUS983047:TUS983048 UEO983047:UEO983048 UOK983047:UOK983048 UYG983047:UYG983048 VIC983047:VIC983048 VRY983047:VRY983048 WBU983047:WBU983048 WLQ983047:WLQ983048 WVM983047:WVM983048 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K7:K9 JG7:JG9 TC7:TC9 ACY7:ACY9 AMU7:AMU9 AWQ7:AWQ9 BGM7:BGM9 BQI7:BQI9 CAE7:CAE9 CKA7:CKA9 CTW7:CTW9 DDS7:DDS9 DNO7:DNO9 DXK7:DXK9 EHG7:EHG9 ERC7:ERC9 FAY7:FAY9 FKU7:FKU9 FUQ7:FUQ9 GEM7:GEM9 GOI7:GOI9 GYE7:GYE9 HIA7:HIA9 HRW7:HRW9 IBS7:IBS9 ILO7:ILO9 IVK7:IVK9 JFG7:JFG9 JPC7:JPC9 JYY7:JYY9 KIU7:KIU9 KSQ7:KSQ9 LCM7:LCM9 LMI7:LMI9 LWE7:LWE9 MGA7:MGA9 MPW7:MPW9 MZS7:MZS9 NJO7:NJO9 NTK7:NTK9 ODG7:ODG9 ONC7:ONC9 OWY7:OWY9 PGU7:PGU9 PQQ7:PQQ9 QAM7:QAM9 QKI7:QKI9 QUE7:QUE9 REA7:REA9 RNW7:RNW9 RXS7:RXS9 SHO7:SHO9 SRK7:SRK9 TBG7:TBG9 TLC7:TLC9 TUY7:TUY9 UEU7:UEU9 UOQ7:UOQ9 UYM7:UYM9 VII7:VII9 VSE7:VSE9 WCA7:WCA9 WLW7:WLW9 WVS7:WVS9 K65543:K65545 JG65543:JG65545 TC65543:TC65545 ACY65543:ACY65545 AMU65543:AMU65545 AWQ65543:AWQ65545 BGM65543:BGM65545 BQI65543:BQI65545 CAE65543:CAE65545 CKA65543:CKA65545 CTW65543:CTW65545 DDS65543:DDS65545 DNO65543:DNO65545 DXK65543:DXK65545 EHG65543:EHG65545 ERC65543:ERC65545 FAY65543:FAY65545 FKU65543:FKU65545 FUQ65543:FUQ65545 GEM65543:GEM65545 GOI65543:GOI65545 GYE65543:GYE65545 HIA65543:HIA65545 HRW65543:HRW65545 IBS65543:IBS65545 ILO65543:ILO65545 IVK65543:IVK65545 JFG65543:JFG65545 JPC65543:JPC65545 JYY65543:JYY65545 KIU65543:KIU65545 KSQ65543:KSQ65545 LCM65543:LCM65545 LMI65543:LMI65545 LWE65543:LWE65545 MGA65543:MGA65545 MPW65543:MPW65545 MZS65543:MZS65545 NJO65543:NJO65545 NTK65543:NTK65545 ODG65543:ODG65545 ONC65543:ONC65545 OWY65543:OWY65545 PGU65543:PGU65545 PQQ65543:PQQ65545 QAM65543:QAM65545 QKI65543:QKI65545 QUE65543:QUE65545 REA65543:REA65545 RNW65543:RNW65545 RXS65543:RXS65545 SHO65543:SHO65545 SRK65543:SRK65545 TBG65543:TBG65545 TLC65543:TLC65545 TUY65543:TUY65545 UEU65543:UEU65545 UOQ65543:UOQ65545 UYM65543:UYM65545 VII65543:VII65545 VSE65543:VSE65545 WCA65543:WCA65545 WLW65543:WLW65545 WVS65543:WVS65545 K131079:K131081 JG131079:JG131081 TC131079:TC131081 ACY131079:ACY131081 AMU131079:AMU131081 AWQ131079:AWQ131081 BGM131079:BGM131081 BQI131079:BQI131081 CAE131079:CAE131081 CKA131079:CKA131081 CTW131079:CTW131081 DDS131079:DDS131081 DNO131079:DNO131081 DXK131079:DXK131081 EHG131079:EHG131081 ERC131079:ERC131081 FAY131079:FAY131081 FKU131079:FKU131081 FUQ131079:FUQ131081 GEM131079:GEM131081 GOI131079:GOI131081 GYE131079:GYE131081 HIA131079:HIA131081 HRW131079:HRW131081 IBS131079:IBS131081 ILO131079:ILO131081 IVK131079:IVK131081 JFG131079:JFG131081 JPC131079:JPC131081 JYY131079:JYY131081 KIU131079:KIU131081 KSQ131079:KSQ131081 LCM131079:LCM131081 LMI131079:LMI131081 LWE131079:LWE131081 MGA131079:MGA131081 MPW131079:MPW131081 MZS131079:MZS131081 NJO131079:NJO131081 NTK131079:NTK131081 ODG131079:ODG131081 ONC131079:ONC131081 OWY131079:OWY131081 PGU131079:PGU131081 PQQ131079:PQQ131081 QAM131079:QAM131081 QKI131079:QKI131081 QUE131079:QUE131081 REA131079:REA131081 RNW131079:RNW131081 RXS131079:RXS131081 SHO131079:SHO131081 SRK131079:SRK131081 TBG131079:TBG131081 TLC131079:TLC131081 TUY131079:TUY131081 UEU131079:UEU131081 UOQ131079:UOQ131081 UYM131079:UYM131081 VII131079:VII131081 VSE131079:VSE131081 WCA131079:WCA131081 WLW131079:WLW131081 WVS131079:WVS131081 K196615:K196617 JG196615:JG196617 TC196615:TC196617 ACY196615:ACY196617 AMU196615:AMU196617 AWQ196615:AWQ196617 BGM196615:BGM196617 BQI196615:BQI196617 CAE196615:CAE196617 CKA196615:CKA196617 CTW196615:CTW196617 DDS196615:DDS196617 DNO196615:DNO196617 DXK196615:DXK196617 EHG196615:EHG196617 ERC196615:ERC196617 FAY196615:FAY196617 FKU196615:FKU196617 FUQ196615:FUQ196617 GEM196615:GEM196617 GOI196615:GOI196617 GYE196615:GYE196617 HIA196615:HIA196617 HRW196615:HRW196617 IBS196615:IBS196617 ILO196615:ILO196617 IVK196615:IVK196617 JFG196615:JFG196617 JPC196615:JPC196617 JYY196615:JYY196617 KIU196615:KIU196617 KSQ196615:KSQ196617 LCM196615:LCM196617 LMI196615:LMI196617 LWE196615:LWE196617 MGA196615:MGA196617 MPW196615:MPW196617 MZS196615:MZS196617 NJO196615:NJO196617 NTK196615:NTK196617 ODG196615:ODG196617 ONC196615:ONC196617 OWY196615:OWY196617 PGU196615:PGU196617 PQQ196615:PQQ196617 QAM196615:QAM196617 QKI196615:QKI196617 QUE196615:QUE196617 REA196615:REA196617 RNW196615:RNW196617 RXS196615:RXS196617 SHO196615:SHO196617 SRK196615:SRK196617 TBG196615:TBG196617 TLC196615:TLC196617 TUY196615:TUY196617 UEU196615:UEU196617 UOQ196615:UOQ196617 UYM196615:UYM196617 VII196615:VII196617 VSE196615:VSE196617 WCA196615:WCA196617 WLW196615:WLW196617 WVS196615:WVS196617 K262151:K262153 JG262151:JG262153 TC262151:TC262153 ACY262151:ACY262153 AMU262151:AMU262153 AWQ262151:AWQ262153 BGM262151:BGM262153 BQI262151:BQI262153 CAE262151:CAE262153 CKA262151:CKA262153 CTW262151:CTW262153 DDS262151:DDS262153 DNO262151:DNO262153 DXK262151:DXK262153 EHG262151:EHG262153 ERC262151:ERC262153 FAY262151:FAY262153 FKU262151:FKU262153 FUQ262151:FUQ262153 GEM262151:GEM262153 GOI262151:GOI262153 GYE262151:GYE262153 HIA262151:HIA262153 HRW262151:HRW262153 IBS262151:IBS262153 ILO262151:ILO262153 IVK262151:IVK262153 JFG262151:JFG262153 JPC262151:JPC262153 JYY262151:JYY262153 KIU262151:KIU262153 KSQ262151:KSQ262153 LCM262151:LCM262153 LMI262151:LMI262153 LWE262151:LWE262153 MGA262151:MGA262153 MPW262151:MPW262153 MZS262151:MZS262153 NJO262151:NJO262153 NTK262151:NTK262153 ODG262151:ODG262153 ONC262151:ONC262153 OWY262151:OWY262153 PGU262151:PGU262153 PQQ262151:PQQ262153 QAM262151:QAM262153 QKI262151:QKI262153 QUE262151:QUE262153 REA262151:REA262153 RNW262151:RNW262153 RXS262151:RXS262153 SHO262151:SHO262153 SRK262151:SRK262153 TBG262151:TBG262153 TLC262151:TLC262153 TUY262151:TUY262153 UEU262151:UEU262153 UOQ262151:UOQ262153 UYM262151:UYM262153 VII262151:VII262153 VSE262151:VSE262153 WCA262151:WCA262153 WLW262151:WLW262153 WVS262151:WVS262153 K327687:K327689 JG327687:JG327689 TC327687:TC327689 ACY327687:ACY327689 AMU327687:AMU327689 AWQ327687:AWQ327689 BGM327687:BGM327689 BQI327687:BQI327689 CAE327687:CAE327689 CKA327687:CKA327689 CTW327687:CTW327689 DDS327687:DDS327689 DNO327687:DNO327689 DXK327687:DXK327689 EHG327687:EHG327689 ERC327687:ERC327689 FAY327687:FAY327689 FKU327687:FKU327689 FUQ327687:FUQ327689 GEM327687:GEM327689 GOI327687:GOI327689 GYE327687:GYE327689 HIA327687:HIA327689 HRW327687:HRW327689 IBS327687:IBS327689 ILO327687:ILO327689 IVK327687:IVK327689 JFG327687:JFG327689 JPC327687:JPC327689 JYY327687:JYY327689 KIU327687:KIU327689 KSQ327687:KSQ327689 LCM327687:LCM327689 LMI327687:LMI327689 LWE327687:LWE327689 MGA327687:MGA327689 MPW327687:MPW327689 MZS327687:MZS327689 NJO327687:NJO327689 NTK327687:NTK327689 ODG327687:ODG327689 ONC327687:ONC327689 OWY327687:OWY327689 PGU327687:PGU327689 PQQ327687:PQQ327689 QAM327687:QAM327689 QKI327687:QKI327689 QUE327687:QUE327689 REA327687:REA327689 RNW327687:RNW327689 RXS327687:RXS327689 SHO327687:SHO327689 SRK327687:SRK327689 TBG327687:TBG327689 TLC327687:TLC327689 TUY327687:TUY327689 UEU327687:UEU327689 UOQ327687:UOQ327689 UYM327687:UYM327689 VII327687:VII327689 VSE327687:VSE327689 WCA327687:WCA327689 WLW327687:WLW327689 WVS327687:WVS327689 K393223:K393225 JG393223:JG393225 TC393223:TC393225 ACY393223:ACY393225 AMU393223:AMU393225 AWQ393223:AWQ393225 BGM393223:BGM393225 BQI393223:BQI393225 CAE393223:CAE393225 CKA393223:CKA393225 CTW393223:CTW393225 DDS393223:DDS393225 DNO393223:DNO393225 DXK393223:DXK393225 EHG393223:EHG393225 ERC393223:ERC393225 FAY393223:FAY393225 FKU393223:FKU393225 FUQ393223:FUQ393225 GEM393223:GEM393225 GOI393223:GOI393225 GYE393223:GYE393225 HIA393223:HIA393225 HRW393223:HRW393225 IBS393223:IBS393225 ILO393223:ILO393225 IVK393223:IVK393225 JFG393223:JFG393225 JPC393223:JPC393225 JYY393223:JYY393225 KIU393223:KIU393225 KSQ393223:KSQ393225 LCM393223:LCM393225 LMI393223:LMI393225 LWE393223:LWE393225 MGA393223:MGA393225 MPW393223:MPW393225 MZS393223:MZS393225 NJO393223:NJO393225 NTK393223:NTK393225 ODG393223:ODG393225 ONC393223:ONC393225 OWY393223:OWY393225 PGU393223:PGU393225 PQQ393223:PQQ393225 QAM393223:QAM393225 QKI393223:QKI393225 QUE393223:QUE393225 REA393223:REA393225 RNW393223:RNW393225 RXS393223:RXS393225 SHO393223:SHO393225 SRK393223:SRK393225 TBG393223:TBG393225 TLC393223:TLC393225 TUY393223:TUY393225 UEU393223:UEU393225 UOQ393223:UOQ393225 UYM393223:UYM393225 VII393223:VII393225 VSE393223:VSE393225 WCA393223:WCA393225 WLW393223:WLW393225 WVS393223:WVS393225 K458759:K458761 JG458759:JG458761 TC458759:TC458761 ACY458759:ACY458761 AMU458759:AMU458761 AWQ458759:AWQ458761 BGM458759:BGM458761 BQI458759:BQI458761 CAE458759:CAE458761 CKA458759:CKA458761 CTW458759:CTW458761 DDS458759:DDS458761 DNO458759:DNO458761 DXK458759:DXK458761 EHG458759:EHG458761 ERC458759:ERC458761 FAY458759:FAY458761 FKU458759:FKU458761 FUQ458759:FUQ458761 GEM458759:GEM458761 GOI458759:GOI458761 GYE458759:GYE458761 HIA458759:HIA458761 HRW458759:HRW458761 IBS458759:IBS458761 ILO458759:ILO458761 IVK458759:IVK458761 JFG458759:JFG458761 JPC458759:JPC458761 JYY458759:JYY458761 KIU458759:KIU458761 KSQ458759:KSQ458761 LCM458759:LCM458761 LMI458759:LMI458761 LWE458759:LWE458761 MGA458759:MGA458761 MPW458759:MPW458761 MZS458759:MZS458761 NJO458759:NJO458761 NTK458759:NTK458761 ODG458759:ODG458761 ONC458759:ONC458761 OWY458759:OWY458761 PGU458759:PGU458761 PQQ458759:PQQ458761 QAM458759:QAM458761 QKI458759:QKI458761 QUE458759:QUE458761 REA458759:REA458761 RNW458759:RNW458761 RXS458759:RXS458761 SHO458759:SHO458761 SRK458759:SRK458761 TBG458759:TBG458761 TLC458759:TLC458761 TUY458759:TUY458761 UEU458759:UEU458761 UOQ458759:UOQ458761 UYM458759:UYM458761 VII458759:VII458761 VSE458759:VSE458761 WCA458759:WCA458761 WLW458759:WLW458761 WVS458759:WVS458761 K524295:K524297 JG524295:JG524297 TC524295:TC524297 ACY524295:ACY524297 AMU524295:AMU524297 AWQ524295:AWQ524297 BGM524295:BGM524297 BQI524295:BQI524297 CAE524295:CAE524297 CKA524295:CKA524297 CTW524295:CTW524297 DDS524295:DDS524297 DNO524295:DNO524297 DXK524295:DXK524297 EHG524295:EHG524297 ERC524295:ERC524297 FAY524295:FAY524297 FKU524295:FKU524297 FUQ524295:FUQ524297 GEM524295:GEM524297 GOI524295:GOI524297 GYE524295:GYE524297 HIA524295:HIA524297 HRW524295:HRW524297 IBS524295:IBS524297 ILO524295:ILO524297 IVK524295:IVK524297 JFG524295:JFG524297 JPC524295:JPC524297 JYY524295:JYY524297 KIU524295:KIU524297 KSQ524295:KSQ524297 LCM524295:LCM524297 LMI524295:LMI524297 LWE524295:LWE524297 MGA524295:MGA524297 MPW524295:MPW524297 MZS524295:MZS524297 NJO524295:NJO524297 NTK524295:NTK524297 ODG524295:ODG524297 ONC524295:ONC524297 OWY524295:OWY524297 PGU524295:PGU524297 PQQ524295:PQQ524297 QAM524295:QAM524297 QKI524295:QKI524297 QUE524295:QUE524297 REA524295:REA524297 RNW524295:RNW524297 RXS524295:RXS524297 SHO524295:SHO524297 SRK524295:SRK524297 TBG524295:TBG524297 TLC524295:TLC524297 TUY524295:TUY524297 UEU524295:UEU524297 UOQ524295:UOQ524297 UYM524295:UYM524297 VII524295:VII524297 VSE524295:VSE524297 WCA524295:WCA524297 WLW524295:WLW524297 WVS524295:WVS524297 K589831:K589833 JG589831:JG589833 TC589831:TC589833 ACY589831:ACY589833 AMU589831:AMU589833 AWQ589831:AWQ589833 BGM589831:BGM589833 BQI589831:BQI589833 CAE589831:CAE589833 CKA589831:CKA589833 CTW589831:CTW589833 DDS589831:DDS589833 DNO589831:DNO589833 DXK589831:DXK589833 EHG589831:EHG589833 ERC589831:ERC589833 FAY589831:FAY589833 FKU589831:FKU589833 FUQ589831:FUQ589833 GEM589831:GEM589833 GOI589831:GOI589833 GYE589831:GYE589833 HIA589831:HIA589833 HRW589831:HRW589833 IBS589831:IBS589833 ILO589831:ILO589833 IVK589831:IVK589833 JFG589831:JFG589833 JPC589831:JPC589833 JYY589831:JYY589833 KIU589831:KIU589833 KSQ589831:KSQ589833 LCM589831:LCM589833 LMI589831:LMI589833 LWE589831:LWE589833 MGA589831:MGA589833 MPW589831:MPW589833 MZS589831:MZS589833 NJO589831:NJO589833 NTK589831:NTK589833 ODG589831:ODG589833 ONC589831:ONC589833 OWY589831:OWY589833 PGU589831:PGU589833 PQQ589831:PQQ589833 QAM589831:QAM589833 QKI589831:QKI589833 QUE589831:QUE589833 REA589831:REA589833 RNW589831:RNW589833 RXS589831:RXS589833 SHO589831:SHO589833 SRK589831:SRK589833 TBG589831:TBG589833 TLC589831:TLC589833 TUY589831:TUY589833 UEU589831:UEU589833 UOQ589831:UOQ589833 UYM589831:UYM589833 VII589831:VII589833 VSE589831:VSE589833 WCA589831:WCA589833 WLW589831:WLW589833 WVS589831:WVS589833 K655367:K655369 JG655367:JG655369 TC655367:TC655369 ACY655367:ACY655369 AMU655367:AMU655369 AWQ655367:AWQ655369 BGM655367:BGM655369 BQI655367:BQI655369 CAE655367:CAE655369 CKA655367:CKA655369 CTW655367:CTW655369 DDS655367:DDS655369 DNO655367:DNO655369 DXK655367:DXK655369 EHG655367:EHG655369 ERC655367:ERC655369 FAY655367:FAY655369 FKU655367:FKU655369 FUQ655367:FUQ655369 GEM655367:GEM655369 GOI655367:GOI655369 GYE655367:GYE655369 HIA655367:HIA655369 HRW655367:HRW655369 IBS655367:IBS655369 ILO655367:ILO655369 IVK655367:IVK655369 JFG655367:JFG655369 JPC655367:JPC655369 JYY655367:JYY655369 KIU655367:KIU655369 KSQ655367:KSQ655369 LCM655367:LCM655369 LMI655367:LMI655369 LWE655367:LWE655369 MGA655367:MGA655369 MPW655367:MPW655369 MZS655367:MZS655369 NJO655367:NJO655369 NTK655367:NTK655369 ODG655367:ODG655369 ONC655367:ONC655369 OWY655367:OWY655369 PGU655367:PGU655369 PQQ655367:PQQ655369 QAM655367:QAM655369 QKI655367:QKI655369 QUE655367:QUE655369 REA655367:REA655369 RNW655367:RNW655369 RXS655367:RXS655369 SHO655367:SHO655369 SRK655367:SRK655369 TBG655367:TBG655369 TLC655367:TLC655369 TUY655367:TUY655369 UEU655367:UEU655369 UOQ655367:UOQ655369 UYM655367:UYM655369 VII655367:VII655369 VSE655367:VSE655369 WCA655367:WCA655369 WLW655367:WLW655369 WVS655367:WVS655369 K720903:K720905 JG720903:JG720905 TC720903:TC720905 ACY720903:ACY720905 AMU720903:AMU720905 AWQ720903:AWQ720905 BGM720903:BGM720905 BQI720903:BQI720905 CAE720903:CAE720905 CKA720903:CKA720905 CTW720903:CTW720905 DDS720903:DDS720905 DNO720903:DNO720905 DXK720903:DXK720905 EHG720903:EHG720905 ERC720903:ERC720905 FAY720903:FAY720905 FKU720903:FKU720905 FUQ720903:FUQ720905 GEM720903:GEM720905 GOI720903:GOI720905 GYE720903:GYE720905 HIA720903:HIA720905 HRW720903:HRW720905 IBS720903:IBS720905 ILO720903:ILO720905 IVK720903:IVK720905 JFG720903:JFG720905 JPC720903:JPC720905 JYY720903:JYY720905 KIU720903:KIU720905 KSQ720903:KSQ720905 LCM720903:LCM720905 LMI720903:LMI720905 LWE720903:LWE720905 MGA720903:MGA720905 MPW720903:MPW720905 MZS720903:MZS720905 NJO720903:NJO720905 NTK720903:NTK720905 ODG720903:ODG720905 ONC720903:ONC720905 OWY720903:OWY720905 PGU720903:PGU720905 PQQ720903:PQQ720905 QAM720903:QAM720905 QKI720903:QKI720905 QUE720903:QUE720905 REA720903:REA720905 RNW720903:RNW720905 RXS720903:RXS720905 SHO720903:SHO720905 SRK720903:SRK720905 TBG720903:TBG720905 TLC720903:TLC720905 TUY720903:TUY720905 UEU720903:UEU720905 UOQ720903:UOQ720905 UYM720903:UYM720905 VII720903:VII720905 VSE720903:VSE720905 WCA720903:WCA720905 WLW720903:WLW720905 WVS720903:WVS720905 K786439:K786441 JG786439:JG786441 TC786439:TC786441 ACY786439:ACY786441 AMU786439:AMU786441 AWQ786439:AWQ786441 BGM786439:BGM786441 BQI786439:BQI786441 CAE786439:CAE786441 CKA786439:CKA786441 CTW786439:CTW786441 DDS786439:DDS786441 DNO786439:DNO786441 DXK786439:DXK786441 EHG786439:EHG786441 ERC786439:ERC786441 FAY786439:FAY786441 FKU786439:FKU786441 FUQ786439:FUQ786441 GEM786439:GEM786441 GOI786439:GOI786441 GYE786439:GYE786441 HIA786439:HIA786441 HRW786439:HRW786441 IBS786439:IBS786441 ILO786439:ILO786441 IVK786439:IVK786441 JFG786439:JFG786441 JPC786439:JPC786441 JYY786439:JYY786441 KIU786439:KIU786441 KSQ786439:KSQ786441 LCM786439:LCM786441 LMI786439:LMI786441 LWE786439:LWE786441 MGA786439:MGA786441 MPW786439:MPW786441 MZS786439:MZS786441 NJO786439:NJO786441 NTK786439:NTK786441 ODG786439:ODG786441 ONC786439:ONC786441 OWY786439:OWY786441 PGU786439:PGU786441 PQQ786439:PQQ786441 QAM786439:QAM786441 QKI786439:QKI786441 QUE786439:QUE786441 REA786439:REA786441 RNW786439:RNW786441 RXS786439:RXS786441 SHO786439:SHO786441 SRK786439:SRK786441 TBG786439:TBG786441 TLC786439:TLC786441 TUY786439:TUY786441 UEU786439:UEU786441 UOQ786439:UOQ786441 UYM786439:UYM786441 VII786439:VII786441 VSE786439:VSE786441 WCA786439:WCA786441 WLW786439:WLW786441 WVS786439:WVS786441 K851975:K851977 JG851975:JG851977 TC851975:TC851977 ACY851975:ACY851977 AMU851975:AMU851977 AWQ851975:AWQ851977 BGM851975:BGM851977 BQI851975:BQI851977 CAE851975:CAE851977 CKA851975:CKA851977 CTW851975:CTW851977 DDS851975:DDS851977 DNO851975:DNO851977 DXK851975:DXK851977 EHG851975:EHG851977 ERC851975:ERC851977 FAY851975:FAY851977 FKU851975:FKU851977 FUQ851975:FUQ851977 GEM851975:GEM851977 GOI851975:GOI851977 GYE851975:GYE851977 HIA851975:HIA851977 HRW851975:HRW851977 IBS851975:IBS851977 ILO851975:ILO851977 IVK851975:IVK851977 JFG851975:JFG851977 JPC851975:JPC851977 JYY851975:JYY851977 KIU851975:KIU851977 KSQ851975:KSQ851977 LCM851975:LCM851977 LMI851975:LMI851977 LWE851975:LWE851977 MGA851975:MGA851977 MPW851975:MPW851977 MZS851975:MZS851977 NJO851975:NJO851977 NTK851975:NTK851977 ODG851975:ODG851977 ONC851975:ONC851977 OWY851975:OWY851977 PGU851975:PGU851977 PQQ851975:PQQ851977 QAM851975:QAM851977 QKI851975:QKI851977 QUE851975:QUE851977 REA851975:REA851977 RNW851975:RNW851977 RXS851975:RXS851977 SHO851975:SHO851977 SRK851975:SRK851977 TBG851975:TBG851977 TLC851975:TLC851977 TUY851975:TUY851977 UEU851975:UEU851977 UOQ851975:UOQ851977 UYM851975:UYM851977 VII851975:VII851977 VSE851975:VSE851977 WCA851975:WCA851977 WLW851975:WLW851977 WVS851975:WVS851977 K917511:K917513 JG917511:JG917513 TC917511:TC917513 ACY917511:ACY917513 AMU917511:AMU917513 AWQ917511:AWQ917513 BGM917511:BGM917513 BQI917511:BQI917513 CAE917511:CAE917513 CKA917511:CKA917513 CTW917511:CTW917513 DDS917511:DDS917513 DNO917511:DNO917513 DXK917511:DXK917513 EHG917511:EHG917513 ERC917511:ERC917513 FAY917511:FAY917513 FKU917511:FKU917513 FUQ917511:FUQ917513 GEM917511:GEM917513 GOI917511:GOI917513 GYE917511:GYE917513 HIA917511:HIA917513 HRW917511:HRW917513 IBS917511:IBS917513 ILO917511:ILO917513 IVK917511:IVK917513 JFG917511:JFG917513 JPC917511:JPC917513 JYY917511:JYY917513 KIU917511:KIU917513 KSQ917511:KSQ917513 LCM917511:LCM917513 LMI917511:LMI917513 LWE917511:LWE917513 MGA917511:MGA917513 MPW917511:MPW917513 MZS917511:MZS917513 NJO917511:NJO917513 NTK917511:NTK917513 ODG917511:ODG917513 ONC917511:ONC917513 OWY917511:OWY917513 PGU917511:PGU917513 PQQ917511:PQQ917513 QAM917511:QAM917513 QKI917511:QKI917513 QUE917511:QUE917513 REA917511:REA917513 RNW917511:RNW917513 RXS917511:RXS917513 SHO917511:SHO917513 SRK917511:SRK917513 TBG917511:TBG917513 TLC917511:TLC917513 TUY917511:TUY917513 UEU917511:UEU917513 UOQ917511:UOQ917513 UYM917511:UYM917513 VII917511:VII917513 VSE917511:VSE917513 WCA917511:WCA917513 WLW917511:WLW917513 WVS917511:WVS917513 K983047:K983049 JG983047:JG983049 TC983047:TC983049 ACY983047:ACY983049 AMU983047:AMU983049 AWQ983047:AWQ983049 BGM983047:BGM983049 BQI983047:BQI983049 CAE983047:CAE983049 CKA983047:CKA983049 CTW983047:CTW983049 DDS983047:DDS983049 DNO983047:DNO983049 DXK983047:DXK983049 EHG983047:EHG983049 ERC983047:ERC983049 FAY983047:FAY983049 FKU983047:FKU983049 FUQ983047:FUQ983049 GEM983047:GEM983049 GOI983047:GOI983049 GYE983047:GYE983049 HIA983047:HIA983049 HRW983047:HRW983049 IBS983047:IBS983049 ILO983047:ILO983049 IVK983047:IVK983049 JFG983047:JFG983049 JPC983047:JPC983049 JYY983047:JYY983049 KIU983047:KIU983049 KSQ983047:KSQ983049 LCM983047:LCM983049 LMI983047:LMI983049 LWE983047:LWE983049 MGA983047:MGA983049 MPW983047:MPW983049 MZS983047:MZS983049 NJO983047:NJO983049 NTK983047:NTK983049 ODG983047:ODG983049 ONC983047:ONC983049 OWY983047:OWY983049 PGU983047:PGU983049 PQQ983047:PQQ983049 QAM983047:QAM983049 QKI983047:QKI983049 QUE983047:QUE983049 REA983047:REA983049 RNW983047:RNW983049 RXS983047:RXS983049 SHO983047:SHO983049 SRK983047:SRK983049 TBG983047:TBG983049 TLC983047:TLC983049 TUY983047:TUY983049 UEU983047:UEU983049 UOQ983047:UOQ983049 UYM983047:UYM983049 VII983047:VII983049 VSE983047:VSE983049 WCA983047:WCA983049 WLW983047:WLW983049 WVS983047:WVS983049 N7 JJ7 TF7 ADB7 AMX7 AWT7 BGP7 BQL7 CAH7 CKD7 CTZ7 DDV7 DNR7 DXN7 EHJ7 ERF7 FBB7 FKX7 FUT7 GEP7 GOL7 GYH7 HID7 HRZ7 IBV7 ILR7 IVN7 JFJ7 JPF7 JZB7 KIX7 KST7 LCP7 LML7 LWH7 MGD7 MPZ7 MZV7 NJR7 NTN7 ODJ7 ONF7 OXB7 PGX7 PQT7 QAP7 QKL7 QUH7 RED7 RNZ7 RXV7 SHR7 SRN7 TBJ7 TLF7 TVB7 UEX7 UOT7 UYP7 VIL7 VSH7 WCD7 WLZ7 WVV7 N65543 JJ65543 TF65543 ADB65543 AMX65543 AWT65543 BGP65543 BQL65543 CAH65543 CKD65543 CTZ65543 DDV65543 DNR65543 DXN65543 EHJ65543 ERF65543 FBB65543 FKX65543 FUT65543 GEP65543 GOL65543 GYH65543 HID65543 HRZ65543 IBV65543 ILR65543 IVN65543 JFJ65543 JPF65543 JZB65543 KIX65543 KST65543 LCP65543 LML65543 LWH65543 MGD65543 MPZ65543 MZV65543 NJR65543 NTN65543 ODJ65543 ONF65543 OXB65543 PGX65543 PQT65543 QAP65543 QKL65543 QUH65543 RED65543 RNZ65543 RXV65543 SHR65543 SRN65543 TBJ65543 TLF65543 TVB65543 UEX65543 UOT65543 UYP65543 VIL65543 VSH65543 WCD65543 WLZ65543 WVV65543 N131079 JJ131079 TF131079 ADB131079 AMX131079 AWT131079 BGP131079 BQL131079 CAH131079 CKD131079 CTZ131079 DDV131079 DNR131079 DXN131079 EHJ131079 ERF131079 FBB131079 FKX131079 FUT131079 GEP131079 GOL131079 GYH131079 HID131079 HRZ131079 IBV131079 ILR131079 IVN131079 JFJ131079 JPF131079 JZB131079 KIX131079 KST131079 LCP131079 LML131079 LWH131079 MGD131079 MPZ131079 MZV131079 NJR131079 NTN131079 ODJ131079 ONF131079 OXB131079 PGX131079 PQT131079 QAP131079 QKL131079 QUH131079 RED131079 RNZ131079 RXV131079 SHR131079 SRN131079 TBJ131079 TLF131079 TVB131079 UEX131079 UOT131079 UYP131079 VIL131079 VSH131079 WCD131079 WLZ131079 WVV131079 N196615 JJ196615 TF196615 ADB196615 AMX196615 AWT196615 BGP196615 BQL196615 CAH196615 CKD196615 CTZ196615 DDV196615 DNR196615 DXN196615 EHJ196615 ERF196615 FBB196615 FKX196615 FUT196615 GEP196615 GOL196615 GYH196615 HID196615 HRZ196615 IBV196615 ILR196615 IVN196615 JFJ196615 JPF196615 JZB196615 KIX196615 KST196615 LCP196615 LML196615 LWH196615 MGD196615 MPZ196615 MZV196615 NJR196615 NTN196615 ODJ196615 ONF196615 OXB196615 PGX196615 PQT196615 QAP196615 QKL196615 QUH196615 RED196615 RNZ196615 RXV196615 SHR196615 SRN196615 TBJ196615 TLF196615 TVB196615 UEX196615 UOT196615 UYP196615 VIL196615 VSH196615 WCD196615 WLZ196615 WVV196615 N262151 JJ262151 TF262151 ADB262151 AMX262151 AWT262151 BGP262151 BQL262151 CAH262151 CKD262151 CTZ262151 DDV262151 DNR262151 DXN262151 EHJ262151 ERF262151 FBB262151 FKX262151 FUT262151 GEP262151 GOL262151 GYH262151 HID262151 HRZ262151 IBV262151 ILR262151 IVN262151 JFJ262151 JPF262151 JZB262151 KIX262151 KST262151 LCP262151 LML262151 LWH262151 MGD262151 MPZ262151 MZV262151 NJR262151 NTN262151 ODJ262151 ONF262151 OXB262151 PGX262151 PQT262151 QAP262151 QKL262151 QUH262151 RED262151 RNZ262151 RXV262151 SHR262151 SRN262151 TBJ262151 TLF262151 TVB262151 UEX262151 UOT262151 UYP262151 VIL262151 VSH262151 WCD262151 WLZ262151 WVV262151 N327687 JJ327687 TF327687 ADB327687 AMX327687 AWT327687 BGP327687 BQL327687 CAH327687 CKD327687 CTZ327687 DDV327687 DNR327687 DXN327687 EHJ327687 ERF327687 FBB327687 FKX327687 FUT327687 GEP327687 GOL327687 GYH327687 HID327687 HRZ327687 IBV327687 ILR327687 IVN327687 JFJ327687 JPF327687 JZB327687 KIX327687 KST327687 LCP327687 LML327687 LWH327687 MGD327687 MPZ327687 MZV327687 NJR327687 NTN327687 ODJ327687 ONF327687 OXB327687 PGX327687 PQT327687 QAP327687 QKL327687 QUH327687 RED327687 RNZ327687 RXV327687 SHR327687 SRN327687 TBJ327687 TLF327687 TVB327687 UEX327687 UOT327687 UYP327687 VIL327687 VSH327687 WCD327687 WLZ327687 WVV327687 N393223 JJ393223 TF393223 ADB393223 AMX393223 AWT393223 BGP393223 BQL393223 CAH393223 CKD393223 CTZ393223 DDV393223 DNR393223 DXN393223 EHJ393223 ERF393223 FBB393223 FKX393223 FUT393223 GEP393223 GOL393223 GYH393223 HID393223 HRZ393223 IBV393223 ILR393223 IVN393223 JFJ393223 JPF393223 JZB393223 KIX393223 KST393223 LCP393223 LML393223 LWH393223 MGD393223 MPZ393223 MZV393223 NJR393223 NTN393223 ODJ393223 ONF393223 OXB393223 PGX393223 PQT393223 QAP393223 QKL393223 QUH393223 RED393223 RNZ393223 RXV393223 SHR393223 SRN393223 TBJ393223 TLF393223 TVB393223 UEX393223 UOT393223 UYP393223 VIL393223 VSH393223 WCD393223 WLZ393223 WVV393223 N458759 JJ458759 TF458759 ADB458759 AMX458759 AWT458759 BGP458759 BQL458759 CAH458759 CKD458759 CTZ458759 DDV458759 DNR458759 DXN458759 EHJ458759 ERF458759 FBB458759 FKX458759 FUT458759 GEP458759 GOL458759 GYH458759 HID458759 HRZ458759 IBV458759 ILR458759 IVN458759 JFJ458759 JPF458759 JZB458759 KIX458759 KST458759 LCP458759 LML458759 LWH458759 MGD458759 MPZ458759 MZV458759 NJR458759 NTN458759 ODJ458759 ONF458759 OXB458759 PGX458759 PQT458759 QAP458759 QKL458759 QUH458759 RED458759 RNZ458759 RXV458759 SHR458759 SRN458759 TBJ458759 TLF458759 TVB458759 UEX458759 UOT458759 UYP458759 VIL458759 VSH458759 WCD458759 WLZ458759 WVV458759 N524295 JJ524295 TF524295 ADB524295 AMX524295 AWT524295 BGP524295 BQL524295 CAH524295 CKD524295 CTZ524295 DDV524295 DNR524295 DXN524295 EHJ524295 ERF524295 FBB524295 FKX524295 FUT524295 GEP524295 GOL524295 GYH524295 HID524295 HRZ524295 IBV524295 ILR524295 IVN524295 JFJ524295 JPF524295 JZB524295 KIX524295 KST524295 LCP524295 LML524295 LWH524295 MGD524295 MPZ524295 MZV524295 NJR524295 NTN524295 ODJ524295 ONF524295 OXB524295 PGX524295 PQT524295 QAP524295 QKL524295 QUH524295 RED524295 RNZ524295 RXV524295 SHR524295 SRN524295 TBJ524295 TLF524295 TVB524295 UEX524295 UOT524295 UYP524295 VIL524295 VSH524295 WCD524295 WLZ524295 WVV524295 N589831 JJ589831 TF589831 ADB589831 AMX589831 AWT589831 BGP589831 BQL589831 CAH589831 CKD589831 CTZ589831 DDV589831 DNR589831 DXN589831 EHJ589831 ERF589831 FBB589831 FKX589831 FUT589831 GEP589831 GOL589831 GYH589831 HID589831 HRZ589831 IBV589831 ILR589831 IVN589831 JFJ589831 JPF589831 JZB589831 KIX589831 KST589831 LCP589831 LML589831 LWH589831 MGD589831 MPZ589831 MZV589831 NJR589831 NTN589831 ODJ589831 ONF589831 OXB589831 PGX589831 PQT589831 QAP589831 QKL589831 QUH589831 RED589831 RNZ589831 RXV589831 SHR589831 SRN589831 TBJ589831 TLF589831 TVB589831 UEX589831 UOT589831 UYP589831 VIL589831 VSH589831 WCD589831 WLZ589831 WVV589831 N655367 JJ655367 TF655367 ADB655367 AMX655367 AWT655367 BGP655367 BQL655367 CAH655367 CKD655367 CTZ655367 DDV655367 DNR655367 DXN655367 EHJ655367 ERF655367 FBB655367 FKX655367 FUT655367 GEP655367 GOL655367 GYH655367 HID655367 HRZ655367 IBV655367 ILR655367 IVN655367 JFJ655367 JPF655367 JZB655367 KIX655367 KST655367 LCP655367 LML655367 LWH655367 MGD655367 MPZ655367 MZV655367 NJR655367 NTN655367 ODJ655367 ONF655367 OXB655367 PGX655367 PQT655367 QAP655367 QKL655367 QUH655367 RED655367 RNZ655367 RXV655367 SHR655367 SRN655367 TBJ655367 TLF655367 TVB655367 UEX655367 UOT655367 UYP655367 VIL655367 VSH655367 WCD655367 WLZ655367 WVV655367 N720903 JJ720903 TF720903 ADB720903 AMX720903 AWT720903 BGP720903 BQL720903 CAH720903 CKD720903 CTZ720903 DDV720903 DNR720903 DXN720903 EHJ720903 ERF720903 FBB720903 FKX720903 FUT720903 GEP720903 GOL720903 GYH720903 HID720903 HRZ720903 IBV720903 ILR720903 IVN720903 JFJ720903 JPF720903 JZB720903 KIX720903 KST720903 LCP720903 LML720903 LWH720903 MGD720903 MPZ720903 MZV720903 NJR720903 NTN720903 ODJ720903 ONF720903 OXB720903 PGX720903 PQT720903 QAP720903 QKL720903 QUH720903 RED720903 RNZ720903 RXV720903 SHR720903 SRN720903 TBJ720903 TLF720903 TVB720903 UEX720903 UOT720903 UYP720903 VIL720903 VSH720903 WCD720903 WLZ720903 WVV720903 N786439 JJ786439 TF786439 ADB786439 AMX786439 AWT786439 BGP786439 BQL786439 CAH786439 CKD786439 CTZ786439 DDV786439 DNR786439 DXN786439 EHJ786439 ERF786439 FBB786439 FKX786439 FUT786439 GEP786439 GOL786439 GYH786439 HID786439 HRZ786439 IBV786439 ILR786439 IVN786439 JFJ786439 JPF786439 JZB786439 KIX786439 KST786439 LCP786439 LML786439 LWH786439 MGD786439 MPZ786439 MZV786439 NJR786439 NTN786439 ODJ786439 ONF786439 OXB786439 PGX786439 PQT786439 QAP786439 QKL786439 QUH786439 RED786439 RNZ786439 RXV786439 SHR786439 SRN786439 TBJ786439 TLF786439 TVB786439 UEX786439 UOT786439 UYP786439 VIL786439 VSH786439 WCD786439 WLZ786439 WVV786439 N851975 JJ851975 TF851975 ADB851975 AMX851975 AWT851975 BGP851975 BQL851975 CAH851975 CKD851975 CTZ851975 DDV851975 DNR851975 DXN851975 EHJ851975 ERF851975 FBB851975 FKX851975 FUT851975 GEP851975 GOL851975 GYH851975 HID851975 HRZ851975 IBV851975 ILR851975 IVN851975 JFJ851975 JPF851975 JZB851975 KIX851975 KST851975 LCP851975 LML851975 LWH851975 MGD851975 MPZ851975 MZV851975 NJR851975 NTN851975 ODJ851975 ONF851975 OXB851975 PGX851975 PQT851975 QAP851975 QKL851975 QUH851975 RED851975 RNZ851975 RXV851975 SHR851975 SRN851975 TBJ851975 TLF851975 TVB851975 UEX851975 UOT851975 UYP851975 VIL851975 VSH851975 WCD851975 WLZ851975 WVV851975 N917511 JJ917511 TF917511 ADB917511 AMX917511 AWT917511 BGP917511 BQL917511 CAH917511 CKD917511 CTZ917511 DDV917511 DNR917511 DXN917511 EHJ917511 ERF917511 FBB917511 FKX917511 FUT917511 GEP917511 GOL917511 GYH917511 HID917511 HRZ917511 IBV917511 ILR917511 IVN917511 JFJ917511 JPF917511 JZB917511 KIX917511 KST917511 LCP917511 LML917511 LWH917511 MGD917511 MPZ917511 MZV917511 NJR917511 NTN917511 ODJ917511 ONF917511 OXB917511 PGX917511 PQT917511 QAP917511 QKL917511 QUH917511 RED917511 RNZ917511 RXV917511 SHR917511 SRN917511 TBJ917511 TLF917511 TVB917511 UEX917511 UOT917511 UYP917511 VIL917511 VSH917511 WCD917511 WLZ917511 WVV917511 N983047 JJ983047 TF983047 ADB983047 AMX983047 AWT983047 BGP983047 BQL983047 CAH983047 CKD983047 CTZ983047 DDV983047 DNR983047 DXN983047 EHJ983047 ERF983047 FBB983047 FKX983047 FUT983047 GEP983047 GOL983047 GYH983047 HID983047 HRZ983047 IBV983047 ILR983047 IVN983047 JFJ983047 JPF983047 JZB983047 KIX983047 KST983047 LCP983047 LML983047 LWH983047 MGD983047 MPZ983047 MZV983047 NJR983047 NTN983047 ODJ983047 ONF983047 OXB983047 PGX983047 PQT983047 QAP983047 QKL983047 QUH983047 RED983047 RNZ983047 RXV983047 SHR983047 SRN983047 TBJ983047 TLF983047 TVB983047 UEX983047 UOT983047 UYP983047 VIL983047 VSH983047 WCD983047 WLZ983047 WVV983047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J10 JF10 TB10 ACX10 AMT10 AWP10 BGL10 BQH10 CAD10 CJZ10 CTV10 DDR10 DNN10 DXJ10 EHF10 ERB10 FAX10 FKT10 FUP10 GEL10 GOH10 GYD10 HHZ10 HRV10 IBR10 ILN10 IVJ10 JFF10 JPB10 JYX10 KIT10 KSP10 LCL10 LMH10 LWD10 MFZ10 MPV10 MZR10 NJN10 NTJ10 ODF10 ONB10 OWX10 PGT10 PQP10 QAL10 QKH10 QUD10 RDZ10 RNV10 RXR10 SHN10 SRJ10 TBF10 TLB10 TUX10 UET10 UOP10 UYL10 VIH10 VSD10 WBZ10 WLV10 WVR10 J65546 JF65546 TB65546 ACX65546 AMT65546 AWP65546 BGL65546 BQH65546 CAD65546 CJZ65546 CTV65546 DDR65546 DNN65546 DXJ65546 EHF65546 ERB65546 FAX65546 FKT65546 FUP65546 GEL65546 GOH65546 GYD65546 HHZ65546 HRV65546 IBR65546 ILN65546 IVJ65546 JFF65546 JPB65546 JYX65546 KIT65546 KSP65546 LCL65546 LMH65546 LWD65546 MFZ65546 MPV65546 MZR65546 NJN65546 NTJ65546 ODF65546 ONB65546 OWX65546 PGT65546 PQP65546 QAL65546 QKH65546 QUD65546 RDZ65546 RNV65546 RXR65546 SHN65546 SRJ65546 TBF65546 TLB65546 TUX65546 UET65546 UOP65546 UYL65546 VIH65546 VSD65546 WBZ65546 WLV65546 WVR65546 J131082 JF131082 TB131082 ACX131082 AMT131082 AWP131082 BGL131082 BQH131082 CAD131082 CJZ131082 CTV131082 DDR131082 DNN131082 DXJ131082 EHF131082 ERB131082 FAX131082 FKT131082 FUP131082 GEL131082 GOH131082 GYD131082 HHZ131082 HRV131082 IBR131082 ILN131082 IVJ131082 JFF131082 JPB131082 JYX131082 KIT131082 KSP131082 LCL131082 LMH131082 LWD131082 MFZ131082 MPV131082 MZR131082 NJN131082 NTJ131082 ODF131082 ONB131082 OWX131082 PGT131082 PQP131082 QAL131082 QKH131082 QUD131082 RDZ131082 RNV131082 RXR131082 SHN131082 SRJ131082 TBF131082 TLB131082 TUX131082 UET131082 UOP131082 UYL131082 VIH131082 VSD131082 WBZ131082 WLV131082 WVR131082 J196618 JF196618 TB196618 ACX196618 AMT196618 AWP196618 BGL196618 BQH196618 CAD196618 CJZ196618 CTV196618 DDR196618 DNN196618 DXJ196618 EHF196618 ERB196618 FAX196618 FKT196618 FUP196618 GEL196618 GOH196618 GYD196618 HHZ196618 HRV196618 IBR196618 ILN196618 IVJ196618 JFF196618 JPB196618 JYX196618 KIT196618 KSP196618 LCL196618 LMH196618 LWD196618 MFZ196618 MPV196618 MZR196618 NJN196618 NTJ196618 ODF196618 ONB196618 OWX196618 PGT196618 PQP196618 QAL196618 QKH196618 QUD196618 RDZ196618 RNV196618 RXR196618 SHN196618 SRJ196618 TBF196618 TLB196618 TUX196618 UET196618 UOP196618 UYL196618 VIH196618 VSD196618 WBZ196618 WLV196618 WVR196618 J262154 JF262154 TB262154 ACX262154 AMT262154 AWP262154 BGL262154 BQH262154 CAD262154 CJZ262154 CTV262154 DDR262154 DNN262154 DXJ262154 EHF262154 ERB262154 FAX262154 FKT262154 FUP262154 GEL262154 GOH262154 GYD262154 HHZ262154 HRV262154 IBR262154 ILN262154 IVJ262154 JFF262154 JPB262154 JYX262154 KIT262154 KSP262154 LCL262154 LMH262154 LWD262154 MFZ262154 MPV262154 MZR262154 NJN262154 NTJ262154 ODF262154 ONB262154 OWX262154 PGT262154 PQP262154 QAL262154 QKH262154 QUD262154 RDZ262154 RNV262154 RXR262154 SHN262154 SRJ262154 TBF262154 TLB262154 TUX262154 UET262154 UOP262154 UYL262154 VIH262154 VSD262154 WBZ262154 WLV262154 WVR262154 J327690 JF327690 TB327690 ACX327690 AMT327690 AWP327690 BGL327690 BQH327690 CAD327690 CJZ327690 CTV327690 DDR327690 DNN327690 DXJ327690 EHF327690 ERB327690 FAX327690 FKT327690 FUP327690 GEL327690 GOH327690 GYD327690 HHZ327690 HRV327690 IBR327690 ILN327690 IVJ327690 JFF327690 JPB327690 JYX327690 KIT327690 KSP327690 LCL327690 LMH327690 LWD327690 MFZ327690 MPV327690 MZR327690 NJN327690 NTJ327690 ODF327690 ONB327690 OWX327690 PGT327690 PQP327690 QAL327690 QKH327690 QUD327690 RDZ327690 RNV327690 RXR327690 SHN327690 SRJ327690 TBF327690 TLB327690 TUX327690 UET327690 UOP327690 UYL327690 VIH327690 VSD327690 WBZ327690 WLV327690 WVR327690 J393226 JF393226 TB393226 ACX393226 AMT393226 AWP393226 BGL393226 BQH393226 CAD393226 CJZ393226 CTV393226 DDR393226 DNN393226 DXJ393226 EHF393226 ERB393226 FAX393226 FKT393226 FUP393226 GEL393226 GOH393226 GYD393226 HHZ393226 HRV393226 IBR393226 ILN393226 IVJ393226 JFF393226 JPB393226 JYX393226 KIT393226 KSP393226 LCL393226 LMH393226 LWD393226 MFZ393226 MPV393226 MZR393226 NJN393226 NTJ393226 ODF393226 ONB393226 OWX393226 PGT393226 PQP393226 QAL393226 QKH393226 QUD393226 RDZ393226 RNV393226 RXR393226 SHN393226 SRJ393226 TBF393226 TLB393226 TUX393226 UET393226 UOP393226 UYL393226 VIH393226 VSD393226 WBZ393226 WLV393226 WVR393226 J458762 JF458762 TB458762 ACX458762 AMT458762 AWP458762 BGL458762 BQH458762 CAD458762 CJZ458762 CTV458762 DDR458762 DNN458762 DXJ458762 EHF458762 ERB458762 FAX458762 FKT458762 FUP458762 GEL458762 GOH458762 GYD458762 HHZ458762 HRV458762 IBR458762 ILN458762 IVJ458762 JFF458762 JPB458762 JYX458762 KIT458762 KSP458762 LCL458762 LMH458762 LWD458762 MFZ458762 MPV458762 MZR458762 NJN458762 NTJ458762 ODF458762 ONB458762 OWX458762 PGT458762 PQP458762 QAL458762 QKH458762 QUD458762 RDZ458762 RNV458762 RXR458762 SHN458762 SRJ458762 TBF458762 TLB458762 TUX458762 UET458762 UOP458762 UYL458762 VIH458762 VSD458762 WBZ458762 WLV458762 WVR458762 J524298 JF524298 TB524298 ACX524298 AMT524298 AWP524298 BGL524298 BQH524298 CAD524298 CJZ524298 CTV524298 DDR524298 DNN524298 DXJ524298 EHF524298 ERB524298 FAX524298 FKT524298 FUP524298 GEL524298 GOH524298 GYD524298 HHZ524298 HRV524298 IBR524298 ILN524298 IVJ524298 JFF524298 JPB524298 JYX524298 KIT524298 KSP524298 LCL524298 LMH524298 LWD524298 MFZ524298 MPV524298 MZR524298 NJN524298 NTJ524298 ODF524298 ONB524298 OWX524298 PGT524298 PQP524298 QAL524298 QKH524298 QUD524298 RDZ524298 RNV524298 RXR524298 SHN524298 SRJ524298 TBF524298 TLB524298 TUX524298 UET524298 UOP524298 UYL524298 VIH524298 VSD524298 WBZ524298 WLV524298 WVR524298 J589834 JF589834 TB589834 ACX589834 AMT589834 AWP589834 BGL589834 BQH589834 CAD589834 CJZ589834 CTV589834 DDR589834 DNN589834 DXJ589834 EHF589834 ERB589834 FAX589834 FKT589834 FUP589834 GEL589834 GOH589834 GYD589834 HHZ589834 HRV589834 IBR589834 ILN589834 IVJ589834 JFF589834 JPB589834 JYX589834 KIT589834 KSP589834 LCL589834 LMH589834 LWD589834 MFZ589834 MPV589834 MZR589834 NJN589834 NTJ589834 ODF589834 ONB589834 OWX589834 PGT589834 PQP589834 QAL589834 QKH589834 QUD589834 RDZ589834 RNV589834 RXR589834 SHN589834 SRJ589834 TBF589834 TLB589834 TUX589834 UET589834 UOP589834 UYL589834 VIH589834 VSD589834 WBZ589834 WLV589834 WVR589834 J655370 JF655370 TB655370 ACX655370 AMT655370 AWP655370 BGL655370 BQH655370 CAD655370 CJZ655370 CTV655370 DDR655370 DNN655370 DXJ655370 EHF655370 ERB655370 FAX655370 FKT655370 FUP655370 GEL655370 GOH655370 GYD655370 HHZ655370 HRV655370 IBR655370 ILN655370 IVJ655370 JFF655370 JPB655370 JYX655370 KIT655370 KSP655370 LCL655370 LMH655370 LWD655370 MFZ655370 MPV655370 MZR655370 NJN655370 NTJ655370 ODF655370 ONB655370 OWX655370 PGT655370 PQP655370 QAL655370 QKH655370 QUD655370 RDZ655370 RNV655370 RXR655370 SHN655370 SRJ655370 TBF655370 TLB655370 TUX655370 UET655370 UOP655370 UYL655370 VIH655370 VSD655370 WBZ655370 WLV655370 WVR655370 J720906 JF720906 TB720906 ACX720906 AMT720906 AWP720906 BGL720906 BQH720906 CAD720906 CJZ720906 CTV720906 DDR720906 DNN720906 DXJ720906 EHF720906 ERB720906 FAX720906 FKT720906 FUP720906 GEL720906 GOH720906 GYD720906 HHZ720906 HRV720906 IBR720906 ILN720906 IVJ720906 JFF720906 JPB720906 JYX720906 KIT720906 KSP720906 LCL720906 LMH720906 LWD720906 MFZ720906 MPV720906 MZR720906 NJN720906 NTJ720906 ODF720906 ONB720906 OWX720906 PGT720906 PQP720906 QAL720906 QKH720906 QUD720906 RDZ720906 RNV720906 RXR720906 SHN720906 SRJ720906 TBF720906 TLB720906 TUX720906 UET720906 UOP720906 UYL720906 VIH720906 VSD720906 WBZ720906 WLV720906 WVR720906 J786442 JF786442 TB786442 ACX786442 AMT786442 AWP786442 BGL786442 BQH786442 CAD786442 CJZ786442 CTV786442 DDR786442 DNN786442 DXJ786442 EHF786442 ERB786442 FAX786442 FKT786442 FUP786442 GEL786442 GOH786442 GYD786442 HHZ786442 HRV786442 IBR786442 ILN786442 IVJ786442 JFF786442 JPB786442 JYX786442 KIT786442 KSP786442 LCL786442 LMH786442 LWD786442 MFZ786442 MPV786442 MZR786442 NJN786442 NTJ786442 ODF786442 ONB786442 OWX786442 PGT786442 PQP786442 QAL786442 QKH786442 QUD786442 RDZ786442 RNV786442 RXR786442 SHN786442 SRJ786442 TBF786442 TLB786442 TUX786442 UET786442 UOP786442 UYL786442 VIH786442 VSD786442 WBZ786442 WLV786442 WVR786442 J851978 JF851978 TB851978 ACX851978 AMT851978 AWP851978 BGL851978 BQH851978 CAD851978 CJZ851978 CTV851978 DDR851978 DNN851978 DXJ851978 EHF851978 ERB851978 FAX851978 FKT851978 FUP851978 GEL851978 GOH851978 GYD851978 HHZ851978 HRV851978 IBR851978 ILN851978 IVJ851978 JFF851978 JPB851978 JYX851978 KIT851978 KSP851978 LCL851978 LMH851978 LWD851978 MFZ851978 MPV851978 MZR851978 NJN851978 NTJ851978 ODF851978 ONB851978 OWX851978 PGT851978 PQP851978 QAL851978 QKH851978 QUD851978 RDZ851978 RNV851978 RXR851978 SHN851978 SRJ851978 TBF851978 TLB851978 TUX851978 UET851978 UOP851978 UYL851978 VIH851978 VSD851978 WBZ851978 WLV851978 WVR851978 J917514 JF917514 TB917514 ACX917514 AMT917514 AWP917514 BGL917514 BQH917514 CAD917514 CJZ917514 CTV917514 DDR917514 DNN917514 DXJ917514 EHF917514 ERB917514 FAX917514 FKT917514 FUP917514 GEL917514 GOH917514 GYD917514 HHZ917514 HRV917514 IBR917514 ILN917514 IVJ917514 JFF917514 JPB917514 JYX917514 KIT917514 KSP917514 LCL917514 LMH917514 LWD917514 MFZ917514 MPV917514 MZR917514 NJN917514 NTJ917514 ODF917514 ONB917514 OWX917514 PGT917514 PQP917514 QAL917514 QKH917514 QUD917514 RDZ917514 RNV917514 RXR917514 SHN917514 SRJ917514 TBF917514 TLB917514 TUX917514 UET917514 UOP917514 UYL917514 VIH917514 VSD917514 WBZ917514 WLV917514 WVR917514 J983050 JF983050 TB983050 ACX983050 AMT983050 AWP983050 BGL983050 BQH983050 CAD983050 CJZ983050 CTV983050 DDR983050 DNN983050 DXJ983050 EHF983050 ERB983050 FAX983050 FKT983050 FUP983050 GEL983050 GOH983050 GYD983050 HHZ983050 HRV983050 IBR983050 ILN983050 IVJ983050 JFF983050 JPB983050 JYX983050 KIT983050 KSP983050 LCL983050 LMH983050 LWD983050 MFZ983050 MPV983050 MZR983050 NJN983050 NTJ983050 ODF983050 ONB983050 OWX983050 PGT983050 PQP983050 QAL983050 QKH983050 QUD983050 RDZ983050 RNV983050 RXR983050 SHN983050 SRJ983050 TBF983050 TLB983050 TUX983050 UET983050 UOP983050 UYL983050 VIH983050 VSD983050 WBZ983050 WLV983050 WVR983050 G9:G10 JC9:JC10 SY9:SY10 ACU9:ACU10 AMQ9:AMQ10 AWM9:AWM10 BGI9:BGI10 BQE9:BQE10 CAA9:CAA10 CJW9:CJW10 CTS9:CTS10 DDO9:DDO10 DNK9:DNK10 DXG9:DXG10 EHC9:EHC10 EQY9:EQY10 FAU9:FAU10 FKQ9:FKQ10 FUM9:FUM10 GEI9:GEI10 GOE9:GOE10 GYA9:GYA10 HHW9:HHW10 HRS9:HRS10 IBO9:IBO10 ILK9:ILK10 IVG9:IVG10 JFC9:JFC10 JOY9:JOY10 JYU9:JYU10 KIQ9:KIQ10 KSM9:KSM10 LCI9:LCI10 LME9:LME10 LWA9:LWA10 MFW9:MFW10 MPS9:MPS10 MZO9:MZO10 NJK9:NJK10 NTG9:NTG10 ODC9:ODC10 OMY9:OMY10 OWU9:OWU10 PGQ9:PGQ10 PQM9:PQM10 QAI9:QAI10 QKE9:QKE10 QUA9:QUA10 RDW9:RDW10 RNS9:RNS10 RXO9:RXO10 SHK9:SHK10 SRG9:SRG10 TBC9:TBC10 TKY9:TKY10 TUU9:TUU10 UEQ9:UEQ10 UOM9:UOM10 UYI9:UYI10 VIE9:VIE10 VSA9:VSA10 WBW9:WBW10 WLS9:WLS10 WVO9:WVO10 G65545:G65546 JC65545:JC65546 SY65545:SY65546 ACU65545:ACU65546 AMQ65545:AMQ65546 AWM65545:AWM65546 BGI65545:BGI65546 BQE65545:BQE65546 CAA65545:CAA65546 CJW65545:CJW65546 CTS65545:CTS65546 DDO65545:DDO65546 DNK65545:DNK65546 DXG65545:DXG65546 EHC65545:EHC65546 EQY65545:EQY65546 FAU65545:FAU65546 FKQ65545:FKQ65546 FUM65545:FUM65546 GEI65545:GEI65546 GOE65545:GOE65546 GYA65545:GYA65546 HHW65545:HHW65546 HRS65545:HRS65546 IBO65545:IBO65546 ILK65545:ILK65546 IVG65545:IVG65546 JFC65545:JFC65546 JOY65545:JOY65546 JYU65545:JYU65546 KIQ65545:KIQ65546 KSM65545:KSM65546 LCI65545:LCI65546 LME65545:LME65546 LWA65545:LWA65546 MFW65545:MFW65546 MPS65545:MPS65546 MZO65545:MZO65546 NJK65545:NJK65546 NTG65545:NTG65546 ODC65545:ODC65546 OMY65545:OMY65546 OWU65545:OWU65546 PGQ65545:PGQ65546 PQM65545:PQM65546 QAI65545:QAI65546 QKE65545:QKE65546 QUA65545:QUA65546 RDW65545:RDW65546 RNS65545:RNS65546 RXO65545:RXO65546 SHK65545:SHK65546 SRG65545:SRG65546 TBC65545:TBC65546 TKY65545:TKY65546 TUU65545:TUU65546 UEQ65545:UEQ65546 UOM65545:UOM65546 UYI65545:UYI65546 VIE65545:VIE65546 VSA65545:VSA65546 WBW65545:WBW65546 WLS65545:WLS65546 WVO65545:WVO65546 G131081:G131082 JC131081:JC131082 SY131081:SY131082 ACU131081:ACU131082 AMQ131081:AMQ131082 AWM131081:AWM131082 BGI131081:BGI131082 BQE131081:BQE131082 CAA131081:CAA131082 CJW131081:CJW131082 CTS131081:CTS131082 DDO131081:DDO131082 DNK131081:DNK131082 DXG131081:DXG131082 EHC131081:EHC131082 EQY131081:EQY131082 FAU131081:FAU131082 FKQ131081:FKQ131082 FUM131081:FUM131082 GEI131081:GEI131082 GOE131081:GOE131082 GYA131081:GYA131082 HHW131081:HHW131082 HRS131081:HRS131082 IBO131081:IBO131082 ILK131081:ILK131082 IVG131081:IVG131082 JFC131081:JFC131082 JOY131081:JOY131082 JYU131081:JYU131082 KIQ131081:KIQ131082 KSM131081:KSM131082 LCI131081:LCI131082 LME131081:LME131082 LWA131081:LWA131082 MFW131081:MFW131082 MPS131081:MPS131082 MZO131081:MZO131082 NJK131081:NJK131082 NTG131081:NTG131082 ODC131081:ODC131082 OMY131081:OMY131082 OWU131081:OWU131082 PGQ131081:PGQ131082 PQM131081:PQM131082 QAI131081:QAI131082 QKE131081:QKE131082 QUA131081:QUA131082 RDW131081:RDW131082 RNS131081:RNS131082 RXO131081:RXO131082 SHK131081:SHK131082 SRG131081:SRG131082 TBC131081:TBC131082 TKY131081:TKY131082 TUU131081:TUU131082 UEQ131081:UEQ131082 UOM131081:UOM131082 UYI131081:UYI131082 VIE131081:VIE131082 VSA131081:VSA131082 WBW131081:WBW131082 WLS131081:WLS131082 WVO131081:WVO131082 G196617:G196618 JC196617:JC196618 SY196617:SY196618 ACU196617:ACU196618 AMQ196617:AMQ196618 AWM196617:AWM196618 BGI196617:BGI196618 BQE196617:BQE196618 CAA196617:CAA196618 CJW196617:CJW196618 CTS196617:CTS196618 DDO196617:DDO196618 DNK196617:DNK196618 DXG196617:DXG196618 EHC196617:EHC196618 EQY196617:EQY196618 FAU196617:FAU196618 FKQ196617:FKQ196618 FUM196617:FUM196618 GEI196617:GEI196618 GOE196617:GOE196618 GYA196617:GYA196618 HHW196617:HHW196618 HRS196617:HRS196618 IBO196617:IBO196618 ILK196617:ILK196618 IVG196617:IVG196618 JFC196617:JFC196618 JOY196617:JOY196618 JYU196617:JYU196618 KIQ196617:KIQ196618 KSM196617:KSM196618 LCI196617:LCI196618 LME196617:LME196618 LWA196617:LWA196618 MFW196617:MFW196618 MPS196617:MPS196618 MZO196617:MZO196618 NJK196617:NJK196618 NTG196617:NTG196618 ODC196617:ODC196618 OMY196617:OMY196618 OWU196617:OWU196618 PGQ196617:PGQ196618 PQM196617:PQM196618 QAI196617:QAI196618 QKE196617:QKE196618 QUA196617:QUA196618 RDW196617:RDW196618 RNS196617:RNS196618 RXO196617:RXO196618 SHK196617:SHK196618 SRG196617:SRG196618 TBC196617:TBC196618 TKY196617:TKY196618 TUU196617:TUU196618 UEQ196617:UEQ196618 UOM196617:UOM196618 UYI196617:UYI196618 VIE196617:VIE196618 VSA196617:VSA196618 WBW196617:WBW196618 WLS196617:WLS196618 WVO196617:WVO196618 G262153:G262154 JC262153:JC262154 SY262153:SY262154 ACU262153:ACU262154 AMQ262153:AMQ262154 AWM262153:AWM262154 BGI262153:BGI262154 BQE262153:BQE262154 CAA262153:CAA262154 CJW262153:CJW262154 CTS262153:CTS262154 DDO262153:DDO262154 DNK262153:DNK262154 DXG262153:DXG262154 EHC262153:EHC262154 EQY262153:EQY262154 FAU262153:FAU262154 FKQ262153:FKQ262154 FUM262153:FUM262154 GEI262153:GEI262154 GOE262153:GOE262154 GYA262153:GYA262154 HHW262153:HHW262154 HRS262153:HRS262154 IBO262153:IBO262154 ILK262153:ILK262154 IVG262153:IVG262154 JFC262153:JFC262154 JOY262153:JOY262154 JYU262153:JYU262154 KIQ262153:KIQ262154 KSM262153:KSM262154 LCI262153:LCI262154 LME262153:LME262154 LWA262153:LWA262154 MFW262153:MFW262154 MPS262153:MPS262154 MZO262153:MZO262154 NJK262153:NJK262154 NTG262153:NTG262154 ODC262153:ODC262154 OMY262153:OMY262154 OWU262153:OWU262154 PGQ262153:PGQ262154 PQM262153:PQM262154 QAI262153:QAI262154 QKE262153:QKE262154 QUA262153:QUA262154 RDW262153:RDW262154 RNS262153:RNS262154 RXO262153:RXO262154 SHK262153:SHK262154 SRG262153:SRG262154 TBC262153:TBC262154 TKY262153:TKY262154 TUU262153:TUU262154 UEQ262153:UEQ262154 UOM262153:UOM262154 UYI262153:UYI262154 VIE262153:VIE262154 VSA262153:VSA262154 WBW262153:WBW262154 WLS262153:WLS262154 WVO262153:WVO262154 G327689:G327690 JC327689:JC327690 SY327689:SY327690 ACU327689:ACU327690 AMQ327689:AMQ327690 AWM327689:AWM327690 BGI327689:BGI327690 BQE327689:BQE327690 CAA327689:CAA327690 CJW327689:CJW327690 CTS327689:CTS327690 DDO327689:DDO327690 DNK327689:DNK327690 DXG327689:DXG327690 EHC327689:EHC327690 EQY327689:EQY327690 FAU327689:FAU327690 FKQ327689:FKQ327690 FUM327689:FUM327690 GEI327689:GEI327690 GOE327689:GOE327690 GYA327689:GYA327690 HHW327689:HHW327690 HRS327689:HRS327690 IBO327689:IBO327690 ILK327689:ILK327690 IVG327689:IVG327690 JFC327689:JFC327690 JOY327689:JOY327690 JYU327689:JYU327690 KIQ327689:KIQ327690 KSM327689:KSM327690 LCI327689:LCI327690 LME327689:LME327690 LWA327689:LWA327690 MFW327689:MFW327690 MPS327689:MPS327690 MZO327689:MZO327690 NJK327689:NJK327690 NTG327689:NTG327690 ODC327689:ODC327690 OMY327689:OMY327690 OWU327689:OWU327690 PGQ327689:PGQ327690 PQM327689:PQM327690 QAI327689:QAI327690 QKE327689:QKE327690 QUA327689:QUA327690 RDW327689:RDW327690 RNS327689:RNS327690 RXO327689:RXO327690 SHK327689:SHK327690 SRG327689:SRG327690 TBC327689:TBC327690 TKY327689:TKY327690 TUU327689:TUU327690 UEQ327689:UEQ327690 UOM327689:UOM327690 UYI327689:UYI327690 VIE327689:VIE327690 VSA327689:VSA327690 WBW327689:WBW327690 WLS327689:WLS327690 WVO327689:WVO327690 G393225:G393226 JC393225:JC393226 SY393225:SY393226 ACU393225:ACU393226 AMQ393225:AMQ393226 AWM393225:AWM393226 BGI393225:BGI393226 BQE393225:BQE393226 CAA393225:CAA393226 CJW393225:CJW393226 CTS393225:CTS393226 DDO393225:DDO393226 DNK393225:DNK393226 DXG393225:DXG393226 EHC393225:EHC393226 EQY393225:EQY393226 FAU393225:FAU393226 FKQ393225:FKQ393226 FUM393225:FUM393226 GEI393225:GEI393226 GOE393225:GOE393226 GYA393225:GYA393226 HHW393225:HHW393226 HRS393225:HRS393226 IBO393225:IBO393226 ILK393225:ILK393226 IVG393225:IVG393226 JFC393225:JFC393226 JOY393225:JOY393226 JYU393225:JYU393226 KIQ393225:KIQ393226 KSM393225:KSM393226 LCI393225:LCI393226 LME393225:LME393226 LWA393225:LWA393226 MFW393225:MFW393226 MPS393225:MPS393226 MZO393225:MZO393226 NJK393225:NJK393226 NTG393225:NTG393226 ODC393225:ODC393226 OMY393225:OMY393226 OWU393225:OWU393226 PGQ393225:PGQ393226 PQM393225:PQM393226 QAI393225:QAI393226 QKE393225:QKE393226 QUA393225:QUA393226 RDW393225:RDW393226 RNS393225:RNS393226 RXO393225:RXO393226 SHK393225:SHK393226 SRG393225:SRG393226 TBC393225:TBC393226 TKY393225:TKY393226 TUU393225:TUU393226 UEQ393225:UEQ393226 UOM393225:UOM393226 UYI393225:UYI393226 VIE393225:VIE393226 VSA393225:VSA393226 WBW393225:WBW393226 WLS393225:WLS393226 WVO393225:WVO393226 G458761:G458762 JC458761:JC458762 SY458761:SY458762 ACU458761:ACU458762 AMQ458761:AMQ458762 AWM458761:AWM458762 BGI458761:BGI458762 BQE458761:BQE458762 CAA458761:CAA458762 CJW458761:CJW458762 CTS458761:CTS458762 DDO458761:DDO458762 DNK458761:DNK458762 DXG458761:DXG458762 EHC458761:EHC458762 EQY458761:EQY458762 FAU458761:FAU458762 FKQ458761:FKQ458762 FUM458761:FUM458762 GEI458761:GEI458762 GOE458761:GOE458762 GYA458761:GYA458762 HHW458761:HHW458762 HRS458761:HRS458762 IBO458761:IBO458762 ILK458761:ILK458762 IVG458761:IVG458762 JFC458761:JFC458762 JOY458761:JOY458762 JYU458761:JYU458762 KIQ458761:KIQ458762 KSM458761:KSM458762 LCI458761:LCI458762 LME458761:LME458762 LWA458761:LWA458762 MFW458761:MFW458762 MPS458761:MPS458762 MZO458761:MZO458762 NJK458761:NJK458762 NTG458761:NTG458762 ODC458761:ODC458762 OMY458761:OMY458762 OWU458761:OWU458762 PGQ458761:PGQ458762 PQM458761:PQM458762 QAI458761:QAI458762 QKE458761:QKE458762 QUA458761:QUA458762 RDW458761:RDW458762 RNS458761:RNS458762 RXO458761:RXO458762 SHK458761:SHK458762 SRG458761:SRG458762 TBC458761:TBC458762 TKY458761:TKY458762 TUU458761:TUU458762 UEQ458761:UEQ458762 UOM458761:UOM458762 UYI458761:UYI458762 VIE458761:VIE458762 VSA458761:VSA458762 WBW458761:WBW458762 WLS458761:WLS458762 WVO458761:WVO458762 G524297:G524298 JC524297:JC524298 SY524297:SY524298 ACU524297:ACU524298 AMQ524297:AMQ524298 AWM524297:AWM524298 BGI524297:BGI524298 BQE524297:BQE524298 CAA524297:CAA524298 CJW524297:CJW524298 CTS524297:CTS524298 DDO524297:DDO524298 DNK524297:DNK524298 DXG524297:DXG524298 EHC524297:EHC524298 EQY524297:EQY524298 FAU524297:FAU524298 FKQ524297:FKQ524298 FUM524297:FUM524298 GEI524297:GEI524298 GOE524297:GOE524298 GYA524297:GYA524298 HHW524297:HHW524298 HRS524297:HRS524298 IBO524297:IBO524298 ILK524297:ILK524298 IVG524297:IVG524298 JFC524297:JFC524298 JOY524297:JOY524298 JYU524297:JYU524298 KIQ524297:KIQ524298 KSM524297:KSM524298 LCI524297:LCI524298 LME524297:LME524298 LWA524297:LWA524298 MFW524297:MFW524298 MPS524297:MPS524298 MZO524297:MZO524298 NJK524297:NJK524298 NTG524297:NTG524298 ODC524297:ODC524298 OMY524297:OMY524298 OWU524297:OWU524298 PGQ524297:PGQ524298 PQM524297:PQM524298 QAI524297:QAI524298 QKE524297:QKE524298 QUA524297:QUA524298 RDW524297:RDW524298 RNS524297:RNS524298 RXO524297:RXO524298 SHK524297:SHK524298 SRG524297:SRG524298 TBC524297:TBC524298 TKY524297:TKY524298 TUU524297:TUU524298 UEQ524297:UEQ524298 UOM524297:UOM524298 UYI524297:UYI524298 VIE524297:VIE524298 VSA524297:VSA524298 WBW524297:WBW524298 WLS524297:WLS524298 WVO524297:WVO524298 G589833:G589834 JC589833:JC589834 SY589833:SY589834 ACU589833:ACU589834 AMQ589833:AMQ589834 AWM589833:AWM589834 BGI589833:BGI589834 BQE589833:BQE589834 CAA589833:CAA589834 CJW589833:CJW589834 CTS589833:CTS589834 DDO589833:DDO589834 DNK589833:DNK589834 DXG589833:DXG589834 EHC589833:EHC589834 EQY589833:EQY589834 FAU589833:FAU589834 FKQ589833:FKQ589834 FUM589833:FUM589834 GEI589833:GEI589834 GOE589833:GOE589834 GYA589833:GYA589834 HHW589833:HHW589834 HRS589833:HRS589834 IBO589833:IBO589834 ILK589833:ILK589834 IVG589833:IVG589834 JFC589833:JFC589834 JOY589833:JOY589834 JYU589833:JYU589834 KIQ589833:KIQ589834 KSM589833:KSM589834 LCI589833:LCI589834 LME589833:LME589834 LWA589833:LWA589834 MFW589833:MFW589834 MPS589833:MPS589834 MZO589833:MZO589834 NJK589833:NJK589834 NTG589833:NTG589834 ODC589833:ODC589834 OMY589833:OMY589834 OWU589833:OWU589834 PGQ589833:PGQ589834 PQM589833:PQM589834 QAI589833:QAI589834 QKE589833:QKE589834 QUA589833:QUA589834 RDW589833:RDW589834 RNS589833:RNS589834 RXO589833:RXO589834 SHK589833:SHK589834 SRG589833:SRG589834 TBC589833:TBC589834 TKY589833:TKY589834 TUU589833:TUU589834 UEQ589833:UEQ589834 UOM589833:UOM589834 UYI589833:UYI589834 VIE589833:VIE589834 VSA589833:VSA589834 WBW589833:WBW589834 WLS589833:WLS589834 WVO589833:WVO589834 G655369:G655370 JC655369:JC655370 SY655369:SY655370 ACU655369:ACU655370 AMQ655369:AMQ655370 AWM655369:AWM655370 BGI655369:BGI655370 BQE655369:BQE655370 CAA655369:CAA655370 CJW655369:CJW655370 CTS655369:CTS655370 DDO655369:DDO655370 DNK655369:DNK655370 DXG655369:DXG655370 EHC655369:EHC655370 EQY655369:EQY655370 FAU655369:FAU655370 FKQ655369:FKQ655370 FUM655369:FUM655370 GEI655369:GEI655370 GOE655369:GOE655370 GYA655369:GYA655370 HHW655369:HHW655370 HRS655369:HRS655370 IBO655369:IBO655370 ILK655369:ILK655370 IVG655369:IVG655370 JFC655369:JFC655370 JOY655369:JOY655370 JYU655369:JYU655370 KIQ655369:KIQ655370 KSM655369:KSM655370 LCI655369:LCI655370 LME655369:LME655370 LWA655369:LWA655370 MFW655369:MFW655370 MPS655369:MPS655370 MZO655369:MZO655370 NJK655369:NJK655370 NTG655369:NTG655370 ODC655369:ODC655370 OMY655369:OMY655370 OWU655369:OWU655370 PGQ655369:PGQ655370 PQM655369:PQM655370 QAI655369:QAI655370 QKE655369:QKE655370 QUA655369:QUA655370 RDW655369:RDW655370 RNS655369:RNS655370 RXO655369:RXO655370 SHK655369:SHK655370 SRG655369:SRG655370 TBC655369:TBC655370 TKY655369:TKY655370 TUU655369:TUU655370 UEQ655369:UEQ655370 UOM655369:UOM655370 UYI655369:UYI655370 VIE655369:VIE655370 VSA655369:VSA655370 WBW655369:WBW655370 WLS655369:WLS655370 WVO655369:WVO655370 G720905:G720906 JC720905:JC720906 SY720905:SY720906 ACU720905:ACU720906 AMQ720905:AMQ720906 AWM720905:AWM720906 BGI720905:BGI720906 BQE720905:BQE720906 CAA720905:CAA720906 CJW720905:CJW720906 CTS720905:CTS720906 DDO720905:DDO720906 DNK720905:DNK720906 DXG720905:DXG720906 EHC720905:EHC720906 EQY720905:EQY720906 FAU720905:FAU720906 FKQ720905:FKQ720906 FUM720905:FUM720906 GEI720905:GEI720906 GOE720905:GOE720906 GYA720905:GYA720906 HHW720905:HHW720906 HRS720905:HRS720906 IBO720905:IBO720906 ILK720905:ILK720906 IVG720905:IVG720906 JFC720905:JFC720906 JOY720905:JOY720906 JYU720905:JYU720906 KIQ720905:KIQ720906 KSM720905:KSM720906 LCI720905:LCI720906 LME720905:LME720906 LWA720905:LWA720906 MFW720905:MFW720906 MPS720905:MPS720906 MZO720905:MZO720906 NJK720905:NJK720906 NTG720905:NTG720906 ODC720905:ODC720906 OMY720905:OMY720906 OWU720905:OWU720906 PGQ720905:PGQ720906 PQM720905:PQM720906 QAI720905:QAI720906 QKE720905:QKE720906 QUA720905:QUA720906 RDW720905:RDW720906 RNS720905:RNS720906 RXO720905:RXO720906 SHK720905:SHK720906 SRG720905:SRG720906 TBC720905:TBC720906 TKY720905:TKY720906 TUU720905:TUU720906 UEQ720905:UEQ720906 UOM720905:UOM720906 UYI720905:UYI720906 VIE720905:VIE720906 VSA720905:VSA720906 WBW720905:WBW720906 WLS720905:WLS720906 WVO720905:WVO720906 G786441:G786442 JC786441:JC786442 SY786441:SY786442 ACU786441:ACU786442 AMQ786441:AMQ786442 AWM786441:AWM786442 BGI786441:BGI786442 BQE786441:BQE786442 CAA786441:CAA786442 CJW786441:CJW786442 CTS786441:CTS786442 DDO786441:DDO786442 DNK786441:DNK786442 DXG786441:DXG786442 EHC786441:EHC786442 EQY786441:EQY786442 FAU786441:FAU786442 FKQ786441:FKQ786442 FUM786441:FUM786442 GEI786441:GEI786442 GOE786441:GOE786442 GYA786441:GYA786442 HHW786441:HHW786442 HRS786441:HRS786442 IBO786441:IBO786442 ILK786441:ILK786442 IVG786441:IVG786442 JFC786441:JFC786442 JOY786441:JOY786442 JYU786441:JYU786442 KIQ786441:KIQ786442 KSM786441:KSM786442 LCI786441:LCI786442 LME786441:LME786442 LWA786441:LWA786442 MFW786441:MFW786442 MPS786441:MPS786442 MZO786441:MZO786442 NJK786441:NJK786442 NTG786441:NTG786442 ODC786441:ODC786442 OMY786441:OMY786442 OWU786441:OWU786442 PGQ786441:PGQ786442 PQM786441:PQM786442 QAI786441:QAI786442 QKE786441:QKE786442 QUA786441:QUA786442 RDW786441:RDW786442 RNS786441:RNS786442 RXO786441:RXO786442 SHK786441:SHK786442 SRG786441:SRG786442 TBC786441:TBC786442 TKY786441:TKY786442 TUU786441:TUU786442 UEQ786441:UEQ786442 UOM786441:UOM786442 UYI786441:UYI786442 VIE786441:VIE786442 VSA786441:VSA786442 WBW786441:WBW786442 WLS786441:WLS786442 WVO786441:WVO786442 G851977:G851978 JC851977:JC851978 SY851977:SY851978 ACU851977:ACU851978 AMQ851977:AMQ851978 AWM851977:AWM851978 BGI851977:BGI851978 BQE851977:BQE851978 CAA851977:CAA851978 CJW851977:CJW851978 CTS851977:CTS851978 DDO851977:DDO851978 DNK851977:DNK851978 DXG851977:DXG851978 EHC851977:EHC851978 EQY851977:EQY851978 FAU851977:FAU851978 FKQ851977:FKQ851978 FUM851977:FUM851978 GEI851977:GEI851978 GOE851977:GOE851978 GYA851977:GYA851978 HHW851977:HHW851978 HRS851977:HRS851978 IBO851977:IBO851978 ILK851977:ILK851978 IVG851977:IVG851978 JFC851977:JFC851978 JOY851977:JOY851978 JYU851977:JYU851978 KIQ851977:KIQ851978 KSM851977:KSM851978 LCI851977:LCI851978 LME851977:LME851978 LWA851977:LWA851978 MFW851977:MFW851978 MPS851977:MPS851978 MZO851977:MZO851978 NJK851977:NJK851978 NTG851977:NTG851978 ODC851977:ODC851978 OMY851977:OMY851978 OWU851977:OWU851978 PGQ851977:PGQ851978 PQM851977:PQM851978 QAI851977:QAI851978 QKE851977:QKE851978 QUA851977:QUA851978 RDW851977:RDW851978 RNS851977:RNS851978 RXO851977:RXO851978 SHK851977:SHK851978 SRG851977:SRG851978 TBC851977:TBC851978 TKY851977:TKY851978 TUU851977:TUU851978 UEQ851977:UEQ851978 UOM851977:UOM851978 UYI851977:UYI851978 VIE851977:VIE851978 VSA851977:VSA851978 WBW851977:WBW851978 WLS851977:WLS851978 WVO851977:WVO851978 G917513:G917514 JC917513:JC917514 SY917513:SY917514 ACU917513:ACU917514 AMQ917513:AMQ917514 AWM917513:AWM917514 BGI917513:BGI917514 BQE917513:BQE917514 CAA917513:CAA917514 CJW917513:CJW917514 CTS917513:CTS917514 DDO917513:DDO917514 DNK917513:DNK917514 DXG917513:DXG917514 EHC917513:EHC917514 EQY917513:EQY917514 FAU917513:FAU917514 FKQ917513:FKQ917514 FUM917513:FUM917514 GEI917513:GEI917514 GOE917513:GOE917514 GYA917513:GYA917514 HHW917513:HHW917514 HRS917513:HRS917514 IBO917513:IBO917514 ILK917513:ILK917514 IVG917513:IVG917514 JFC917513:JFC917514 JOY917513:JOY917514 JYU917513:JYU917514 KIQ917513:KIQ917514 KSM917513:KSM917514 LCI917513:LCI917514 LME917513:LME917514 LWA917513:LWA917514 MFW917513:MFW917514 MPS917513:MPS917514 MZO917513:MZO917514 NJK917513:NJK917514 NTG917513:NTG917514 ODC917513:ODC917514 OMY917513:OMY917514 OWU917513:OWU917514 PGQ917513:PGQ917514 PQM917513:PQM917514 QAI917513:QAI917514 QKE917513:QKE917514 QUA917513:QUA917514 RDW917513:RDW917514 RNS917513:RNS917514 RXO917513:RXO917514 SHK917513:SHK917514 SRG917513:SRG917514 TBC917513:TBC917514 TKY917513:TKY917514 TUU917513:TUU917514 UEQ917513:UEQ917514 UOM917513:UOM917514 UYI917513:UYI917514 VIE917513:VIE917514 VSA917513:VSA917514 WBW917513:WBW917514 WLS917513:WLS917514 WVO917513:WVO917514 G983049:G983050 JC983049:JC983050 SY983049:SY983050 ACU983049:ACU983050 AMQ983049:AMQ983050 AWM983049:AWM983050 BGI983049:BGI983050 BQE983049:BQE983050 CAA983049:CAA983050 CJW983049:CJW983050 CTS983049:CTS983050 DDO983049:DDO983050 DNK983049:DNK983050 DXG983049:DXG983050 EHC983049:EHC983050 EQY983049:EQY983050 FAU983049:FAU983050 FKQ983049:FKQ983050 FUM983049:FUM983050 GEI983049:GEI983050 GOE983049:GOE983050 GYA983049:GYA983050 HHW983049:HHW983050 HRS983049:HRS983050 IBO983049:IBO983050 ILK983049:ILK983050 IVG983049:IVG983050 JFC983049:JFC983050 JOY983049:JOY983050 JYU983049:JYU983050 KIQ983049:KIQ983050 KSM983049:KSM983050 LCI983049:LCI983050 LME983049:LME983050 LWA983049:LWA983050 MFW983049:MFW983050 MPS983049:MPS983050 MZO983049:MZO983050 NJK983049:NJK983050 NTG983049:NTG983050 ODC983049:ODC983050 OMY983049:OMY983050 OWU983049:OWU983050 PGQ983049:PGQ983050 PQM983049:PQM983050 QAI983049:QAI983050 QKE983049:QKE983050 QUA983049:QUA983050 RDW983049:RDW983050 RNS983049:RNS983050 RXO983049:RXO983050 SHK983049:SHK983050 SRG983049:SRG983050 TBC983049:TBC983050 TKY983049:TKY983050 TUU983049:TUU983050 UEQ983049:UEQ983050 UOM983049:UOM983050 UYI983049:UYI983050 VIE983049:VIE983050 VSA983049:VSA983050 WBW983049:WBW983050 WLS983049:WLS983050 WVO983049:WVO983050 D9:D10 IZ9:IZ10 SV9:SV10 ACR9:ACR10 AMN9:AMN10 AWJ9:AWJ10 BGF9:BGF10 BQB9:BQB10 BZX9:BZX10 CJT9:CJT10 CTP9:CTP10 DDL9:DDL10 DNH9:DNH10 DXD9:DXD10 EGZ9:EGZ10 EQV9:EQV10 FAR9:FAR10 FKN9:FKN10 FUJ9:FUJ10 GEF9:GEF10 GOB9:GOB10 GXX9:GXX10 HHT9:HHT10 HRP9:HRP10 IBL9:IBL10 ILH9:ILH10 IVD9:IVD10 JEZ9:JEZ10 JOV9:JOV10 JYR9:JYR10 KIN9:KIN10 KSJ9:KSJ10 LCF9:LCF10 LMB9:LMB10 LVX9:LVX10 MFT9:MFT10 MPP9:MPP10 MZL9:MZL10 NJH9:NJH10 NTD9:NTD10 OCZ9:OCZ10 OMV9:OMV10 OWR9:OWR10 PGN9:PGN10 PQJ9:PQJ10 QAF9:QAF10 QKB9:QKB10 QTX9:QTX10 RDT9:RDT10 RNP9:RNP10 RXL9:RXL10 SHH9:SHH10 SRD9:SRD10 TAZ9:TAZ10 TKV9:TKV10 TUR9:TUR10 UEN9:UEN10 UOJ9:UOJ10 UYF9:UYF10 VIB9:VIB10 VRX9:VRX10 WBT9:WBT10 WLP9:WLP10 WVL9:WVL10 D65545:D65546 IZ65545:IZ65546 SV65545:SV65546 ACR65545:ACR65546 AMN65545:AMN65546 AWJ65545:AWJ65546 BGF65545:BGF65546 BQB65545:BQB65546 BZX65545:BZX65546 CJT65545:CJT65546 CTP65545:CTP65546 DDL65545:DDL65546 DNH65545:DNH65546 DXD65545:DXD65546 EGZ65545:EGZ65546 EQV65545:EQV65546 FAR65545:FAR65546 FKN65545:FKN65546 FUJ65545:FUJ65546 GEF65545:GEF65546 GOB65545:GOB65546 GXX65545:GXX65546 HHT65545:HHT65546 HRP65545:HRP65546 IBL65545:IBL65546 ILH65545:ILH65546 IVD65545:IVD65546 JEZ65545:JEZ65546 JOV65545:JOV65546 JYR65545:JYR65546 KIN65545:KIN65546 KSJ65545:KSJ65546 LCF65545:LCF65546 LMB65545:LMB65546 LVX65545:LVX65546 MFT65545:MFT65546 MPP65545:MPP65546 MZL65545:MZL65546 NJH65545:NJH65546 NTD65545:NTD65546 OCZ65545:OCZ65546 OMV65545:OMV65546 OWR65545:OWR65546 PGN65545:PGN65546 PQJ65545:PQJ65546 QAF65545:QAF65546 QKB65545:QKB65546 QTX65545:QTX65546 RDT65545:RDT65546 RNP65545:RNP65546 RXL65545:RXL65546 SHH65545:SHH65546 SRD65545:SRD65546 TAZ65545:TAZ65546 TKV65545:TKV65546 TUR65545:TUR65546 UEN65545:UEN65546 UOJ65545:UOJ65546 UYF65545:UYF65546 VIB65545:VIB65546 VRX65545:VRX65546 WBT65545:WBT65546 WLP65545:WLP65546 WVL65545:WVL65546 D131081:D131082 IZ131081:IZ131082 SV131081:SV131082 ACR131081:ACR131082 AMN131081:AMN131082 AWJ131081:AWJ131082 BGF131081:BGF131082 BQB131081:BQB131082 BZX131081:BZX131082 CJT131081:CJT131082 CTP131081:CTP131082 DDL131081:DDL131082 DNH131081:DNH131082 DXD131081:DXD131082 EGZ131081:EGZ131082 EQV131081:EQV131082 FAR131081:FAR131082 FKN131081:FKN131082 FUJ131081:FUJ131082 GEF131081:GEF131082 GOB131081:GOB131082 GXX131081:GXX131082 HHT131081:HHT131082 HRP131081:HRP131082 IBL131081:IBL131082 ILH131081:ILH131082 IVD131081:IVD131082 JEZ131081:JEZ131082 JOV131081:JOV131082 JYR131081:JYR131082 KIN131081:KIN131082 KSJ131081:KSJ131082 LCF131081:LCF131082 LMB131081:LMB131082 LVX131081:LVX131082 MFT131081:MFT131082 MPP131081:MPP131082 MZL131081:MZL131082 NJH131081:NJH131082 NTD131081:NTD131082 OCZ131081:OCZ131082 OMV131081:OMV131082 OWR131081:OWR131082 PGN131081:PGN131082 PQJ131081:PQJ131082 QAF131081:QAF131082 QKB131081:QKB131082 QTX131081:QTX131082 RDT131081:RDT131082 RNP131081:RNP131082 RXL131081:RXL131082 SHH131081:SHH131082 SRD131081:SRD131082 TAZ131081:TAZ131082 TKV131081:TKV131082 TUR131081:TUR131082 UEN131081:UEN131082 UOJ131081:UOJ131082 UYF131081:UYF131082 VIB131081:VIB131082 VRX131081:VRX131082 WBT131081:WBT131082 WLP131081:WLP131082 WVL131081:WVL131082 D196617:D196618 IZ196617:IZ196618 SV196617:SV196618 ACR196617:ACR196618 AMN196617:AMN196618 AWJ196617:AWJ196618 BGF196617:BGF196618 BQB196617:BQB196618 BZX196617:BZX196618 CJT196617:CJT196618 CTP196617:CTP196618 DDL196617:DDL196618 DNH196617:DNH196618 DXD196617:DXD196618 EGZ196617:EGZ196618 EQV196617:EQV196618 FAR196617:FAR196618 FKN196617:FKN196618 FUJ196617:FUJ196618 GEF196617:GEF196618 GOB196617:GOB196618 GXX196617:GXX196618 HHT196617:HHT196618 HRP196617:HRP196618 IBL196617:IBL196618 ILH196617:ILH196618 IVD196617:IVD196618 JEZ196617:JEZ196618 JOV196617:JOV196618 JYR196617:JYR196618 KIN196617:KIN196618 KSJ196617:KSJ196618 LCF196617:LCF196618 LMB196617:LMB196618 LVX196617:LVX196618 MFT196617:MFT196618 MPP196617:MPP196618 MZL196617:MZL196618 NJH196617:NJH196618 NTD196617:NTD196618 OCZ196617:OCZ196618 OMV196617:OMV196618 OWR196617:OWR196618 PGN196617:PGN196618 PQJ196617:PQJ196618 QAF196617:QAF196618 QKB196617:QKB196618 QTX196617:QTX196618 RDT196617:RDT196618 RNP196617:RNP196618 RXL196617:RXL196618 SHH196617:SHH196618 SRD196617:SRD196618 TAZ196617:TAZ196618 TKV196617:TKV196618 TUR196617:TUR196618 UEN196617:UEN196618 UOJ196617:UOJ196618 UYF196617:UYF196618 VIB196617:VIB196618 VRX196617:VRX196618 WBT196617:WBT196618 WLP196617:WLP196618 WVL196617:WVL196618 D262153:D262154 IZ262153:IZ262154 SV262153:SV262154 ACR262153:ACR262154 AMN262153:AMN262154 AWJ262153:AWJ262154 BGF262153:BGF262154 BQB262153:BQB262154 BZX262153:BZX262154 CJT262153:CJT262154 CTP262153:CTP262154 DDL262153:DDL262154 DNH262153:DNH262154 DXD262153:DXD262154 EGZ262153:EGZ262154 EQV262153:EQV262154 FAR262153:FAR262154 FKN262153:FKN262154 FUJ262153:FUJ262154 GEF262153:GEF262154 GOB262153:GOB262154 GXX262153:GXX262154 HHT262153:HHT262154 HRP262153:HRP262154 IBL262153:IBL262154 ILH262153:ILH262154 IVD262153:IVD262154 JEZ262153:JEZ262154 JOV262153:JOV262154 JYR262153:JYR262154 KIN262153:KIN262154 KSJ262153:KSJ262154 LCF262153:LCF262154 LMB262153:LMB262154 LVX262153:LVX262154 MFT262153:MFT262154 MPP262153:MPP262154 MZL262153:MZL262154 NJH262153:NJH262154 NTD262153:NTD262154 OCZ262153:OCZ262154 OMV262153:OMV262154 OWR262153:OWR262154 PGN262153:PGN262154 PQJ262153:PQJ262154 QAF262153:QAF262154 QKB262153:QKB262154 QTX262153:QTX262154 RDT262153:RDT262154 RNP262153:RNP262154 RXL262153:RXL262154 SHH262153:SHH262154 SRD262153:SRD262154 TAZ262153:TAZ262154 TKV262153:TKV262154 TUR262153:TUR262154 UEN262153:UEN262154 UOJ262153:UOJ262154 UYF262153:UYF262154 VIB262153:VIB262154 VRX262153:VRX262154 WBT262153:WBT262154 WLP262153:WLP262154 WVL262153:WVL262154 D327689:D327690 IZ327689:IZ327690 SV327689:SV327690 ACR327689:ACR327690 AMN327689:AMN327690 AWJ327689:AWJ327690 BGF327689:BGF327690 BQB327689:BQB327690 BZX327689:BZX327690 CJT327689:CJT327690 CTP327689:CTP327690 DDL327689:DDL327690 DNH327689:DNH327690 DXD327689:DXD327690 EGZ327689:EGZ327690 EQV327689:EQV327690 FAR327689:FAR327690 FKN327689:FKN327690 FUJ327689:FUJ327690 GEF327689:GEF327690 GOB327689:GOB327690 GXX327689:GXX327690 HHT327689:HHT327690 HRP327689:HRP327690 IBL327689:IBL327690 ILH327689:ILH327690 IVD327689:IVD327690 JEZ327689:JEZ327690 JOV327689:JOV327690 JYR327689:JYR327690 KIN327689:KIN327690 KSJ327689:KSJ327690 LCF327689:LCF327690 LMB327689:LMB327690 LVX327689:LVX327690 MFT327689:MFT327690 MPP327689:MPP327690 MZL327689:MZL327690 NJH327689:NJH327690 NTD327689:NTD327690 OCZ327689:OCZ327690 OMV327689:OMV327690 OWR327689:OWR327690 PGN327689:PGN327690 PQJ327689:PQJ327690 QAF327689:QAF327690 QKB327689:QKB327690 QTX327689:QTX327690 RDT327689:RDT327690 RNP327689:RNP327690 RXL327689:RXL327690 SHH327689:SHH327690 SRD327689:SRD327690 TAZ327689:TAZ327690 TKV327689:TKV327690 TUR327689:TUR327690 UEN327689:UEN327690 UOJ327689:UOJ327690 UYF327689:UYF327690 VIB327689:VIB327690 VRX327689:VRX327690 WBT327689:WBT327690 WLP327689:WLP327690 WVL327689:WVL327690 D393225:D393226 IZ393225:IZ393226 SV393225:SV393226 ACR393225:ACR393226 AMN393225:AMN393226 AWJ393225:AWJ393226 BGF393225:BGF393226 BQB393225:BQB393226 BZX393225:BZX393226 CJT393225:CJT393226 CTP393225:CTP393226 DDL393225:DDL393226 DNH393225:DNH393226 DXD393225:DXD393226 EGZ393225:EGZ393226 EQV393225:EQV393226 FAR393225:FAR393226 FKN393225:FKN393226 FUJ393225:FUJ393226 GEF393225:GEF393226 GOB393225:GOB393226 GXX393225:GXX393226 HHT393225:HHT393226 HRP393225:HRP393226 IBL393225:IBL393226 ILH393225:ILH393226 IVD393225:IVD393226 JEZ393225:JEZ393226 JOV393225:JOV393226 JYR393225:JYR393226 KIN393225:KIN393226 KSJ393225:KSJ393226 LCF393225:LCF393226 LMB393225:LMB393226 LVX393225:LVX393226 MFT393225:MFT393226 MPP393225:MPP393226 MZL393225:MZL393226 NJH393225:NJH393226 NTD393225:NTD393226 OCZ393225:OCZ393226 OMV393225:OMV393226 OWR393225:OWR393226 PGN393225:PGN393226 PQJ393225:PQJ393226 QAF393225:QAF393226 QKB393225:QKB393226 QTX393225:QTX393226 RDT393225:RDT393226 RNP393225:RNP393226 RXL393225:RXL393226 SHH393225:SHH393226 SRD393225:SRD393226 TAZ393225:TAZ393226 TKV393225:TKV393226 TUR393225:TUR393226 UEN393225:UEN393226 UOJ393225:UOJ393226 UYF393225:UYF393226 VIB393225:VIB393226 VRX393225:VRX393226 WBT393225:WBT393226 WLP393225:WLP393226 WVL393225:WVL393226 D458761:D458762 IZ458761:IZ458762 SV458761:SV458762 ACR458761:ACR458762 AMN458761:AMN458762 AWJ458761:AWJ458762 BGF458761:BGF458762 BQB458761:BQB458762 BZX458761:BZX458762 CJT458761:CJT458762 CTP458761:CTP458762 DDL458761:DDL458762 DNH458761:DNH458762 DXD458761:DXD458762 EGZ458761:EGZ458762 EQV458761:EQV458762 FAR458761:FAR458762 FKN458761:FKN458762 FUJ458761:FUJ458762 GEF458761:GEF458762 GOB458761:GOB458762 GXX458761:GXX458762 HHT458761:HHT458762 HRP458761:HRP458762 IBL458761:IBL458762 ILH458761:ILH458762 IVD458761:IVD458762 JEZ458761:JEZ458762 JOV458761:JOV458762 JYR458761:JYR458762 KIN458761:KIN458762 KSJ458761:KSJ458762 LCF458761:LCF458762 LMB458761:LMB458762 LVX458761:LVX458762 MFT458761:MFT458762 MPP458761:MPP458762 MZL458761:MZL458762 NJH458761:NJH458762 NTD458761:NTD458762 OCZ458761:OCZ458762 OMV458761:OMV458762 OWR458761:OWR458762 PGN458761:PGN458762 PQJ458761:PQJ458762 QAF458761:QAF458762 QKB458761:QKB458762 QTX458761:QTX458762 RDT458761:RDT458762 RNP458761:RNP458762 RXL458761:RXL458762 SHH458761:SHH458762 SRD458761:SRD458762 TAZ458761:TAZ458762 TKV458761:TKV458762 TUR458761:TUR458762 UEN458761:UEN458762 UOJ458761:UOJ458762 UYF458761:UYF458762 VIB458761:VIB458762 VRX458761:VRX458762 WBT458761:WBT458762 WLP458761:WLP458762 WVL458761:WVL458762 D524297:D524298 IZ524297:IZ524298 SV524297:SV524298 ACR524297:ACR524298 AMN524297:AMN524298 AWJ524297:AWJ524298 BGF524297:BGF524298 BQB524297:BQB524298 BZX524297:BZX524298 CJT524297:CJT524298 CTP524297:CTP524298 DDL524297:DDL524298 DNH524297:DNH524298 DXD524297:DXD524298 EGZ524297:EGZ524298 EQV524297:EQV524298 FAR524297:FAR524298 FKN524297:FKN524298 FUJ524297:FUJ524298 GEF524297:GEF524298 GOB524297:GOB524298 GXX524297:GXX524298 HHT524297:HHT524298 HRP524297:HRP524298 IBL524297:IBL524298 ILH524297:ILH524298 IVD524297:IVD524298 JEZ524297:JEZ524298 JOV524297:JOV524298 JYR524297:JYR524298 KIN524297:KIN524298 KSJ524297:KSJ524298 LCF524297:LCF524298 LMB524297:LMB524298 LVX524297:LVX524298 MFT524297:MFT524298 MPP524297:MPP524298 MZL524297:MZL524298 NJH524297:NJH524298 NTD524297:NTD524298 OCZ524297:OCZ524298 OMV524297:OMV524298 OWR524297:OWR524298 PGN524297:PGN524298 PQJ524297:PQJ524298 QAF524297:QAF524298 QKB524297:QKB524298 QTX524297:QTX524298 RDT524297:RDT524298 RNP524297:RNP524298 RXL524297:RXL524298 SHH524297:SHH524298 SRD524297:SRD524298 TAZ524297:TAZ524298 TKV524297:TKV524298 TUR524297:TUR524298 UEN524297:UEN524298 UOJ524297:UOJ524298 UYF524297:UYF524298 VIB524297:VIB524298 VRX524297:VRX524298 WBT524297:WBT524298 WLP524297:WLP524298 WVL524297:WVL524298 D589833:D589834 IZ589833:IZ589834 SV589833:SV589834 ACR589833:ACR589834 AMN589833:AMN589834 AWJ589833:AWJ589834 BGF589833:BGF589834 BQB589833:BQB589834 BZX589833:BZX589834 CJT589833:CJT589834 CTP589833:CTP589834 DDL589833:DDL589834 DNH589833:DNH589834 DXD589833:DXD589834 EGZ589833:EGZ589834 EQV589833:EQV589834 FAR589833:FAR589834 FKN589833:FKN589834 FUJ589833:FUJ589834 GEF589833:GEF589834 GOB589833:GOB589834 GXX589833:GXX589834 HHT589833:HHT589834 HRP589833:HRP589834 IBL589833:IBL589834 ILH589833:ILH589834 IVD589833:IVD589834 JEZ589833:JEZ589834 JOV589833:JOV589834 JYR589833:JYR589834 KIN589833:KIN589834 KSJ589833:KSJ589834 LCF589833:LCF589834 LMB589833:LMB589834 LVX589833:LVX589834 MFT589833:MFT589834 MPP589833:MPP589834 MZL589833:MZL589834 NJH589833:NJH589834 NTD589833:NTD589834 OCZ589833:OCZ589834 OMV589833:OMV589834 OWR589833:OWR589834 PGN589833:PGN589834 PQJ589833:PQJ589834 QAF589833:QAF589834 QKB589833:QKB589834 QTX589833:QTX589834 RDT589833:RDT589834 RNP589833:RNP589834 RXL589833:RXL589834 SHH589833:SHH589834 SRD589833:SRD589834 TAZ589833:TAZ589834 TKV589833:TKV589834 TUR589833:TUR589834 UEN589833:UEN589834 UOJ589833:UOJ589834 UYF589833:UYF589834 VIB589833:VIB589834 VRX589833:VRX589834 WBT589833:WBT589834 WLP589833:WLP589834 WVL589833:WVL589834 D655369:D655370 IZ655369:IZ655370 SV655369:SV655370 ACR655369:ACR655370 AMN655369:AMN655370 AWJ655369:AWJ655370 BGF655369:BGF655370 BQB655369:BQB655370 BZX655369:BZX655370 CJT655369:CJT655370 CTP655369:CTP655370 DDL655369:DDL655370 DNH655369:DNH655370 DXD655369:DXD655370 EGZ655369:EGZ655370 EQV655369:EQV655370 FAR655369:FAR655370 FKN655369:FKN655370 FUJ655369:FUJ655370 GEF655369:GEF655370 GOB655369:GOB655370 GXX655369:GXX655370 HHT655369:HHT655370 HRP655369:HRP655370 IBL655369:IBL655370 ILH655369:ILH655370 IVD655369:IVD655370 JEZ655369:JEZ655370 JOV655369:JOV655370 JYR655369:JYR655370 KIN655369:KIN655370 KSJ655369:KSJ655370 LCF655369:LCF655370 LMB655369:LMB655370 LVX655369:LVX655370 MFT655369:MFT655370 MPP655369:MPP655370 MZL655369:MZL655370 NJH655369:NJH655370 NTD655369:NTD655370 OCZ655369:OCZ655370 OMV655369:OMV655370 OWR655369:OWR655370 PGN655369:PGN655370 PQJ655369:PQJ655370 QAF655369:QAF655370 QKB655369:QKB655370 QTX655369:QTX655370 RDT655369:RDT655370 RNP655369:RNP655370 RXL655369:RXL655370 SHH655369:SHH655370 SRD655369:SRD655370 TAZ655369:TAZ655370 TKV655369:TKV655370 TUR655369:TUR655370 UEN655369:UEN655370 UOJ655369:UOJ655370 UYF655369:UYF655370 VIB655369:VIB655370 VRX655369:VRX655370 WBT655369:WBT655370 WLP655369:WLP655370 WVL655369:WVL655370 D720905:D720906 IZ720905:IZ720906 SV720905:SV720906 ACR720905:ACR720906 AMN720905:AMN720906 AWJ720905:AWJ720906 BGF720905:BGF720906 BQB720905:BQB720906 BZX720905:BZX720906 CJT720905:CJT720906 CTP720905:CTP720906 DDL720905:DDL720906 DNH720905:DNH720906 DXD720905:DXD720906 EGZ720905:EGZ720906 EQV720905:EQV720906 FAR720905:FAR720906 FKN720905:FKN720906 FUJ720905:FUJ720906 GEF720905:GEF720906 GOB720905:GOB720906 GXX720905:GXX720906 HHT720905:HHT720906 HRP720905:HRP720906 IBL720905:IBL720906 ILH720905:ILH720906 IVD720905:IVD720906 JEZ720905:JEZ720906 JOV720905:JOV720906 JYR720905:JYR720906 KIN720905:KIN720906 KSJ720905:KSJ720906 LCF720905:LCF720906 LMB720905:LMB720906 LVX720905:LVX720906 MFT720905:MFT720906 MPP720905:MPP720906 MZL720905:MZL720906 NJH720905:NJH720906 NTD720905:NTD720906 OCZ720905:OCZ720906 OMV720905:OMV720906 OWR720905:OWR720906 PGN720905:PGN720906 PQJ720905:PQJ720906 QAF720905:QAF720906 QKB720905:QKB720906 QTX720905:QTX720906 RDT720905:RDT720906 RNP720905:RNP720906 RXL720905:RXL720906 SHH720905:SHH720906 SRD720905:SRD720906 TAZ720905:TAZ720906 TKV720905:TKV720906 TUR720905:TUR720906 UEN720905:UEN720906 UOJ720905:UOJ720906 UYF720905:UYF720906 VIB720905:VIB720906 VRX720905:VRX720906 WBT720905:WBT720906 WLP720905:WLP720906 WVL720905:WVL720906 D786441:D786442 IZ786441:IZ786442 SV786441:SV786442 ACR786441:ACR786442 AMN786441:AMN786442 AWJ786441:AWJ786442 BGF786441:BGF786442 BQB786441:BQB786442 BZX786441:BZX786442 CJT786441:CJT786442 CTP786441:CTP786442 DDL786441:DDL786442 DNH786441:DNH786442 DXD786441:DXD786442 EGZ786441:EGZ786442 EQV786441:EQV786442 FAR786441:FAR786442 FKN786441:FKN786442 FUJ786441:FUJ786442 GEF786441:GEF786442 GOB786441:GOB786442 GXX786441:GXX786442 HHT786441:HHT786442 HRP786441:HRP786442 IBL786441:IBL786442 ILH786441:ILH786442 IVD786441:IVD786442 JEZ786441:JEZ786442 JOV786441:JOV786442 JYR786441:JYR786442 KIN786441:KIN786442 KSJ786441:KSJ786442 LCF786441:LCF786442 LMB786441:LMB786442 LVX786441:LVX786442 MFT786441:MFT786442 MPP786441:MPP786442 MZL786441:MZL786442 NJH786441:NJH786442 NTD786441:NTD786442 OCZ786441:OCZ786442 OMV786441:OMV786442 OWR786441:OWR786442 PGN786441:PGN786442 PQJ786441:PQJ786442 QAF786441:QAF786442 QKB786441:QKB786442 QTX786441:QTX786442 RDT786441:RDT786442 RNP786441:RNP786442 RXL786441:RXL786442 SHH786441:SHH786442 SRD786441:SRD786442 TAZ786441:TAZ786442 TKV786441:TKV786442 TUR786441:TUR786442 UEN786441:UEN786442 UOJ786441:UOJ786442 UYF786441:UYF786442 VIB786441:VIB786442 VRX786441:VRX786442 WBT786441:WBT786442 WLP786441:WLP786442 WVL786441:WVL786442 D851977:D851978 IZ851977:IZ851978 SV851977:SV851978 ACR851977:ACR851978 AMN851977:AMN851978 AWJ851977:AWJ851978 BGF851977:BGF851978 BQB851977:BQB851978 BZX851977:BZX851978 CJT851977:CJT851978 CTP851977:CTP851978 DDL851977:DDL851978 DNH851977:DNH851978 DXD851977:DXD851978 EGZ851977:EGZ851978 EQV851977:EQV851978 FAR851977:FAR851978 FKN851977:FKN851978 FUJ851977:FUJ851978 GEF851977:GEF851978 GOB851977:GOB851978 GXX851977:GXX851978 HHT851977:HHT851978 HRP851977:HRP851978 IBL851977:IBL851978 ILH851977:ILH851978 IVD851977:IVD851978 JEZ851977:JEZ851978 JOV851977:JOV851978 JYR851977:JYR851978 KIN851977:KIN851978 KSJ851977:KSJ851978 LCF851977:LCF851978 LMB851977:LMB851978 LVX851977:LVX851978 MFT851977:MFT851978 MPP851977:MPP851978 MZL851977:MZL851978 NJH851977:NJH851978 NTD851977:NTD851978 OCZ851977:OCZ851978 OMV851977:OMV851978 OWR851977:OWR851978 PGN851977:PGN851978 PQJ851977:PQJ851978 QAF851977:QAF851978 QKB851977:QKB851978 QTX851977:QTX851978 RDT851977:RDT851978 RNP851977:RNP851978 RXL851977:RXL851978 SHH851977:SHH851978 SRD851977:SRD851978 TAZ851977:TAZ851978 TKV851977:TKV851978 TUR851977:TUR851978 UEN851977:UEN851978 UOJ851977:UOJ851978 UYF851977:UYF851978 VIB851977:VIB851978 VRX851977:VRX851978 WBT851977:WBT851978 WLP851977:WLP851978 WVL851977:WVL851978 D917513:D917514 IZ917513:IZ917514 SV917513:SV917514 ACR917513:ACR917514 AMN917513:AMN917514 AWJ917513:AWJ917514 BGF917513:BGF917514 BQB917513:BQB917514 BZX917513:BZX917514 CJT917513:CJT917514 CTP917513:CTP917514 DDL917513:DDL917514 DNH917513:DNH917514 DXD917513:DXD917514 EGZ917513:EGZ917514 EQV917513:EQV917514 FAR917513:FAR917514 FKN917513:FKN917514 FUJ917513:FUJ917514 GEF917513:GEF917514 GOB917513:GOB917514 GXX917513:GXX917514 HHT917513:HHT917514 HRP917513:HRP917514 IBL917513:IBL917514 ILH917513:ILH917514 IVD917513:IVD917514 JEZ917513:JEZ917514 JOV917513:JOV917514 JYR917513:JYR917514 KIN917513:KIN917514 KSJ917513:KSJ917514 LCF917513:LCF917514 LMB917513:LMB917514 LVX917513:LVX917514 MFT917513:MFT917514 MPP917513:MPP917514 MZL917513:MZL917514 NJH917513:NJH917514 NTD917513:NTD917514 OCZ917513:OCZ917514 OMV917513:OMV917514 OWR917513:OWR917514 PGN917513:PGN917514 PQJ917513:PQJ917514 QAF917513:QAF917514 QKB917513:QKB917514 QTX917513:QTX917514 RDT917513:RDT917514 RNP917513:RNP917514 RXL917513:RXL917514 SHH917513:SHH917514 SRD917513:SRD917514 TAZ917513:TAZ917514 TKV917513:TKV917514 TUR917513:TUR917514 UEN917513:UEN917514 UOJ917513:UOJ917514 UYF917513:UYF917514 VIB917513:VIB917514 VRX917513:VRX917514 WBT917513:WBT917514 WLP917513:WLP917514 WVL917513:WVL917514 D983049:D983050 IZ983049:IZ983050 SV983049:SV983050 ACR983049:ACR983050 AMN983049:AMN983050 AWJ983049:AWJ983050 BGF983049:BGF983050 BQB983049:BQB983050 BZX983049:BZX983050 CJT983049:CJT983050 CTP983049:CTP983050 DDL983049:DDL983050 DNH983049:DNH983050 DXD983049:DXD983050 EGZ983049:EGZ983050 EQV983049:EQV983050 FAR983049:FAR983050 FKN983049:FKN983050 FUJ983049:FUJ983050 GEF983049:GEF983050 GOB983049:GOB983050 GXX983049:GXX983050 HHT983049:HHT983050 HRP983049:HRP983050 IBL983049:IBL983050 ILH983049:ILH983050 IVD983049:IVD983050 JEZ983049:JEZ983050 JOV983049:JOV983050 JYR983049:JYR983050 KIN983049:KIN983050 KSJ983049:KSJ983050 LCF983049:LCF983050 LMB983049:LMB983050 LVX983049:LVX983050 MFT983049:MFT983050 MPP983049:MPP983050 MZL983049:MZL983050 NJH983049:NJH983050 NTD983049:NTD983050 OCZ983049:OCZ983050 OMV983049:OMV983050 OWR983049:OWR983050 PGN983049:PGN983050 PQJ983049:PQJ983050 QAF983049:QAF983050 QKB983049:QKB983050 QTX983049:QTX983050 RDT983049:RDT983050 RNP983049:RNP983050 RXL983049:RXL983050 SHH983049:SHH983050 SRD983049:SRD983050 TAZ983049:TAZ983050 TKV983049:TKV983050 TUR983049:TUR983050 UEN983049:UEN983050 UOJ983049:UOJ983050 UYF983049:UYF983050 VIB983049:VIB983050 VRX983049:VRX983050 WBT983049:WBT983050 WLP983049:WLP983050 WVL983049:WVL983050 B33:B34 IX33:IX34 ST33:ST34 ACP33:ACP34 AML33:AML34 AWH33:AWH34 BGD33:BGD34 BPZ33:BPZ34 BZV33:BZV34 CJR33:CJR34 CTN33:CTN34 DDJ33:DDJ34 DNF33:DNF34 DXB33:DXB34 EGX33:EGX34 EQT33:EQT34 FAP33:FAP34 FKL33:FKL34 FUH33:FUH34 GED33:GED34 GNZ33:GNZ34 GXV33:GXV34 HHR33:HHR34 HRN33:HRN34 IBJ33:IBJ34 ILF33:ILF34 IVB33:IVB34 JEX33:JEX34 JOT33:JOT34 JYP33:JYP34 KIL33:KIL34 KSH33:KSH34 LCD33:LCD34 LLZ33:LLZ34 LVV33:LVV34 MFR33:MFR34 MPN33:MPN34 MZJ33:MZJ34 NJF33:NJF34 NTB33:NTB34 OCX33:OCX34 OMT33:OMT34 OWP33:OWP34 PGL33:PGL34 PQH33:PQH34 QAD33:QAD34 QJZ33:QJZ34 QTV33:QTV34 RDR33:RDR34 RNN33:RNN34 RXJ33:RXJ34 SHF33:SHF34 SRB33:SRB34 TAX33:TAX34 TKT33:TKT34 TUP33:TUP34 UEL33:UEL34 UOH33:UOH34 UYD33:UYD34 VHZ33:VHZ34 VRV33:VRV34 WBR33:WBR34 WLN33:WLN34 WVJ33:WVJ34 B65569:B65570 IX65569:IX65570 ST65569:ST65570 ACP65569:ACP65570 AML65569:AML65570 AWH65569:AWH65570 BGD65569:BGD65570 BPZ65569:BPZ65570 BZV65569:BZV65570 CJR65569:CJR65570 CTN65569:CTN65570 DDJ65569:DDJ65570 DNF65569:DNF65570 DXB65569:DXB65570 EGX65569:EGX65570 EQT65569:EQT65570 FAP65569:FAP65570 FKL65569:FKL65570 FUH65569:FUH65570 GED65569:GED65570 GNZ65569:GNZ65570 GXV65569:GXV65570 HHR65569:HHR65570 HRN65569:HRN65570 IBJ65569:IBJ65570 ILF65569:ILF65570 IVB65569:IVB65570 JEX65569:JEX65570 JOT65569:JOT65570 JYP65569:JYP65570 KIL65569:KIL65570 KSH65569:KSH65570 LCD65569:LCD65570 LLZ65569:LLZ65570 LVV65569:LVV65570 MFR65569:MFR65570 MPN65569:MPN65570 MZJ65569:MZJ65570 NJF65569:NJF65570 NTB65569:NTB65570 OCX65569:OCX65570 OMT65569:OMT65570 OWP65569:OWP65570 PGL65569:PGL65570 PQH65569:PQH65570 QAD65569:QAD65570 QJZ65569:QJZ65570 QTV65569:QTV65570 RDR65569:RDR65570 RNN65569:RNN65570 RXJ65569:RXJ65570 SHF65569:SHF65570 SRB65569:SRB65570 TAX65569:TAX65570 TKT65569:TKT65570 TUP65569:TUP65570 UEL65569:UEL65570 UOH65569:UOH65570 UYD65569:UYD65570 VHZ65569:VHZ65570 VRV65569:VRV65570 WBR65569:WBR65570 WLN65569:WLN65570 WVJ65569:WVJ65570 B131105:B131106 IX131105:IX131106 ST131105:ST131106 ACP131105:ACP131106 AML131105:AML131106 AWH131105:AWH131106 BGD131105:BGD131106 BPZ131105:BPZ131106 BZV131105:BZV131106 CJR131105:CJR131106 CTN131105:CTN131106 DDJ131105:DDJ131106 DNF131105:DNF131106 DXB131105:DXB131106 EGX131105:EGX131106 EQT131105:EQT131106 FAP131105:FAP131106 FKL131105:FKL131106 FUH131105:FUH131106 GED131105:GED131106 GNZ131105:GNZ131106 GXV131105:GXV131106 HHR131105:HHR131106 HRN131105:HRN131106 IBJ131105:IBJ131106 ILF131105:ILF131106 IVB131105:IVB131106 JEX131105:JEX131106 JOT131105:JOT131106 JYP131105:JYP131106 KIL131105:KIL131106 KSH131105:KSH131106 LCD131105:LCD131106 LLZ131105:LLZ131106 LVV131105:LVV131106 MFR131105:MFR131106 MPN131105:MPN131106 MZJ131105:MZJ131106 NJF131105:NJF131106 NTB131105:NTB131106 OCX131105:OCX131106 OMT131105:OMT131106 OWP131105:OWP131106 PGL131105:PGL131106 PQH131105:PQH131106 QAD131105:QAD131106 QJZ131105:QJZ131106 QTV131105:QTV131106 RDR131105:RDR131106 RNN131105:RNN131106 RXJ131105:RXJ131106 SHF131105:SHF131106 SRB131105:SRB131106 TAX131105:TAX131106 TKT131105:TKT131106 TUP131105:TUP131106 UEL131105:UEL131106 UOH131105:UOH131106 UYD131105:UYD131106 VHZ131105:VHZ131106 VRV131105:VRV131106 WBR131105:WBR131106 WLN131105:WLN131106 WVJ131105:WVJ131106 B196641:B196642 IX196641:IX196642 ST196641:ST196642 ACP196641:ACP196642 AML196641:AML196642 AWH196641:AWH196642 BGD196641:BGD196642 BPZ196641:BPZ196642 BZV196641:BZV196642 CJR196641:CJR196642 CTN196641:CTN196642 DDJ196641:DDJ196642 DNF196641:DNF196642 DXB196641:DXB196642 EGX196641:EGX196642 EQT196641:EQT196642 FAP196641:FAP196642 FKL196641:FKL196642 FUH196641:FUH196642 GED196641:GED196642 GNZ196641:GNZ196642 GXV196641:GXV196642 HHR196641:HHR196642 HRN196641:HRN196642 IBJ196641:IBJ196642 ILF196641:ILF196642 IVB196641:IVB196642 JEX196641:JEX196642 JOT196641:JOT196642 JYP196641:JYP196642 KIL196641:KIL196642 KSH196641:KSH196642 LCD196641:LCD196642 LLZ196641:LLZ196642 LVV196641:LVV196642 MFR196641:MFR196642 MPN196641:MPN196642 MZJ196641:MZJ196642 NJF196641:NJF196642 NTB196641:NTB196642 OCX196641:OCX196642 OMT196641:OMT196642 OWP196641:OWP196642 PGL196641:PGL196642 PQH196641:PQH196642 QAD196641:QAD196642 QJZ196641:QJZ196642 QTV196641:QTV196642 RDR196641:RDR196642 RNN196641:RNN196642 RXJ196641:RXJ196642 SHF196641:SHF196642 SRB196641:SRB196642 TAX196641:TAX196642 TKT196641:TKT196642 TUP196641:TUP196642 UEL196641:UEL196642 UOH196641:UOH196642 UYD196641:UYD196642 VHZ196641:VHZ196642 VRV196641:VRV196642 WBR196641:WBR196642 WLN196641:WLN196642 WVJ196641:WVJ196642 B262177:B262178 IX262177:IX262178 ST262177:ST262178 ACP262177:ACP262178 AML262177:AML262178 AWH262177:AWH262178 BGD262177:BGD262178 BPZ262177:BPZ262178 BZV262177:BZV262178 CJR262177:CJR262178 CTN262177:CTN262178 DDJ262177:DDJ262178 DNF262177:DNF262178 DXB262177:DXB262178 EGX262177:EGX262178 EQT262177:EQT262178 FAP262177:FAP262178 FKL262177:FKL262178 FUH262177:FUH262178 GED262177:GED262178 GNZ262177:GNZ262178 GXV262177:GXV262178 HHR262177:HHR262178 HRN262177:HRN262178 IBJ262177:IBJ262178 ILF262177:ILF262178 IVB262177:IVB262178 JEX262177:JEX262178 JOT262177:JOT262178 JYP262177:JYP262178 KIL262177:KIL262178 KSH262177:KSH262178 LCD262177:LCD262178 LLZ262177:LLZ262178 LVV262177:LVV262178 MFR262177:MFR262178 MPN262177:MPN262178 MZJ262177:MZJ262178 NJF262177:NJF262178 NTB262177:NTB262178 OCX262177:OCX262178 OMT262177:OMT262178 OWP262177:OWP262178 PGL262177:PGL262178 PQH262177:PQH262178 QAD262177:QAD262178 QJZ262177:QJZ262178 QTV262177:QTV262178 RDR262177:RDR262178 RNN262177:RNN262178 RXJ262177:RXJ262178 SHF262177:SHF262178 SRB262177:SRB262178 TAX262177:TAX262178 TKT262177:TKT262178 TUP262177:TUP262178 UEL262177:UEL262178 UOH262177:UOH262178 UYD262177:UYD262178 VHZ262177:VHZ262178 VRV262177:VRV262178 WBR262177:WBR262178 WLN262177:WLN262178 WVJ262177:WVJ262178 B327713:B327714 IX327713:IX327714 ST327713:ST327714 ACP327713:ACP327714 AML327713:AML327714 AWH327713:AWH327714 BGD327713:BGD327714 BPZ327713:BPZ327714 BZV327713:BZV327714 CJR327713:CJR327714 CTN327713:CTN327714 DDJ327713:DDJ327714 DNF327713:DNF327714 DXB327713:DXB327714 EGX327713:EGX327714 EQT327713:EQT327714 FAP327713:FAP327714 FKL327713:FKL327714 FUH327713:FUH327714 GED327713:GED327714 GNZ327713:GNZ327714 GXV327713:GXV327714 HHR327713:HHR327714 HRN327713:HRN327714 IBJ327713:IBJ327714 ILF327713:ILF327714 IVB327713:IVB327714 JEX327713:JEX327714 JOT327713:JOT327714 JYP327713:JYP327714 KIL327713:KIL327714 KSH327713:KSH327714 LCD327713:LCD327714 LLZ327713:LLZ327714 LVV327713:LVV327714 MFR327713:MFR327714 MPN327713:MPN327714 MZJ327713:MZJ327714 NJF327713:NJF327714 NTB327713:NTB327714 OCX327713:OCX327714 OMT327713:OMT327714 OWP327713:OWP327714 PGL327713:PGL327714 PQH327713:PQH327714 QAD327713:QAD327714 QJZ327713:QJZ327714 QTV327713:QTV327714 RDR327713:RDR327714 RNN327713:RNN327714 RXJ327713:RXJ327714 SHF327713:SHF327714 SRB327713:SRB327714 TAX327713:TAX327714 TKT327713:TKT327714 TUP327713:TUP327714 UEL327713:UEL327714 UOH327713:UOH327714 UYD327713:UYD327714 VHZ327713:VHZ327714 VRV327713:VRV327714 WBR327713:WBR327714 WLN327713:WLN327714 WVJ327713:WVJ327714 B393249:B393250 IX393249:IX393250 ST393249:ST393250 ACP393249:ACP393250 AML393249:AML393250 AWH393249:AWH393250 BGD393249:BGD393250 BPZ393249:BPZ393250 BZV393249:BZV393250 CJR393249:CJR393250 CTN393249:CTN393250 DDJ393249:DDJ393250 DNF393249:DNF393250 DXB393249:DXB393250 EGX393249:EGX393250 EQT393249:EQT393250 FAP393249:FAP393250 FKL393249:FKL393250 FUH393249:FUH393250 GED393249:GED393250 GNZ393249:GNZ393250 GXV393249:GXV393250 HHR393249:HHR393250 HRN393249:HRN393250 IBJ393249:IBJ393250 ILF393249:ILF393250 IVB393249:IVB393250 JEX393249:JEX393250 JOT393249:JOT393250 JYP393249:JYP393250 KIL393249:KIL393250 KSH393249:KSH393250 LCD393249:LCD393250 LLZ393249:LLZ393250 LVV393249:LVV393250 MFR393249:MFR393250 MPN393249:MPN393250 MZJ393249:MZJ393250 NJF393249:NJF393250 NTB393249:NTB393250 OCX393249:OCX393250 OMT393249:OMT393250 OWP393249:OWP393250 PGL393249:PGL393250 PQH393249:PQH393250 QAD393249:QAD393250 QJZ393249:QJZ393250 QTV393249:QTV393250 RDR393249:RDR393250 RNN393249:RNN393250 RXJ393249:RXJ393250 SHF393249:SHF393250 SRB393249:SRB393250 TAX393249:TAX393250 TKT393249:TKT393250 TUP393249:TUP393250 UEL393249:UEL393250 UOH393249:UOH393250 UYD393249:UYD393250 VHZ393249:VHZ393250 VRV393249:VRV393250 WBR393249:WBR393250 WLN393249:WLN393250 WVJ393249:WVJ393250 B458785:B458786 IX458785:IX458786 ST458785:ST458786 ACP458785:ACP458786 AML458785:AML458786 AWH458785:AWH458786 BGD458785:BGD458786 BPZ458785:BPZ458786 BZV458785:BZV458786 CJR458785:CJR458786 CTN458785:CTN458786 DDJ458785:DDJ458786 DNF458785:DNF458786 DXB458785:DXB458786 EGX458785:EGX458786 EQT458785:EQT458786 FAP458785:FAP458786 FKL458785:FKL458786 FUH458785:FUH458786 GED458785:GED458786 GNZ458785:GNZ458786 GXV458785:GXV458786 HHR458785:HHR458786 HRN458785:HRN458786 IBJ458785:IBJ458786 ILF458785:ILF458786 IVB458785:IVB458786 JEX458785:JEX458786 JOT458785:JOT458786 JYP458785:JYP458786 KIL458785:KIL458786 KSH458785:KSH458786 LCD458785:LCD458786 LLZ458785:LLZ458786 LVV458785:LVV458786 MFR458785:MFR458786 MPN458785:MPN458786 MZJ458785:MZJ458786 NJF458785:NJF458786 NTB458785:NTB458786 OCX458785:OCX458786 OMT458785:OMT458786 OWP458785:OWP458786 PGL458785:PGL458786 PQH458785:PQH458786 QAD458785:QAD458786 QJZ458785:QJZ458786 QTV458785:QTV458786 RDR458785:RDR458786 RNN458785:RNN458786 RXJ458785:RXJ458786 SHF458785:SHF458786 SRB458785:SRB458786 TAX458785:TAX458786 TKT458785:TKT458786 TUP458785:TUP458786 UEL458785:UEL458786 UOH458785:UOH458786 UYD458785:UYD458786 VHZ458785:VHZ458786 VRV458785:VRV458786 WBR458785:WBR458786 WLN458785:WLN458786 WVJ458785:WVJ458786 B524321:B524322 IX524321:IX524322 ST524321:ST524322 ACP524321:ACP524322 AML524321:AML524322 AWH524321:AWH524322 BGD524321:BGD524322 BPZ524321:BPZ524322 BZV524321:BZV524322 CJR524321:CJR524322 CTN524321:CTN524322 DDJ524321:DDJ524322 DNF524321:DNF524322 DXB524321:DXB524322 EGX524321:EGX524322 EQT524321:EQT524322 FAP524321:FAP524322 FKL524321:FKL524322 FUH524321:FUH524322 GED524321:GED524322 GNZ524321:GNZ524322 GXV524321:GXV524322 HHR524321:HHR524322 HRN524321:HRN524322 IBJ524321:IBJ524322 ILF524321:ILF524322 IVB524321:IVB524322 JEX524321:JEX524322 JOT524321:JOT524322 JYP524321:JYP524322 KIL524321:KIL524322 KSH524321:KSH524322 LCD524321:LCD524322 LLZ524321:LLZ524322 LVV524321:LVV524322 MFR524321:MFR524322 MPN524321:MPN524322 MZJ524321:MZJ524322 NJF524321:NJF524322 NTB524321:NTB524322 OCX524321:OCX524322 OMT524321:OMT524322 OWP524321:OWP524322 PGL524321:PGL524322 PQH524321:PQH524322 QAD524321:QAD524322 QJZ524321:QJZ524322 QTV524321:QTV524322 RDR524321:RDR524322 RNN524321:RNN524322 RXJ524321:RXJ524322 SHF524321:SHF524322 SRB524321:SRB524322 TAX524321:TAX524322 TKT524321:TKT524322 TUP524321:TUP524322 UEL524321:UEL524322 UOH524321:UOH524322 UYD524321:UYD524322 VHZ524321:VHZ524322 VRV524321:VRV524322 WBR524321:WBR524322 WLN524321:WLN524322 WVJ524321:WVJ524322 B589857:B589858 IX589857:IX589858 ST589857:ST589858 ACP589857:ACP589858 AML589857:AML589858 AWH589857:AWH589858 BGD589857:BGD589858 BPZ589857:BPZ589858 BZV589857:BZV589858 CJR589857:CJR589858 CTN589857:CTN589858 DDJ589857:DDJ589858 DNF589857:DNF589858 DXB589857:DXB589858 EGX589857:EGX589858 EQT589857:EQT589858 FAP589857:FAP589858 FKL589857:FKL589858 FUH589857:FUH589858 GED589857:GED589858 GNZ589857:GNZ589858 GXV589857:GXV589858 HHR589857:HHR589858 HRN589857:HRN589858 IBJ589857:IBJ589858 ILF589857:ILF589858 IVB589857:IVB589858 JEX589857:JEX589858 JOT589857:JOT589858 JYP589857:JYP589858 KIL589857:KIL589858 KSH589857:KSH589858 LCD589857:LCD589858 LLZ589857:LLZ589858 LVV589857:LVV589858 MFR589857:MFR589858 MPN589857:MPN589858 MZJ589857:MZJ589858 NJF589857:NJF589858 NTB589857:NTB589858 OCX589857:OCX589858 OMT589857:OMT589858 OWP589857:OWP589858 PGL589857:PGL589858 PQH589857:PQH589858 QAD589857:QAD589858 QJZ589857:QJZ589858 QTV589857:QTV589858 RDR589857:RDR589858 RNN589857:RNN589858 RXJ589857:RXJ589858 SHF589857:SHF589858 SRB589857:SRB589858 TAX589857:TAX589858 TKT589857:TKT589858 TUP589857:TUP589858 UEL589857:UEL589858 UOH589857:UOH589858 UYD589857:UYD589858 VHZ589857:VHZ589858 VRV589857:VRV589858 WBR589857:WBR589858 WLN589857:WLN589858 WVJ589857:WVJ589858 B655393:B655394 IX655393:IX655394 ST655393:ST655394 ACP655393:ACP655394 AML655393:AML655394 AWH655393:AWH655394 BGD655393:BGD655394 BPZ655393:BPZ655394 BZV655393:BZV655394 CJR655393:CJR655394 CTN655393:CTN655394 DDJ655393:DDJ655394 DNF655393:DNF655394 DXB655393:DXB655394 EGX655393:EGX655394 EQT655393:EQT655394 FAP655393:FAP655394 FKL655393:FKL655394 FUH655393:FUH655394 GED655393:GED655394 GNZ655393:GNZ655394 GXV655393:GXV655394 HHR655393:HHR655394 HRN655393:HRN655394 IBJ655393:IBJ655394 ILF655393:ILF655394 IVB655393:IVB655394 JEX655393:JEX655394 JOT655393:JOT655394 JYP655393:JYP655394 KIL655393:KIL655394 KSH655393:KSH655394 LCD655393:LCD655394 LLZ655393:LLZ655394 LVV655393:LVV655394 MFR655393:MFR655394 MPN655393:MPN655394 MZJ655393:MZJ655394 NJF655393:NJF655394 NTB655393:NTB655394 OCX655393:OCX655394 OMT655393:OMT655394 OWP655393:OWP655394 PGL655393:PGL655394 PQH655393:PQH655394 QAD655393:QAD655394 QJZ655393:QJZ655394 QTV655393:QTV655394 RDR655393:RDR655394 RNN655393:RNN655394 RXJ655393:RXJ655394 SHF655393:SHF655394 SRB655393:SRB655394 TAX655393:TAX655394 TKT655393:TKT655394 TUP655393:TUP655394 UEL655393:UEL655394 UOH655393:UOH655394 UYD655393:UYD655394 VHZ655393:VHZ655394 VRV655393:VRV655394 WBR655393:WBR655394 WLN655393:WLN655394 WVJ655393:WVJ655394 B720929:B720930 IX720929:IX720930 ST720929:ST720930 ACP720929:ACP720930 AML720929:AML720930 AWH720929:AWH720930 BGD720929:BGD720930 BPZ720929:BPZ720930 BZV720929:BZV720930 CJR720929:CJR720930 CTN720929:CTN720930 DDJ720929:DDJ720930 DNF720929:DNF720930 DXB720929:DXB720930 EGX720929:EGX720930 EQT720929:EQT720930 FAP720929:FAP720930 FKL720929:FKL720930 FUH720929:FUH720930 GED720929:GED720930 GNZ720929:GNZ720930 GXV720929:GXV720930 HHR720929:HHR720930 HRN720929:HRN720930 IBJ720929:IBJ720930 ILF720929:ILF720930 IVB720929:IVB720930 JEX720929:JEX720930 JOT720929:JOT720930 JYP720929:JYP720930 KIL720929:KIL720930 KSH720929:KSH720930 LCD720929:LCD720930 LLZ720929:LLZ720930 LVV720929:LVV720930 MFR720929:MFR720930 MPN720929:MPN720930 MZJ720929:MZJ720930 NJF720929:NJF720930 NTB720929:NTB720930 OCX720929:OCX720930 OMT720929:OMT720930 OWP720929:OWP720930 PGL720929:PGL720930 PQH720929:PQH720930 QAD720929:QAD720930 QJZ720929:QJZ720930 QTV720929:QTV720930 RDR720929:RDR720930 RNN720929:RNN720930 RXJ720929:RXJ720930 SHF720929:SHF720930 SRB720929:SRB720930 TAX720929:TAX720930 TKT720929:TKT720930 TUP720929:TUP720930 UEL720929:UEL720930 UOH720929:UOH720930 UYD720929:UYD720930 VHZ720929:VHZ720930 VRV720929:VRV720930 WBR720929:WBR720930 WLN720929:WLN720930 WVJ720929:WVJ720930 B786465:B786466 IX786465:IX786466 ST786465:ST786466 ACP786465:ACP786466 AML786465:AML786466 AWH786465:AWH786466 BGD786465:BGD786466 BPZ786465:BPZ786466 BZV786465:BZV786466 CJR786465:CJR786466 CTN786465:CTN786466 DDJ786465:DDJ786466 DNF786465:DNF786466 DXB786465:DXB786466 EGX786465:EGX786466 EQT786465:EQT786466 FAP786465:FAP786466 FKL786465:FKL786466 FUH786465:FUH786466 GED786465:GED786466 GNZ786465:GNZ786466 GXV786465:GXV786466 HHR786465:HHR786466 HRN786465:HRN786466 IBJ786465:IBJ786466 ILF786465:ILF786466 IVB786465:IVB786466 JEX786465:JEX786466 JOT786465:JOT786466 JYP786465:JYP786466 KIL786465:KIL786466 KSH786465:KSH786466 LCD786465:LCD786466 LLZ786465:LLZ786466 LVV786465:LVV786466 MFR786465:MFR786466 MPN786465:MPN786466 MZJ786465:MZJ786466 NJF786465:NJF786466 NTB786465:NTB786466 OCX786465:OCX786466 OMT786465:OMT786466 OWP786465:OWP786466 PGL786465:PGL786466 PQH786465:PQH786466 QAD786465:QAD786466 QJZ786465:QJZ786466 QTV786465:QTV786466 RDR786465:RDR786466 RNN786465:RNN786466 RXJ786465:RXJ786466 SHF786465:SHF786466 SRB786465:SRB786466 TAX786465:TAX786466 TKT786465:TKT786466 TUP786465:TUP786466 UEL786465:UEL786466 UOH786465:UOH786466 UYD786465:UYD786466 VHZ786465:VHZ786466 VRV786465:VRV786466 WBR786465:WBR786466 WLN786465:WLN786466 WVJ786465:WVJ786466 B852001:B852002 IX852001:IX852002 ST852001:ST852002 ACP852001:ACP852002 AML852001:AML852002 AWH852001:AWH852002 BGD852001:BGD852002 BPZ852001:BPZ852002 BZV852001:BZV852002 CJR852001:CJR852002 CTN852001:CTN852002 DDJ852001:DDJ852002 DNF852001:DNF852002 DXB852001:DXB852002 EGX852001:EGX852002 EQT852001:EQT852002 FAP852001:FAP852002 FKL852001:FKL852002 FUH852001:FUH852002 GED852001:GED852002 GNZ852001:GNZ852002 GXV852001:GXV852002 HHR852001:HHR852002 HRN852001:HRN852002 IBJ852001:IBJ852002 ILF852001:ILF852002 IVB852001:IVB852002 JEX852001:JEX852002 JOT852001:JOT852002 JYP852001:JYP852002 KIL852001:KIL852002 KSH852001:KSH852002 LCD852001:LCD852002 LLZ852001:LLZ852002 LVV852001:LVV852002 MFR852001:MFR852002 MPN852001:MPN852002 MZJ852001:MZJ852002 NJF852001:NJF852002 NTB852001:NTB852002 OCX852001:OCX852002 OMT852001:OMT852002 OWP852001:OWP852002 PGL852001:PGL852002 PQH852001:PQH852002 QAD852001:QAD852002 QJZ852001:QJZ852002 QTV852001:QTV852002 RDR852001:RDR852002 RNN852001:RNN852002 RXJ852001:RXJ852002 SHF852001:SHF852002 SRB852001:SRB852002 TAX852001:TAX852002 TKT852001:TKT852002 TUP852001:TUP852002 UEL852001:UEL852002 UOH852001:UOH852002 UYD852001:UYD852002 VHZ852001:VHZ852002 VRV852001:VRV852002 WBR852001:WBR852002 WLN852001:WLN852002 WVJ852001:WVJ852002 B917537:B917538 IX917537:IX917538 ST917537:ST917538 ACP917537:ACP917538 AML917537:AML917538 AWH917537:AWH917538 BGD917537:BGD917538 BPZ917537:BPZ917538 BZV917537:BZV917538 CJR917537:CJR917538 CTN917537:CTN917538 DDJ917537:DDJ917538 DNF917537:DNF917538 DXB917537:DXB917538 EGX917537:EGX917538 EQT917537:EQT917538 FAP917537:FAP917538 FKL917537:FKL917538 FUH917537:FUH917538 GED917537:GED917538 GNZ917537:GNZ917538 GXV917537:GXV917538 HHR917537:HHR917538 HRN917537:HRN917538 IBJ917537:IBJ917538 ILF917537:ILF917538 IVB917537:IVB917538 JEX917537:JEX917538 JOT917537:JOT917538 JYP917537:JYP917538 KIL917537:KIL917538 KSH917537:KSH917538 LCD917537:LCD917538 LLZ917537:LLZ917538 LVV917537:LVV917538 MFR917537:MFR917538 MPN917537:MPN917538 MZJ917537:MZJ917538 NJF917537:NJF917538 NTB917537:NTB917538 OCX917537:OCX917538 OMT917537:OMT917538 OWP917537:OWP917538 PGL917537:PGL917538 PQH917537:PQH917538 QAD917537:QAD917538 QJZ917537:QJZ917538 QTV917537:QTV917538 RDR917537:RDR917538 RNN917537:RNN917538 RXJ917537:RXJ917538 SHF917537:SHF917538 SRB917537:SRB917538 TAX917537:TAX917538 TKT917537:TKT917538 TUP917537:TUP917538 UEL917537:UEL917538 UOH917537:UOH917538 UYD917537:UYD917538 VHZ917537:VHZ917538 VRV917537:VRV917538 WBR917537:WBR917538 WLN917537:WLN917538 WVJ917537:WVJ917538 B983073:B983074 IX983073:IX983074 ST983073:ST983074 ACP983073:ACP983074 AML983073:AML983074 AWH983073:AWH983074 BGD983073:BGD983074 BPZ983073:BPZ983074 BZV983073:BZV983074 CJR983073:CJR983074 CTN983073:CTN983074 DDJ983073:DDJ983074 DNF983073:DNF983074 DXB983073:DXB983074 EGX983073:EGX983074 EQT983073:EQT983074 FAP983073:FAP983074 FKL983073:FKL983074 FUH983073:FUH983074 GED983073:GED983074 GNZ983073:GNZ983074 GXV983073:GXV983074 HHR983073:HHR983074 HRN983073:HRN983074 IBJ983073:IBJ983074 ILF983073:ILF983074 IVB983073:IVB983074 JEX983073:JEX983074 JOT983073:JOT983074 JYP983073:JYP983074 KIL983073:KIL983074 KSH983073:KSH983074 LCD983073:LCD983074 LLZ983073:LLZ983074 LVV983073:LVV983074 MFR983073:MFR983074 MPN983073:MPN983074 MZJ983073:MZJ983074 NJF983073:NJF983074 NTB983073:NTB983074 OCX983073:OCX983074 OMT983073:OMT983074 OWP983073:OWP983074 PGL983073:PGL983074 PQH983073:PQH983074 QAD983073:QAD983074 QJZ983073:QJZ983074 QTV983073:QTV983074 RDR983073:RDR983074 RNN983073:RNN983074 RXJ983073:RXJ983074 SHF983073:SHF983074 SRB983073:SRB983074 TAX983073:TAX983074 TKT983073:TKT983074 TUP983073:TUP983074 UEL983073:UEL983074 UOH983073:UOH983074 UYD983073:UYD983074 VHZ983073:VHZ983074 VRV983073:VRV983074 WBR983073:WBR983074 WLN983073:WLN983074 WVJ983073:WVJ983074 T45 JP45 TL45 ADH45 AND45 AWZ45 BGV45 BQR45 CAN45 CKJ45 CUF45 DEB45 DNX45 DXT45 EHP45 ERL45 FBH45 FLD45 FUZ45 GEV45 GOR45 GYN45 HIJ45 HSF45 ICB45 ILX45 IVT45 JFP45 JPL45 JZH45 KJD45 KSZ45 LCV45 LMR45 LWN45 MGJ45 MQF45 NAB45 NJX45 NTT45 ODP45 ONL45 OXH45 PHD45 PQZ45 QAV45 QKR45 QUN45 REJ45 ROF45 RYB45 SHX45 SRT45 TBP45 TLL45 TVH45 UFD45 UOZ45 UYV45 VIR45 VSN45 WCJ45 WMF45 WWB45 T65581 JP65581 TL65581 ADH65581 AND65581 AWZ65581 BGV65581 BQR65581 CAN65581 CKJ65581 CUF65581 DEB65581 DNX65581 DXT65581 EHP65581 ERL65581 FBH65581 FLD65581 FUZ65581 GEV65581 GOR65581 GYN65581 HIJ65581 HSF65581 ICB65581 ILX65581 IVT65581 JFP65581 JPL65581 JZH65581 KJD65581 KSZ65581 LCV65581 LMR65581 LWN65581 MGJ65581 MQF65581 NAB65581 NJX65581 NTT65581 ODP65581 ONL65581 OXH65581 PHD65581 PQZ65581 QAV65581 QKR65581 QUN65581 REJ65581 ROF65581 RYB65581 SHX65581 SRT65581 TBP65581 TLL65581 TVH65581 UFD65581 UOZ65581 UYV65581 VIR65581 VSN65581 WCJ65581 WMF65581 WWB65581 T131117 JP131117 TL131117 ADH131117 AND131117 AWZ131117 BGV131117 BQR131117 CAN131117 CKJ131117 CUF131117 DEB131117 DNX131117 DXT131117 EHP131117 ERL131117 FBH131117 FLD131117 FUZ131117 GEV131117 GOR131117 GYN131117 HIJ131117 HSF131117 ICB131117 ILX131117 IVT131117 JFP131117 JPL131117 JZH131117 KJD131117 KSZ131117 LCV131117 LMR131117 LWN131117 MGJ131117 MQF131117 NAB131117 NJX131117 NTT131117 ODP131117 ONL131117 OXH131117 PHD131117 PQZ131117 QAV131117 QKR131117 QUN131117 REJ131117 ROF131117 RYB131117 SHX131117 SRT131117 TBP131117 TLL131117 TVH131117 UFD131117 UOZ131117 UYV131117 VIR131117 VSN131117 WCJ131117 WMF131117 WWB131117 T196653 JP196653 TL196653 ADH196653 AND196653 AWZ196653 BGV196653 BQR196653 CAN196653 CKJ196653 CUF196653 DEB196653 DNX196653 DXT196653 EHP196653 ERL196653 FBH196653 FLD196653 FUZ196653 GEV196653 GOR196653 GYN196653 HIJ196653 HSF196653 ICB196653 ILX196653 IVT196653 JFP196653 JPL196653 JZH196653 KJD196653 KSZ196653 LCV196653 LMR196653 LWN196653 MGJ196653 MQF196653 NAB196653 NJX196653 NTT196653 ODP196653 ONL196653 OXH196653 PHD196653 PQZ196653 QAV196653 QKR196653 QUN196653 REJ196653 ROF196653 RYB196653 SHX196653 SRT196653 TBP196653 TLL196653 TVH196653 UFD196653 UOZ196653 UYV196653 VIR196653 VSN196653 WCJ196653 WMF196653 WWB196653 T262189 JP262189 TL262189 ADH262189 AND262189 AWZ262189 BGV262189 BQR262189 CAN262189 CKJ262189 CUF262189 DEB262189 DNX262189 DXT262189 EHP262189 ERL262189 FBH262189 FLD262189 FUZ262189 GEV262189 GOR262189 GYN262189 HIJ262189 HSF262189 ICB262189 ILX262189 IVT262189 JFP262189 JPL262189 JZH262189 KJD262189 KSZ262189 LCV262189 LMR262189 LWN262189 MGJ262189 MQF262189 NAB262189 NJX262189 NTT262189 ODP262189 ONL262189 OXH262189 PHD262189 PQZ262189 QAV262189 QKR262189 QUN262189 REJ262189 ROF262189 RYB262189 SHX262189 SRT262189 TBP262189 TLL262189 TVH262189 UFD262189 UOZ262189 UYV262189 VIR262189 VSN262189 WCJ262189 WMF262189 WWB262189 T327725 JP327725 TL327725 ADH327725 AND327725 AWZ327725 BGV327725 BQR327725 CAN327725 CKJ327725 CUF327725 DEB327725 DNX327725 DXT327725 EHP327725 ERL327725 FBH327725 FLD327725 FUZ327725 GEV327725 GOR327725 GYN327725 HIJ327725 HSF327725 ICB327725 ILX327725 IVT327725 JFP327725 JPL327725 JZH327725 KJD327725 KSZ327725 LCV327725 LMR327725 LWN327725 MGJ327725 MQF327725 NAB327725 NJX327725 NTT327725 ODP327725 ONL327725 OXH327725 PHD327725 PQZ327725 QAV327725 QKR327725 QUN327725 REJ327725 ROF327725 RYB327725 SHX327725 SRT327725 TBP327725 TLL327725 TVH327725 UFD327725 UOZ327725 UYV327725 VIR327725 VSN327725 WCJ327725 WMF327725 WWB327725 T393261 JP393261 TL393261 ADH393261 AND393261 AWZ393261 BGV393261 BQR393261 CAN393261 CKJ393261 CUF393261 DEB393261 DNX393261 DXT393261 EHP393261 ERL393261 FBH393261 FLD393261 FUZ393261 GEV393261 GOR393261 GYN393261 HIJ393261 HSF393261 ICB393261 ILX393261 IVT393261 JFP393261 JPL393261 JZH393261 KJD393261 KSZ393261 LCV393261 LMR393261 LWN393261 MGJ393261 MQF393261 NAB393261 NJX393261 NTT393261 ODP393261 ONL393261 OXH393261 PHD393261 PQZ393261 QAV393261 QKR393261 QUN393261 REJ393261 ROF393261 RYB393261 SHX393261 SRT393261 TBP393261 TLL393261 TVH393261 UFD393261 UOZ393261 UYV393261 VIR393261 VSN393261 WCJ393261 WMF393261 WWB393261 T458797 JP458797 TL458797 ADH458797 AND458797 AWZ458797 BGV458797 BQR458797 CAN458797 CKJ458797 CUF458797 DEB458797 DNX458797 DXT458797 EHP458797 ERL458797 FBH458797 FLD458797 FUZ458797 GEV458797 GOR458797 GYN458797 HIJ458797 HSF458797 ICB458797 ILX458797 IVT458797 JFP458797 JPL458797 JZH458797 KJD458797 KSZ458797 LCV458797 LMR458797 LWN458797 MGJ458797 MQF458797 NAB458797 NJX458797 NTT458797 ODP458797 ONL458797 OXH458797 PHD458797 PQZ458797 QAV458797 QKR458797 QUN458797 REJ458797 ROF458797 RYB458797 SHX458797 SRT458797 TBP458797 TLL458797 TVH458797 UFD458797 UOZ458797 UYV458797 VIR458797 VSN458797 WCJ458797 WMF458797 WWB458797 T524333 JP524333 TL524333 ADH524333 AND524333 AWZ524333 BGV524333 BQR524333 CAN524333 CKJ524333 CUF524333 DEB524333 DNX524333 DXT524333 EHP524333 ERL524333 FBH524333 FLD524333 FUZ524333 GEV524333 GOR524333 GYN524333 HIJ524333 HSF524333 ICB524333 ILX524333 IVT524333 JFP524333 JPL524333 JZH524333 KJD524333 KSZ524333 LCV524333 LMR524333 LWN524333 MGJ524333 MQF524333 NAB524333 NJX524333 NTT524333 ODP524333 ONL524333 OXH524333 PHD524333 PQZ524333 QAV524333 QKR524333 QUN524333 REJ524333 ROF524333 RYB524333 SHX524333 SRT524333 TBP524333 TLL524333 TVH524333 UFD524333 UOZ524333 UYV524333 VIR524333 VSN524333 WCJ524333 WMF524333 WWB524333 T589869 JP589869 TL589869 ADH589869 AND589869 AWZ589869 BGV589869 BQR589869 CAN589869 CKJ589869 CUF589869 DEB589869 DNX589869 DXT589869 EHP589869 ERL589869 FBH589869 FLD589869 FUZ589869 GEV589869 GOR589869 GYN589869 HIJ589869 HSF589869 ICB589869 ILX589869 IVT589869 JFP589869 JPL589869 JZH589869 KJD589869 KSZ589869 LCV589869 LMR589869 LWN589869 MGJ589869 MQF589869 NAB589869 NJX589869 NTT589869 ODP589869 ONL589869 OXH589869 PHD589869 PQZ589869 QAV589869 QKR589869 QUN589869 REJ589869 ROF589869 RYB589869 SHX589869 SRT589869 TBP589869 TLL589869 TVH589869 UFD589869 UOZ589869 UYV589869 VIR589869 VSN589869 WCJ589869 WMF589869 WWB589869 T655405 JP655405 TL655405 ADH655405 AND655405 AWZ655405 BGV655405 BQR655405 CAN655405 CKJ655405 CUF655405 DEB655405 DNX655405 DXT655405 EHP655405 ERL655405 FBH655405 FLD655405 FUZ655405 GEV655405 GOR655405 GYN655405 HIJ655405 HSF655405 ICB655405 ILX655405 IVT655405 JFP655405 JPL655405 JZH655405 KJD655405 KSZ655405 LCV655405 LMR655405 LWN655405 MGJ655405 MQF655405 NAB655405 NJX655405 NTT655405 ODP655405 ONL655405 OXH655405 PHD655405 PQZ655405 QAV655405 QKR655405 QUN655405 REJ655405 ROF655405 RYB655405 SHX655405 SRT655405 TBP655405 TLL655405 TVH655405 UFD655405 UOZ655405 UYV655405 VIR655405 VSN655405 WCJ655405 WMF655405 WWB655405 T720941 JP720941 TL720941 ADH720941 AND720941 AWZ720941 BGV720941 BQR720941 CAN720941 CKJ720941 CUF720941 DEB720941 DNX720941 DXT720941 EHP720941 ERL720941 FBH720941 FLD720941 FUZ720941 GEV720941 GOR720941 GYN720941 HIJ720941 HSF720941 ICB720941 ILX720941 IVT720941 JFP720941 JPL720941 JZH720941 KJD720941 KSZ720941 LCV720941 LMR720941 LWN720941 MGJ720941 MQF720941 NAB720941 NJX720941 NTT720941 ODP720941 ONL720941 OXH720941 PHD720941 PQZ720941 QAV720941 QKR720941 QUN720941 REJ720941 ROF720941 RYB720941 SHX720941 SRT720941 TBP720941 TLL720941 TVH720941 UFD720941 UOZ720941 UYV720941 VIR720941 VSN720941 WCJ720941 WMF720941 WWB720941 T786477 JP786477 TL786477 ADH786477 AND786477 AWZ786477 BGV786477 BQR786477 CAN786477 CKJ786477 CUF786477 DEB786477 DNX786477 DXT786477 EHP786477 ERL786477 FBH786477 FLD786477 FUZ786477 GEV786477 GOR786477 GYN786477 HIJ786477 HSF786477 ICB786477 ILX786477 IVT786477 JFP786477 JPL786477 JZH786477 KJD786477 KSZ786477 LCV786477 LMR786477 LWN786477 MGJ786477 MQF786477 NAB786477 NJX786477 NTT786477 ODP786477 ONL786477 OXH786477 PHD786477 PQZ786477 QAV786477 QKR786477 QUN786477 REJ786477 ROF786477 RYB786477 SHX786477 SRT786477 TBP786477 TLL786477 TVH786477 UFD786477 UOZ786477 UYV786477 VIR786477 VSN786477 WCJ786477 WMF786477 WWB786477 T852013 JP852013 TL852013 ADH852013 AND852013 AWZ852013 BGV852013 BQR852013 CAN852013 CKJ852013 CUF852013 DEB852013 DNX852013 DXT852013 EHP852013 ERL852013 FBH852013 FLD852013 FUZ852013 GEV852013 GOR852013 GYN852013 HIJ852013 HSF852013 ICB852013 ILX852013 IVT852013 JFP852013 JPL852013 JZH852013 KJD852013 KSZ852013 LCV852013 LMR852013 LWN852013 MGJ852013 MQF852013 NAB852013 NJX852013 NTT852013 ODP852013 ONL852013 OXH852013 PHD852013 PQZ852013 QAV852013 QKR852013 QUN852013 REJ852013 ROF852013 RYB852013 SHX852013 SRT852013 TBP852013 TLL852013 TVH852013 UFD852013 UOZ852013 UYV852013 VIR852013 VSN852013 WCJ852013 WMF852013 WWB852013 T917549 JP917549 TL917549 ADH917549 AND917549 AWZ917549 BGV917549 BQR917549 CAN917549 CKJ917549 CUF917549 DEB917549 DNX917549 DXT917549 EHP917549 ERL917549 FBH917549 FLD917549 FUZ917549 GEV917549 GOR917549 GYN917549 HIJ917549 HSF917549 ICB917549 ILX917549 IVT917549 JFP917549 JPL917549 JZH917549 KJD917549 KSZ917549 LCV917549 LMR917549 LWN917549 MGJ917549 MQF917549 NAB917549 NJX917549 NTT917549 ODP917549 ONL917549 OXH917549 PHD917549 PQZ917549 QAV917549 QKR917549 QUN917549 REJ917549 ROF917549 RYB917549 SHX917549 SRT917549 TBP917549 TLL917549 TVH917549 UFD917549 UOZ917549 UYV917549 VIR917549 VSN917549 WCJ917549 WMF917549 WWB917549 T983085 JP983085 TL983085 ADH983085 AND983085 AWZ983085 BGV983085 BQR983085 CAN983085 CKJ983085 CUF983085 DEB983085 DNX983085 DXT983085 EHP983085 ERL983085 FBH983085 FLD983085 FUZ983085 GEV983085 GOR983085 GYN983085 HIJ983085 HSF983085 ICB983085 ILX983085 IVT983085 JFP983085 JPL983085 JZH983085 KJD983085 KSZ983085 LCV983085 LMR983085 LWN983085 MGJ983085 MQF983085 NAB983085 NJX983085 NTT983085 ODP983085 ONL983085 OXH983085 PHD983085 PQZ983085 QAV983085 QKR983085 QUN983085 REJ983085 ROF983085 RYB983085 SHX983085 SRT983085 TBP983085 TLL983085 TVH983085 UFD983085 UOZ983085 UYV983085 VIR983085 VSN983085 WCJ983085 WMF983085 WWB983085 C39:C40 IY39:IY40 SU39:SU40 ACQ39:ACQ40 AMM39:AMM40 AWI39:AWI40 BGE39:BGE40 BQA39:BQA40 BZW39:BZW40 CJS39:CJS40 CTO39:CTO40 DDK39:DDK40 DNG39:DNG40 DXC39:DXC40 EGY39:EGY40 EQU39:EQU40 FAQ39:FAQ40 FKM39:FKM40 FUI39:FUI40 GEE39:GEE40 GOA39:GOA40 GXW39:GXW40 HHS39:HHS40 HRO39:HRO40 IBK39:IBK40 ILG39:ILG40 IVC39:IVC40 JEY39:JEY40 JOU39:JOU40 JYQ39:JYQ40 KIM39:KIM40 KSI39:KSI40 LCE39:LCE40 LMA39:LMA40 LVW39:LVW40 MFS39:MFS40 MPO39:MPO40 MZK39:MZK40 NJG39:NJG40 NTC39:NTC40 OCY39:OCY40 OMU39:OMU40 OWQ39:OWQ40 PGM39:PGM40 PQI39:PQI40 QAE39:QAE40 QKA39:QKA40 QTW39:QTW40 RDS39:RDS40 RNO39:RNO40 RXK39:RXK40 SHG39:SHG40 SRC39:SRC40 TAY39:TAY40 TKU39:TKU40 TUQ39:TUQ40 UEM39:UEM40 UOI39:UOI40 UYE39:UYE40 VIA39:VIA40 VRW39:VRW40 WBS39:WBS40 WLO39:WLO40 WVK39:WVK40 C65575:C65576 IY65575:IY65576 SU65575:SU65576 ACQ65575:ACQ65576 AMM65575:AMM65576 AWI65575:AWI65576 BGE65575:BGE65576 BQA65575:BQA65576 BZW65575:BZW65576 CJS65575:CJS65576 CTO65575:CTO65576 DDK65575:DDK65576 DNG65575:DNG65576 DXC65575:DXC65576 EGY65575:EGY65576 EQU65575:EQU65576 FAQ65575:FAQ65576 FKM65575:FKM65576 FUI65575:FUI65576 GEE65575:GEE65576 GOA65575:GOA65576 GXW65575:GXW65576 HHS65575:HHS65576 HRO65575:HRO65576 IBK65575:IBK65576 ILG65575:ILG65576 IVC65575:IVC65576 JEY65575:JEY65576 JOU65575:JOU65576 JYQ65575:JYQ65576 KIM65575:KIM65576 KSI65575:KSI65576 LCE65575:LCE65576 LMA65575:LMA65576 LVW65575:LVW65576 MFS65575:MFS65576 MPO65575:MPO65576 MZK65575:MZK65576 NJG65575:NJG65576 NTC65575:NTC65576 OCY65575:OCY65576 OMU65575:OMU65576 OWQ65575:OWQ65576 PGM65575:PGM65576 PQI65575:PQI65576 QAE65575:QAE65576 QKA65575:QKA65576 QTW65575:QTW65576 RDS65575:RDS65576 RNO65575:RNO65576 RXK65575:RXK65576 SHG65575:SHG65576 SRC65575:SRC65576 TAY65575:TAY65576 TKU65575:TKU65576 TUQ65575:TUQ65576 UEM65575:UEM65576 UOI65575:UOI65576 UYE65575:UYE65576 VIA65575:VIA65576 VRW65575:VRW65576 WBS65575:WBS65576 WLO65575:WLO65576 WVK65575:WVK65576 C131111:C131112 IY131111:IY131112 SU131111:SU131112 ACQ131111:ACQ131112 AMM131111:AMM131112 AWI131111:AWI131112 BGE131111:BGE131112 BQA131111:BQA131112 BZW131111:BZW131112 CJS131111:CJS131112 CTO131111:CTO131112 DDK131111:DDK131112 DNG131111:DNG131112 DXC131111:DXC131112 EGY131111:EGY131112 EQU131111:EQU131112 FAQ131111:FAQ131112 FKM131111:FKM131112 FUI131111:FUI131112 GEE131111:GEE131112 GOA131111:GOA131112 GXW131111:GXW131112 HHS131111:HHS131112 HRO131111:HRO131112 IBK131111:IBK131112 ILG131111:ILG131112 IVC131111:IVC131112 JEY131111:JEY131112 JOU131111:JOU131112 JYQ131111:JYQ131112 KIM131111:KIM131112 KSI131111:KSI131112 LCE131111:LCE131112 LMA131111:LMA131112 LVW131111:LVW131112 MFS131111:MFS131112 MPO131111:MPO131112 MZK131111:MZK131112 NJG131111:NJG131112 NTC131111:NTC131112 OCY131111:OCY131112 OMU131111:OMU131112 OWQ131111:OWQ131112 PGM131111:PGM131112 PQI131111:PQI131112 QAE131111:QAE131112 QKA131111:QKA131112 QTW131111:QTW131112 RDS131111:RDS131112 RNO131111:RNO131112 RXK131111:RXK131112 SHG131111:SHG131112 SRC131111:SRC131112 TAY131111:TAY131112 TKU131111:TKU131112 TUQ131111:TUQ131112 UEM131111:UEM131112 UOI131111:UOI131112 UYE131111:UYE131112 VIA131111:VIA131112 VRW131111:VRW131112 WBS131111:WBS131112 WLO131111:WLO131112 WVK131111:WVK131112 C196647:C196648 IY196647:IY196648 SU196647:SU196648 ACQ196647:ACQ196648 AMM196647:AMM196648 AWI196647:AWI196648 BGE196647:BGE196648 BQA196647:BQA196648 BZW196647:BZW196648 CJS196647:CJS196648 CTO196647:CTO196648 DDK196647:DDK196648 DNG196647:DNG196648 DXC196647:DXC196648 EGY196647:EGY196648 EQU196647:EQU196648 FAQ196647:FAQ196648 FKM196647:FKM196648 FUI196647:FUI196648 GEE196647:GEE196648 GOA196647:GOA196648 GXW196647:GXW196648 HHS196647:HHS196648 HRO196647:HRO196648 IBK196647:IBK196648 ILG196647:ILG196648 IVC196647:IVC196648 JEY196647:JEY196648 JOU196647:JOU196648 JYQ196647:JYQ196648 KIM196647:KIM196648 KSI196647:KSI196648 LCE196647:LCE196648 LMA196647:LMA196648 LVW196647:LVW196648 MFS196647:MFS196648 MPO196647:MPO196648 MZK196647:MZK196648 NJG196647:NJG196648 NTC196647:NTC196648 OCY196647:OCY196648 OMU196647:OMU196648 OWQ196647:OWQ196648 PGM196647:PGM196648 PQI196647:PQI196648 QAE196647:QAE196648 QKA196647:QKA196648 QTW196647:QTW196648 RDS196647:RDS196648 RNO196647:RNO196648 RXK196647:RXK196648 SHG196647:SHG196648 SRC196647:SRC196648 TAY196647:TAY196648 TKU196647:TKU196648 TUQ196647:TUQ196648 UEM196647:UEM196648 UOI196647:UOI196648 UYE196647:UYE196648 VIA196647:VIA196648 VRW196647:VRW196648 WBS196647:WBS196648 WLO196647:WLO196648 WVK196647:WVK196648 C262183:C262184 IY262183:IY262184 SU262183:SU262184 ACQ262183:ACQ262184 AMM262183:AMM262184 AWI262183:AWI262184 BGE262183:BGE262184 BQA262183:BQA262184 BZW262183:BZW262184 CJS262183:CJS262184 CTO262183:CTO262184 DDK262183:DDK262184 DNG262183:DNG262184 DXC262183:DXC262184 EGY262183:EGY262184 EQU262183:EQU262184 FAQ262183:FAQ262184 FKM262183:FKM262184 FUI262183:FUI262184 GEE262183:GEE262184 GOA262183:GOA262184 GXW262183:GXW262184 HHS262183:HHS262184 HRO262183:HRO262184 IBK262183:IBK262184 ILG262183:ILG262184 IVC262183:IVC262184 JEY262183:JEY262184 JOU262183:JOU262184 JYQ262183:JYQ262184 KIM262183:KIM262184 KSI262183:KSI262184 LCE262183:LCE262184 LMA262183:LMA262184 LVW262183:LVW262184 MFS262183:MFS262184 MPO262183:MPO262184 MZK262183:MZK262184 NJG262183:NJG262184 NTC262183:NTC262184 OCY262183:OCY262184 OMU262183:OMU262184 OWQ262183:OWQ262184 PGM262183:PGM262184 PQI262183:PQI262184 QAE262183:QAE262184 QKA262183:QKA262184 QTW262183:QTW262184 RDS262183:RDS262184 RNO262183:RNO262184 RXK262183:RXK262184 SHG262183:SHG262184 SRC262183:SRC262184 TAY262183:TAY262184 TKU262183:TKU262184 TUQ262183:TUQ262184 UEM262183:UEM262184 UOI262183:UOI262184 UYE262183:UYE262184 VIA262183:VIA262184 VRW262183:VRW262184 WBS262183:WBS262184 WLO262183:WLO262184 WVK262183:WVK262184 C327719:C327720 IY327719:IY327720 SU327719:SU327720 ACQ327719:ACQ327720 AMM327719:AMM327720 AWI327719:AWI327720 BGE327719:BGE327720 BQA327719:BQA327720 BZW327719:BZW327720 CJS327719:CJS327720 CTO327719:CTO327720 DDK327719:DDK327720 DNG327719:DNG327720 DXC327719:DXC327720 EGY327719:EGY327720 EQU327719:EQU327720 FAQ327719:FAQ327720 FKM327719:FKM327720 FUI327719:FUI327720 GEE327719:GEE327720 GOA327719:GOA327720 GXW327719:GXW327720 HHS327719:HHS327720 HRO327719:HRO327720 IBK327719:IBK327720 ILG327719:ILG327720 IVC327719:IVC327720 JEY327719:JEY327720 JOU327719:JOU327720 JYQ327719:JYQ327720 KIM327719:KIM327720 KSI327719:KSI327720 LCE327719:LCE327720 LMA327719:LMA327720 LVW327719:LVW327720 MFS327719:MFS327720 MPO327719:MPO327720 MZK327719:MZK327720 NJG327719:NJG327720 NTC327719:NTC327720 OCY327719:OCY327720 OMU327719:OMU327720 OWQ327719:OWQ327720 PGM327719:PGM327720 PQI327719:PQI327720 QAE327719:QAE327720 QKA327719:QKA327720 QTW327719:QTW327720 RDS327719:RDS327720 RNO327719:RNO327720 RXK327719:RXK327720 SHG327719:SHG327720 SRC327719:SRC327720 TAY327719:TAY327720 TKU327719:TKU327720 TUQ327719:TUQ327720 UEM327719:UEM327720 UOI327719:UOI327720 UYE327719:UYE327720 VIA327719:VIA327720 VRW327719:VRW327720 WBS327719:WBS327720 WLO327719:WLO327720 WVK327719:WVK327720 C393255:C393256 IY393255:IY393256 SU393255:SU393256 ACQ393255:ACQ393256 AMM393255:AMM393256 AWI393255:AWI393256 BGE393255:BGE393256 BQA393255:BQA393256 BZW393255:BZW393256 CJS393255:CJS393256 CTO393255:CTO393256 DDK393255:DDK393256 DNG393255:DNG393256 DXC393255:DXC393256 EGY393255:EGY393256 EQU393255:EQU393256 FAQ393255:FAQ393256 FKM393255:FKM393256 FUI393255:FUI393256 GEE393255:GEE393256 GOA393255:GOA393256 GXW393255:GXW393256 HHS393255:HHS393256 HRO393255:HRO393256 IBK393255:IBK393256 ILG393255:ILG393256 IVC393255:IVC393256 JEY393255:JEY393256 JOU393255:JOU393256 JYQ393255:JYQ393256 KIM393255:KIM393256 KSI393255:KSI393256 LCE393255:LCE393256 LMA393255:LMA393256 LVW393255:LVW393256 MFS393255:MFS393256 MPO393255:MPO393256 MZK393255:MZK393256 NJG393255:NJG393256 NTC393255:NTC393256 OCY393255:OCY393256 OMU393255:OMU393256 OWQ393255:OWQ393256 PGM393255:PGM393256 PQI393255:PQI393256 QAE393255:QAE393256 QKA393255:QKA393256 QTW393255:QTW393256 RDS393255:RDS393256 RNO393255:RNO393256 RXK393255:RXK393256 SHG393255:SHG393256 SRC393255:SRC393256 TAY393255:TAY393256 TKU393255:TKU393256 TUQ393255:TUQ393256 UEM393255:UEM393256 UOI393255:UOI393256 UYE393255:UYE393256 VIA393255:VIA393256 VRW393255:VRW393256 WBS393255:WBS393256 WLO393255:WLO393256 WVK393255:WVK393256 C458791:C458792 IY458791:IY458792 SU458791:SU458792 ACQ458791:ACQ458792 AMM458791:AMM458792 AWI458791:AWI458792 BGE458791:BGE458792 BQA458791:BQA458792 BZW458791:BZW458792 CJS458791:CJS458792 CTO458791:CTO458792 DDK458791:DDK458792 DNG458791:DNG458792 DXC458791:DXC458792 EGY458791:EGY458792 EQU458791:EQU458792 FAQ458791:FAQ458792 FKM458791:FKM458792 FUI458791:FUI458792 GEE458791:GEE458792 GOA458791:GOA458792 GXW458791:GXW458792 HHS458791:HHS458792 HRO458791:HRO458792 IBK458791:IBK458792 ILG458791:ILG458792 IVC458791:IVC458792 JEY458791:JEY458792 JOU458791:JOU458792 JYQ458791:JYQ458792 KIM458791:KIM458792 KSI458791:KSI458792 LCE458791:LCE458792 LMA458791:LMA458792 LVW458791:LVW458792 MFS458791:MFS458792 MPO458791:MPO458792 MZK458791:MZK458792 NJG458791:NJG458792 NTC458791:NTC458792 OCY458791:OCY458792 OMU458791:OMU458792 OWQ458791:OWQ458792 PGM458791:PGM458792 PQI458791:PQI458792 QAE458791:QAE458792 QKA458791:QKA458792 QTW458791:QTW458792 RDS458791:RDS458792 RNO458791:RNO458792 RXK458791:RXK458792 SHG458791:SHG458792 SRC458791:SRC458792 TAY458791:TAY458792 TKU458791:TKU458792 TUQ458791:TUQ458792 UEM458791:UEM458792 UOI458791:UOI458792 UYE458791:UYE458792 VIA458791:VIA458792 VRW458791:VRW458792 WBS458791:WBS458792 WLO458791:WLO458792 WVK458791:WVK458792 C524327:C524328 IY524327:IY524328 SU524327:SU524328 ACQ524327:ACQ524328 AMM524327:AMM524328 AWI524327:AWI524328 BGE524327:BGE524328 BQA524327:BQA524328 BZW524327:BZW524328 CJS524327:CJS524328 CTO524327:CTO524328 DDK524327:DDK524328 DNG524327:DNG524328 DXC524327:DXC524328 EGY524327:EGY524328 EQU524327:EQU524328 FAQ524327:FAQ524328 FKM524327:FKM524328 FUI524327:FUI524328 GEE524327:GEE524328 GOA524327:GOA524328 GXW524327:GXW524328 HHS524327:HHS524328 HRO524327:HRO524328 IBK524327:IBK524328 ILG524327:ILG524328 IVC524327:IVC524328 JEY524327:JEY524328 JOU524327:JOU524328 JYQ524327:JYQ524328 KIM524327:KIM524328 KSI524327:KSI524328 LCE524327:LCE524328 LMA524327:LMA524328 LVW524327:LVW524328 MFS524327:MFS524328 MPO524327:MPO524328 MZK524327:MZK524328 NJG524327:NJG524328 NTC524327:NTC524328 OCY524327:OCY524328 OMU524327:OMU524328 OWQ524327:OWQ524328 PGM524327:PGM524328 PQI524327:PQI524328 QAE524327:QAE524328 QKA524327:QKA524328 QTW524327:QTW524328 RDS524327:RDS524328 RNO524327:RNO524328 RXK524327:RXK524328 SHG524327:SHG524328 SRC524327:SRC524328 TAY524327:TAY524328 TKU524327:TKU524328 TUQ524327:TUQ524328 UEM524327:UEM524328 UOI524327:UOI524328 UYE524327:UYE524328 VIA524327:VIA524328 VRW524327:VRW524328 WBS524327:WBS524328 WLO524327:WLO524328 WVK524327:WVK524328 C589863:C589864 IY589863:IY589864 SU589863:SU589864 ACQ589863:ACQ589864 AMM589863:AMM589864 AWI589863:AWI589864 BGE589863:BGE589864 BQA589863:BQA589864 BZW589863:BZW589864 CJS589863:CJS589864 CTO589863:CTO589864 DDK589863:DDK589864 DNG589863:DNG589864 DXC589863:DXC589864 EGY589863:EGY589864 EQU589863:EQU589864 FAQ589863:FAQ589864 FKM589863:FKM589864 FUI589863:FUI589864 GEE589863:GEE589864 GOA589863:GOA589864 GXW589863:GXW589864 HHS589863:HHS589864 HRO589863:HRO589864 IBK589863:IBK589864 ILG589863:ILG589864 IVC589863:IVC589864 JEY589863:JEY589864 JOU589863:JOU589864 JYQ589863:JYQ589864 KIM589863:KIM589864 KSI589863:KSI589864 LCE589863:LCE589864 LMA589863:LMA589864 LVW589863:LVW589864 MFS589863:MFS589864 MPO589863:MPO589864 MZK589863:MZK589864 NJG589863:NJG589864 NTC589863:NTC589864 OCY589863:OCY589864 OMU589863:OMU589864 OWQ589863:OWQ589864 PGM589863:PGM589864 PQI589863:PQI589864 QAE589863:QAE589864 QKA589863:QKA589864 QTW589863:QTW589864 RDS589863:RDS589864 RNO589863:RNO589864 RXK589863:RXK589864 SHG589863:SHG589864 SRC589863:SRC589864 TAY589863:TAY589864 TKU589863:TKU589864 TUQ589863:TUQ589864 UEM589863:UEM589864 UOI589863:UOI589864 UYE589863:UYE589864 VIA589863:VIA589864 VRW589863:VRW589864 WBS589863:WBS589864 WLO589863:WLO589864 WVK589863:WVK589864 C655399:C655400 IY655399:IY655400 SU655399:SU655400 ACQ655399:ACQ655400 AMM655399:AMM655400 AWI655399:AWI655400 BGE655399:BGE655400 BQA655399:BQA655400 BZW655399:BZW655400 CJS655399:CJS655400 CTO655399:CTO655400 DDK655399:DDK655400 DNG655399:DNG655400 DXC655399:DXC655400 EGY655399:EGY655400 EQU655399:EQU655400 FAQ655399:FAQ655400 FKM655399:FKM655400 FUI655399:FUI655400 GEE655399:GEE655400 GOA655399:GOA655400 GXW655399:GXW655400 HHS655399:HHS655400 HRO655399:HRO655400 IBK655399:IBK655400 ILG655399:ILG655400 IVC655399:IVC655400 JEY655399:JEY655400 JOU655399:JOU655400 JYQ655399:JYQ655400 KIM655399:KIM655400 KSI655399:KSI655400 LCE655399:LCE655400 LMA655399:LMA655400 LVW655399:LVW655400 MFS655399:MFS655400 MPO655399:MPO655400 MZK655399:MZK655400 NJG655399:NJG655400 NTC655399:NTC655400 OCY655399:OCY655400 OMU655399:OMU655400 OWQ655399:OWQ655400 PGM655399:PGM655400 PQI655399:PQI655400 QAE655399:QAE655400 QKA655399:QKA655400 QTW655399:QTW655400 RDS655399:RDS655400 RNO655399:RNO655400 RXK655399:RXK655400 SHG655399:SHG655400 SRC655399:SRC655400 TAY655399:TAY655400 TKU655399:TKU655400 TUQ655399:TUQ655400 UEM655399:UEM655400 UOI655399:UOI655400 UYE655399:UYE655400 VIA655399:VIA655400 VRW655399:VRW655400 WBS655399:WBS655400 WLO655399:WLO655400 WVK655399:WVK655400 C720935:C720936 IY720935:IY720936 SU720935:SU720936 ACQ720935:ACQ720936 AMM720935:AMM720936 AWI720935:AWI720936 BGE720935:BGE720936 BQA720935:BQA720936 BZW720935:BZW720936 CJS720935:CJS720936 CTO720935:CTO720936 DDK720935:DDK720936 DNG720935:DNG720936 DXC720935:DXC720936 EGY720935:EGY720936 EQU720935:EQU720936 FAQ720935:FAQ720936 FKM720935:FKM720936 FUI720935:FUI720936 GEE720935:GEE720936 GOA720935:GOA720936 GXW720935:GXW720936 HHS720935:HHS720936 HRO720935:HRO720936 IBK720935:IBK720936 ILG720935:ILG720936 IVC720935:IVC720936 JEY720935:JEY720936 JOU720935:JOU720936 JYQ720935:JYQ720936 KIM720935:KIM720936 KSI720935:KSI720936 LCE720935:LCE720936 LMA720935:LMA720936 LVW720935:LVW720936 MFS720935:MFS720936 MPO720935:MPO720936 MZK720935:MZK720936 NJG720935:NJG720936 NTC720935:NTC720936 OCY720935:OCY720936 OMU720935:OMU720936 OWQ720935:OWQ720936 PGM720935:PGM720936 PQI720935:PQI720936 QAE720935:QAE720936 QKA720935:QKA720936 QTW720935:QTW720936 RDS720935:RDS720936 RNO720935:RNO720936 RXK720935:RXK720936 SHG720935:SHG720936 SRC720935:SRC720936 TAY720935:TAY720936 TKU720935:TKU720936 TUQ720935:TUQ720936 UEM720935:UEM720936 UOI720935:UOI720936 UYE720935:UYE720936 VIA720935:VIA720936 VRW720935:VRW720936 WBS720935:WBS720936 WLO720935:WLO720936 WVK720935:WVK720936 C786471:C786472 IY786471:IY786472 SU786471:SU786472 ACQ786471:ACQ786472 AMM786471:AMM786472 AWI786471:AWI786472 BGE786471:BGE786472 BQA786471:BQA786472 BZW786471:BZW786472 CJS786471:CJS786472 CTO786471:CTO786472 DDK786471:DDK786472 DNG786471:DNG786472 DXC786471:DXC786472 EGY786471:EGY786472 EQU786471:EQU786472 FAQ786471:FAQ786472 FKM786471:FKM786472 FUI786471:FUI786472 GEE786471:GEE786472 GOA786471:GOA786472 GXW786471:GXW786472 HHS786471:HHS786472 HRO786471:HRO786472 IBK786471:IBK786472 ILG786471:ILG786472 IVC786471:IVC786472 JEY786471:JEY786472 JOU786471:JOU786472 JYQ786471:JYQ786472 KIM786471:KIM786472 KSI786471:KSI786472 LCE786471:LCE786472 LMA786471:LMA786472 LVW786471:LVW786472 MFS786471:MFS786472 MPO786471:MPO786472 MZK786471:MZK786472 NJG786471:NJG786472 NTC786471:NTC786472 OCY786471:OCY786472 OMU786471:OMU786472 OWQ786471:OWQ786472 PGM786471:PGM786472 PQI786471:PQI786472 QAE786471:QAE786472 QKA786471:QKA786472 QTW786471:QTW786472 RDS786471:RDS786472 RNO786471:RNO786472 RXK786471:RXK786472 SHG786471:SHG786472 SRC786471:SRC786472 TAY786471:TAY786472 TKU786471:TKU786472 TUQ786471:TUQ786472 UEM786471:UEM786472 UOI786471:UOI786472 UYE786471:UYE786472 VIA786471:VIA786472 VRW786471:VRW786472 WBS786471:WBS786472 WLO786471:WLO786472 WVK786471:WVK786472 C852007:C852008 IY852007:IY852008 SU852007:SU852008 ACQ852007:ACQ852008 AMM852007:AMM852008 AWI852007:AWI852008 BGE852007:BGE852008 BQA852007:BQA852008 BZW852007:BZW852008 CJS852007:CJS852008 CTO852007:CTO852008 DDK852007:DDK852008 DNG852007:DNG852008 DXC852007:DXC852008 EGY852007:EGY852008 EQU852007:EQU852008 FAQ852007:FAQ852008 FKM852007:FKM852008 FUI852007:FUI852008 GEE852007:GEE852008 GOA852007:GOA852008 GXW852007:GXW852008 HHS852007:HHS852008 HRO852007:HRO852008 IBK852007:IBK852008 ILG852007:ILG852008 IVC852007:IVC852008 JEY852007:JEY852008 JOU852007:JOU852008 JYQ852007:JYQ852008 KIM852007:KIM852008 KSI852007:KSI852008 LCE852007:LCE852008 LMA852007:LMA852008 LVW852007:LVW852008 MFS852007:MFS852008 MPO852007:MPO852008 MZK852007:MZK852008 NJG852007:NJG852008 NTC852007:NTC852008 OCY852007:OCY852008 OMU852007:OMU852008 OWQ852007:OWQ852008 PGM852007:PGM852008 PQI852007:PQI852008 QAE852007:QAE852008 QKA852007:QKA852008 QTW852007:QTW852008 RDS852007:RDS852008 RNO852007:RNO852008 RXK852007:RXK852008 SHG852007:SHG852008 SRC852007:SRC852008 TAY852007:TAY852008 TKU852007:TKU852008 TUQ852007:TUQ852008 UEM852007:UEM852008 UOI852007:UOI852008 UYE852007:UYE852008 VIA852007:VIA852008 VRW852007:VRW852008 WBS852007:WBS852008 WLO852007:WLO852008 WVK852007:WVK852008 C917543:C917544 IY917543:IY917544 SU917543:SU917544 ACQ917543:ACQ917544 AMM917543:AMM917544 AWI917543:AWI917544 BGE917543:BGE917544 BQA917543:BQA917544 BZW917543:BZW917544 CJS917543:CJS917544 CTO917543:CTO917544 DDK917543:DDK917544 DNG917543:DNG917544 DXC917543:DXC917544 EGY917543:EGY917544 EQU917543:EQU917544 FAQ917543:FAQ917544 FKM917543:FKM917544 FUI917543:FUI917544 GEE917543:GEE917544 GOA917543:GOA917544 GXW917543:GXW917544 HHS917543:HHS917544 HRO917543:HRO917544 IBK917543:IBK917544 ILG917543:ILG917544 IVC917543:IVC917544 JEY917543:JEY917544 JOU917543:JOU917544 JYQ917543:JYQ917544 KIM917543:KIM917544 KSI917543:KSI917544 LCE917543:LCE917544 LMA917543:LMA917544 LVW917543:LVW917544 MFS917543:MFS917544 MPO917543:MPO917544 MZK917543:MZK917544 NJG917543:NJG917544 NTC917543:NTC917544 OCY917543:OCY917544 OMU917543:OMU917544 OWQ917543:OWQ917544 PGM917543:PGM917544 PQI917543:PQI917544 QAE917543:QAE917544 QKA917543:QKA917544 QTW917543:QTW917544 RDS917543:RDS917544 RNO917543:RNO917544 RXK917543:RXK917544 SHG917543:SHG917544 SRC917543:SRC917544 TAY917543:TAY917544 TKU917543:TKU917544 TUQ917543:TUQ917544 UEM917543:UEM917544 UOI917543:UOI917544 UYE917543:UYE917544 VIA917543:VIA917544 VRW917543:VRW917544 WBS917543:WBS917544 WLO917543:WLO917544 WVK917543:WVK917544 C983079:C983080 IY983079:IY983080 SU983079:SU983080 ACQ983079:ACQ983080 AMM983079:AMM983080 AWI983079:AWI983080 BGE983079:BGE983080 BQA983079:BQA983080 BZW983079:BZW983080 CJS983079:CJS983080 CTO983079:CTO983080 DDK983079:DDK983080 DNG983079:DNG983080 DXC983079:DXC983080 EGY983079:EGY983080 EQU983079:EQU983080 FAQ983079:FAQ983080 FKM983079:FKM983080 FUI983079:FUI983080 GEE983079:GEE983080 GOA983079:GOA983080 GXW983079:GXW983080 HHS983079:HHS983080 HRO983079:HRO983080 IBK983079:IBK983080 ILG983079:ILG983080 IVC983079:IVC983080 JEY983079:JEY983080 JOU983079:JOU983080 JYQ983079:JYQ983080 KIM983079:KIM983080 KSI983079:KSI983080 LCE983079:LCE983080 LMA983079:LMA983080 LVW983079:LVW983080 MFS983079:MFS983080 MPO983079:MPO983080 MZK983079:MZK983080 NJG983079:NJG983080 NTC983079:NTC983080 OCY983079:OCY983080 OMU983079:OMU983080 OWQ983079:OWQ983080 PGM983079:PGM983080 PQI983079:PQI983080 QAE983079:QAE983080 QKA983079:QKA983080 QTW983079:QTW983080 RDS983079:RDS983080 RNO983079:RNO983080 RXK983079:RXK983080 SHG983079:SHG983080 SRC983079:SRC983080 TAY983079:TAY983080 TKU983079:TKU983080 TUQ983079:TUQ983080 UEM983079:UEM983080 UOI983079:UOI983080 UYE983079:UYE983080 VIA983079:VIA983080 VRW983079:VRW983080 WBS983079:WBS983080 WLO983079:WLO983080 WVK983079:WVK983080 R47 JN47 TJ47 ADF47 ANB47 AWX47 BGT47 BQP47 CAL47 CKH47 CUD47 DDZ47 DNV47 DXR47 EHN47 ERJ47 FBF47 FLB47 FUX47 GET47 GOP47 GYL47 HIH47 HSD47 IBZ47 ILV47 IVR47 JFN47 JPJ47 JZF47 KJB47 KSX47 LCT47 LMP47 LWL47 MGH47 MQD47 MZZ47 NJV47 NTR47 ODN47 ONJ47 OXF47 PHB47 PQX47 QAT47 QKP47 QUL47 REH47 ROD47 RXZ47 SHV47 SRR47 TBN47 TLJ47 TVF47 UFB47 UOX47 UYT47 VIP47 VSL47 WCH47 WMD47 WVZ47 R65583 JN65583 TJ65583 ADF65583 ANB65583 AWX65583 BGT65583 BQP65583 CAL65583 CKH65583 CUD65583 DDZ65583 DNV65583 DXR65583 EHN65583 ERJ65583 FBF65583 FLB65583 FUX65583 GET65583 GOP65583 GYL65583 HIH65583 HSD65583 IBZ65583 ILV65583 IVR65583 JFN65583 JPJ65583 JZF65583 KJB65583 KSX65583 LCT65583 LMP65583 LWL65583 MGH65583 MQD65583 MZZ65583 NJV65583 NTR65583 ODN65583 ONJ65583 OXF65583 PHB65583 PQX65583 QAT65583 QKP65583 QUL65583 REH65583 ROD65583 RXZ65583 SHV65583 SRR65583 TBN65583 TLJ65583 TVF65583 UFB65583 UOX65583 UYT65583 VIP65583 VSL65583 WCH65583 WMD65583 WVZ65583 R131119 JN131119 TJ131119 ADF131119 ANB131119 AWX131119 BGT131119 BQP131119 CAL131119 CKH131119 CUD131119 DDZ131119 DNV131119 DXR131119 EHN131119 ERJ131119 FBF131119 FLB131119 FUX131119 GET131119 GOP131119 GYL131119 HIH131119 HSD131119 IBZ131119 ILV131119 IVR131119 JFN131119 JPJ131119 JZF131119 KJB131119 KSX131119 LCT131119 LMP131119 LWL131119 MGH131119 MQD131119 MZZ131119 NJV131119 NTR131119 ODN131119 ONJ131119 OXF131119 PHB131119 PQX131119 QAT131119 QKP131119 QUL131119 REH131119 ROD131119 RXZ131119 SHV131119 SRR131119 TBN131119 TLJ131119 TVF131119 UFB131119 UOX131119 UYT131119 VIP131119 VSL131119 WCH131119 WMD131119 WVZ131119 R196655 JN196655 TJ196655 ADF196655 ANB196655 AWX196655 BGT196655 BQP196655 CAL196655 CKH196655 CUD196655 DDZ196655 DNV196655 DXR196655 EHN196655 ERJ196655 FBF196655 FLB196655 FUX196655 GET196655 GOP196655 GYL196655 HIH196655 HSD196655 IBZ196655 ILV196655 IVR196655 JFN196655 JPJ196655 JZF196655 KJB196655 KSX196655 LCT196655 LMP196655 LWL196655 MGH196655 MQD196655 MZZ196655 NJV196655 NTR196655 ODN196655 ONJ196655 OXF196655 PHB196655 PQX196655 QAT196655 QKP196655 QUL196655 REH196655 ROD196655 RXZ196655 SHV196655 SRR196655 TBN196655 TLJ196655 TVF196655 UFB196655 UOX196655 UYT196655 VIP196655 VSL196655 WCH196655 WMD196655 WVZ196655 R262191 JN262191 TJ262191 ADF262191 ANB262191 AWX262191 BGT262191 BQP262191 CAL262191 CKH262191 CUD262191 DDZ262191 DNV262191 DXR262191 EHN262191 ERJ262191 FBF262191 FLB262191 FUX262191 GET262191 GOP262191 GYL262191 HIH262191 HSD262191 IBZ262191 ILV262191 IVR262191 JFN262191 JPJ262191 JZF262191 KJB262191 KSX262191 LCT262191 LMP262191 LWL262191 MGH262191 MQD262191 MZZ262191 NJV262191 NTR262191 ODN262191 ONJ262191 OXF262191 PHB262191 PQX262191 QAT262191 QKP262191 QUL262191 REH262191 ROD262191 RXZ262191 SHV262191 SRR262191 TBN262191 TLJ262191 TVF262191 UFB262191 UOX262191 UYT262191 VIP262191 VSL262191 WCH262191 WMD262191 WVZ262191 R327727 JN327727 TJ327727 ADF327727 ANB327727 AWX327727 BGT327727 BQP327727 CAL327727 CKH327727 CUD327727 DDZ327727 DNV327727 DXR327727 EHN327727 ERJ327727 FBF327727 FLB327727 FUX327727 GET327727 GOP327727 GYL327727 HIH327727 HSD327727 IBZ327727 ILV327727 IVR327727 JFN327727 JPJ327727 JZF327727 KJB327727 KSX327727 LCT327727 LMP327727 LWL327727 MGH327727 MQD327727 MZZ327727 NJV327727 NTR327727 ODN327727 ONJ327727 OXF327727 PHB327727 PQX327727 QAT327727 QKP327727 QUL327727 REH327727 ROD327727 RXZ327727 SHV327727 SRR327727 TBN327727 TLJ327727 TVF327727 UFB327727 UOX327727 UYT327727 VIP327727 VSL327727 WCH327727 WMD327727 WVZ327727 R393263 JN393263 TJ393263 ADF393263 ANB393263 AWX393263 BGT393263 BQP393263 CAL393263 CKH393263 CUD393263 DDZ393263 DNV393263 DXR393263 EHN393263 ERJ393263 FBF393263 FLB393263 FUX393263 GET393263 GOP393263 GYL393263 HIH393263 HSD393263 IBZ393263 ILV393263 IVR393263 JFN393263 JPJ393263 JZF393263 KJB393263 KSX393263 LCT393263 LMP393263 LWL393263 MGH393263 MQD393263 MZZ393263 NJV393263 NTR393263 ODN393263 ONJ393263 OXF393263 PHB393263 PQX393263 QAT393263 QKP393263 QUL393263 REH393263 ROD393263 RXZ393263 SHV393263 SRR393263 TBN393263 TLJ393263 TVF393263 UFB393263 UOX393263 UYT393263 VIP393263 VSL393263 WCH393263 WMD393263 WVZ393263 R458799 JN458799 TJ458799 ADF458799 ANB458799 AWX458799 BGT458799 BQP458799 CAL458799 CKH458799 CUD458799 DDZ458799 DNV458799 DXR458799 EHN458799 ERJ458799 FBF458799 FLB458799 FUX458799 GET458799 GOP458799 GYL458799 HIH458799 HSD458799 IBZ458799 ILV458799 IVR458799 JFN458799 JPJ458799 JZF458799 KJB458799 KSX458799 LCT458799 LMP458799 LWL458799 MGH458799 MQD458799 MZZ458799 NJV458799 NTR458799 ODN458799 ONJ458799 OXF458799 PHB458799 PQX458799 QAT458799 QKP458799 QUL458799 REH458799 ROD458799 RXZ458799 SHV458799 SRR458799 TBN458799 TLJ458799 TVF458799 UFB458799 UOX458799 UYT458799 VIP458799 VSL458799 WCH458799 WMD458799 WVZ458799 R524335 JN524335 TJ524335 ADF524335 ANB524335 AWX524335 BGT524335 BQP524335 CAL524335 CKH524335 CUD524335 DDZ524335 DNV524335 DXR524335 EHN524335 ERJ524335 FBF524335 FLB524335 FUX524335 GET524335 GOP524335 GYL524335 HIH524335 HSD524335 IBZ524335 ILV524335 IVR524335 JFN524335 JPJ524335 JZF524335 KJB524335 KSX524335 LCT524335 LMP524335 LWL524335 MGH524335 MQD524335 MZZ524335 NJV524335 NTR524335 ODN524335 ONJ524335 OXF524335 PHB524335 PQX524335 QAT524335 QKP524335 QUL524335 REH524335 ROD524335 RXZ524335 SHV524335 SRR524335 TBN524335 TLJ524335 TVF524335 UFB524335 UOX524335 UYT524335 VIP524335 VSL524335 WCH524335 WMD524335 WVZ524335 R589871 JN589871 TJ589871 ADF589871 ANB589871 AWX589871 BGT589871 BQP589871 CAL589871 CKH589871 CUD589871 DDZ589871 DNV589871 DXR589871 EHN589871 ERJ589871 FBF589871 FLB589871 FUX589871 GET589871 GOP589871 GYL589871 HIH589871 HSD589871 IBZ589871 ILV589871 IVR589871 JFN589871 JPJ589871 JZF589871 KJB589871 KSX589871 LCT589871 LMP589871 LWL589871 MGH589871 MQD589871 MZZ589871 NJV589871 NTR589871 ODN589871 ONJ589871 OXF589871 PHB589871 PQX589871 QAT589871 QKP589871 QUL589871 REH589871 ROD589871 RXZ589871 SHV589871 SRR589871 TBN589871 TLJ589871 TVF589871 UFB589871 UOX589871 UYT589871 VIP589871 VSL589871 WCH589871 WMD589871 WVZ589871 R655407 JN655407 TJ655407 ADF655407 ANB655407 AWX655407 BGT655407 BQP655407 CAL655407 CKH655407 CUD655407 DDZ655407 DNV655407 DXR655407 EHN655407 ERJ655407 FBF655407 FLB655407 FUX655407 GET655407 GOP655407 GYL655407 HIH655407 HSD655407 IBZ655407 ILV655407 IVR655407 JFN655407 JPJ655407 JZF655407 KJB655407 KSX655407 LCT655407 LMP655407 LWL655407 MGH655407 MQD655407 MZZ655407 NJV655407 NTR655407 ODN655407 ONJ655407 OXF655407 PHB655407 PQX655407 QAT655407 QKP655407 QUL655407 REH655407 ROD655407 RXZ655407 SHV655407 SRR655407 TBN655407 TLJ655407 TVF655407 UFB655407 UOX655407 UYT655407 VIP655407 VSL655407 WCH655407 WMD655407 WVZ655407 R720943 JN720943 TJ720943 ADF720943 ANB720943 AWX720943 BGT720943 BQP720943 CAL720943 CKH720943 CUD720943 DDZ720943 DNV720943 DXR720943 EHN720943 ERJ720943 FBF720943 FLB720943 FUX720943 GET720943 GOP720943 GYL720943 HIH720943 HSD720943 IBZ720943 ILV720943 IVR720943 JFN720943 JPJ720943 JZF720943 KJB720943 KSX720943 LCT720943 LMP720943 LWL720943 MGH720943 MQD720943 MZZ720943 NJV720943 NTR720943 ODN720943 ONJ720943 OXF720943 PHB720943 PQX720943 QAT720943 QKP720943 QUL720943 REH720943 ROD720943 RXZ720943 SHV720943 SRR720943 TBN720943 TLJ720943 TVF720943 UFB720943 UOX720943 UYT720943 VIP720943 VSL720943 WCH720943 WMD720943 WVZ720943 R786479 JN786479 TJ786479 ADF786479 ANB786479 AWX786479 BGT786479 BQP786479 CAL786479 CKH786479 CUD786479 DDZ786479 DNV786479 DXR786479 EHN786479 ERJ786479 FBF786479 FLB786479 FUX786479 GET786479 GOP786479 GYL786479 HIH786479 HSD786479 IBZ786479 ILV786479 IVR786479 JFN786479 JPJ786479 JZF786479 KJB786479 KSX786479 LCT786479 LMP786479 LWL786479 MGH786479 MQD786479 MZZ786479 NJV786479 NTR786479 ODN786479 ONJ786479 OXF786479 PHB786479 PQX786479 QAT786479 QKP786479 QUL786479 REH786479 ROD786479 RXZ786479 SHV786479 SRR786479 TBN786479 TLJ786479 TVF786479 UFB786479 UOX786479 UYT786479 VIP786479 VSL786479 WCH786479 WMD786479 WVZ786479 R852015 JN852015 TJ852015 ADF852015 ANB852015 AWX852015 BGT852015 BQP852015 CAL852015 CKH852015 CUD852015 DDZ852015 DNV852015 DXR852015 EHN852015 ERJ852015 FBF852015 FLB852015 FUX852015 GET852015 GOP852015 GYL852015 HIH852015 HSD852015 IBZ852015 ILV852015 IVR852015 JFN852015 JPJ852015 JZF852015 KJB852015 KSX852015 LCT852015 LMP852015 LWL852015 MGH852015 MQD852015 MZZ852015 NJV852015 NTR852015 ODN852015 ONJ852015 OXF852015 PHB852015 PQX852015 QAT852015 QKP852015 QUL852015 REH852015 ROD852015 RXZ852015 SHV852015 SRR852015 TBN852015 TLJ852015 TVF852015 UFB852015 UOX852015 UYT852015 VIP852015 VSL852015 WCH852015 WMD852015 WVZ852015 R917551 JN917551 TJ917551 ADF917551 ANB917551 AWX917551 BGT917551 BQP917551 CAL917551 CKH917551 CUD917551 DDZ917551 DNV917551 DXR917551 EHN917551 ERJ917551 FBF917551 FLB917551 FUX917551 GET917551 GOP917551 GYL917551 HIH917551 HSD917551 IBZ917551 ILV917551 IVR917551 JFN917551 JPJ917551 JZF917551 KJB917551 KSX917551 LCT917551 LMP917551 LWL917551 MGH917551 MQD917551 MZZ917551 NJV917551 NTR917551 ODN917551 ONJ917551 OXF917551 PHB917551 PQX917551 QAT917551 QKP917551 QUL917551 REH917551 ROD917551 RXZ917551 SHV917551 SRR917551 TBN917551 TLJ917551 TVF917551 UFB917551 UOX917551 UYT917551 VIP917551 VSL917551 WCH917551 WMD917551 WVZ917551 R983087 JN983087 TJ983087 ADF983087 ANB983087 AWX983087 BGT983087 BQP983087 CAL983087 CKH983087 CUD983087 DDZ983087 DNV983087 DXR983087 EHN983087 ERJ983087 FBF983087 FLB983087 FUX983087 GET983087 GOP983087 GYL983087 HIH983087 HSD983087 IBZ983087 ILV983087 IVR983087 JFN983087 JPJ983087 JZF983087 KJB983087 KSX983087 LCT983087 LMP983087 LWL983087 MGH983087 MQD983087 MZZ983087 NJV983087 NTR983087 ODN983087 ONJ983087 OXF983087 PHB983087 PQX983087 QAT983087 QKP983087 QUL983087 REH983087 ROD983087 RXZ983087 SHV983087 SRR983087 TBN983087 TLJ983087 TVF983087 UFB983087 UOX983087 UYT983087 VIP983087 VSL983087 WCH983087 WMD983087 WVZ983087 N47 JJ47 TF47 ADB47 AMX47 AWT47 BGP47 BQL47 CAH47 CKD47 CTZ47 DDV47 DNR47 DXN47 EHJ47 ERF47 FBB47 FKX47 FUT47 GEP47 GOL47 GYH47 HID47 HRZ47 IBV47 ILR47 IVN47 JFJ47 JPF47 JZB47 KIX47 KST47 LCP47 LML47 LWH47 MGD47 MPZ47 MZV47 NJR47 NTN47 ODJ47 ONF47 OXB47 PGX47 PQT47 QAP47 QKL47 QUH47 RED47 RNZ47 RXV47 SHR47 SRN47 TBJ47 TLF47 TVB47 UEX47 UOT47 UYP47 VIL47 VSH47 WCD47 WLZ47 WVV47 N65583 JJ65583 TF65583 ADB65583 AMX65583 AWT65583 BGP65583 BQL65583 CAH65583 CKD65583 CTZ65583 DDV65583 DNR65583 DXN65583 EHJ65583 ERF65583 FBB65583 FKX65583 FUT65583 GEP65583 GOL65583 GYH65583 HID65583 HRZ65583 IBV65583 ILR65583 IVN65583 JFJ65583 JPF65583 JZB65583 KIX65583 KST65583 LCP65583 LML65583 LWH65583 MGD65583 MPZ65583 MZV65583 NJR65583 NTN65583 ODJ65583 ONF65583 OXB65583 PGX65583 PQT65583 QAP65583 QKL65583 QUH65583 RED65583 RNZ65583 RXV65583 SHR65583 SRN65583 TBJ65583 TLF65583 TVB65583 UEX65583 UOT65583 UYP65583 VIL65583 VSH65583 WCD65583 WLZ65583 WVV65583 N131119 JJ131119 TF131119 ADB131119 AMX131119 AWT131119 BGP131119 BQL131119 CAH131119 CKD131119 CTZ131119 DDV131119 DNR131119 DXN131119 EHJ131119 ERF131119 FBB131119 FKX131119 FUT131119 GEP131119 GOL131119 GYH131119 HID131119 HRZ131119 IBV131119 ILR131119 IVN131119 JFJ131119 JPF131119 JZB131119 KIX131119 KST131119 LCP131119 LML131119 LWH131119 MGD131119 MPZ131119 MZV131119 NJR131119 NTN131119 ODJ131119 ONF131119 OXB131119 PGX131119 PQT131119 QAP131119 QKL131119 QUH131119 RED131119 RNZ131119 RXV131119 SHR131119 SRN131119 TBJ131119 TLF131119 TVB131119 UEX131119 UOT131119 UYP131119 VIL131119 VSH131119 WCD131119 WLZ131119 WVV131119 N196655 JJ196655 TF196655 ADB196655 AMX196655 AWT196655 BGP196655 BQL196655 CAH196655 CKD196655 CTZ196655 DDV196655 DNR196655 DXN196655 EHJ196655 ERF196655 FBB196655 FKX196655 FUT196655 GEP196655 GOL196655 GYH196655 HID196655 HRZ196655 IBV196655 ILR196655 IVN196655 JFJ196655 JPF196655 JZB196655 KIX196655 KST196655 LCP196655 LML196655 LWH196655 MGD196655 MPZ196655 MZV196655 NJR196655 NTN196655 ODJ196655 ONF196655 OXB196655 PGX196655 PQT196655 QAP196655 QKL196655 QUH196655 RED196655 RNZ196655 RXV196655 SHR196655 SRN196655 TBJ196655 TLF196655 TVB196655 UEX196655 UOT196655 UYP196655 VIL196655 VSH196655 WCD196655 WLZ196655 WVV196655 N262191 JJ262191 TF262191 ADB262191 AMX262191 AWT262191 BGP262191 BQL262191 CAH262191 CKD262191 CTZ262191 DDV262191 DNR262191 DXN262191 EHJ262191 ERF262191 FBB262191 FKX262191 FUT262191 GEP262191 GOL262191 GYH262191 HID262191 HRZ262191 IBV262191 ILR262191 IVN262191 JFJ262191 JPF262191 JZB262191 KIX262191 KST262191 LCP262191 LML262191 LWH262191 MGD262191 MPZ262191 MZV262191 NJR262191 NTN262191 ODJ262191 ONF262191 OXB262191 PGX262191 PQT262191 QAP262191 QKL262191 QUH262191 RED262191 RNZ262191 RXV262191 SHR262191 SRN262191 TBJ262191 TLF262191 TVB262191 UEX262191 UOT262191 UYP262191 VIL262191 VSH262191 WCD262191 WLZ262191 WVV262191 N327727 JJ327727 TF327727 ADB327727 AMX327727 AWT327727 BGP327727 BQL327727 CAH327727 CKD327727 CTZ327727 DDV327727 DNR327727 DXN327727 EHJ327727 ERF327727 FBB327727 FKX327727 FUT327727 GEP327727 GOL327727 GYH327727 HID327727 HRZ327727 IBV327727 ILR327727 IVN327727 JFJ327727 JPF327727 JZB327727 KIX327727 KST327727 LCP327727 LML327727 LWH327727 MGD327727 MPZ327727 MZV327727 NJR327727 NTN327727 ODJ327727 ONF327727 OXB327727 PGX327727 PQT327727 QAP327727 QKL327727 QUH327727 RED327727 RNZ327727 RXV327727 SHR327727 SRN327727 TBJ327727 TLF327727 TVB327727 UEX327727 UOT327727 UYP327727 VIL327727 VSH327727 WCD327727 WLZ327727 WVV327727 N393263 JJ393263 TF393263 ADB393263 AMX393263 AWT393263 BGP393263 BQL393263 CAH393263 CKD393263 CTZ393263 DDV393263 DNR393263 DXN393263 EHJ393263 ERF393263 FBB393263 FKX393263 FUT393263 GEP393263 GOL393263 GYH393263 HID393263 HRZ393263 IBV393263 ILR393263 IVN393263 JFJ393263 JPF393263 JZB393263 KIX393263 KST393263 LCP393263 LML393263 LWH393263 MGD393263 MPZ393263 MZV393263 NJR393263 NTN393263 ODJ393263 ONF393263 OXB393263 PGX393263 PQT393263 QAP393263 QKL393263 QUH393263 RED393263 RNZ393263 RXV393263 SHR393263 SRN393263 TBJ393263 TLF393263 TVB393263 UEX393263 UOT393263 UYP393263 VIL393263 VSH393263 WCD393263 WLZ393263 WVV393263 N458799 JJ458799 TF458799 ADB458799 AMX458799 AWT458799 BGP458799 BQL458799 CAH458799 CKD458799 CTZ458799 DDV458799 DNR458799 DXN458799 EHJ458799 ERF458799 FBB458799 FKX458799 FUT458799 GEP458799 GOL458799 GYH458799 HID458799 HRZ458799 IBV458799 ILR458799 IVN458799 JFJ458799 JPF458799 JZB458799 KIX458799 KST458799 LCP458799 LML458799 LWH458799 MGD458799 MPZ458799 MZV458799 NJR458799 NTN458799 ODJ458799 ONF458799 OXB458799 PGX458799 PQT458799 QAP458799 QKL458799 QUH458799 RED458799 RNZ458799 RXV458799 SHR458799 SRN458799 TBJ458799 TLF458799 TVB458799 UEX458799 UOT458799 UYP458799 VIL458799 VSH458799 WCD458799 WLZ458799 WVV458799 N524335 JJ524335 TF524335 ADB524335 AMX524335 AWT524335 BGP524335 BQL524335 CAH524335 CKD524335 CTZ524335 DDV524335 DNR524335 DXN524335 EHJ524335 ERF524335 FBB524335 FKX524335 FUT524335 GEP524335 GOL524335 GYH524335 HID524335 HRZ524335 IBV524335 ILR524335 IVN524335 JFJ524335 JPF524335 JZB524335 KIX524335 KST524335 LCP524335 LML524335 LWH524335 MGD524335 MPZ524335 MZV524335 NJR524335 NTN524335 ODJ524335 ONF524335 OXB524335 PGX524335 PQT524335 QAP524335 QKL524335 QUH524335 RED524335 RNZ524335 RXV524335 SHR524335 SRN524335 TBJ524335 TLF524335 TVB524335 UEX524335 UOT524335 UYP524335 VIL524335 VSH524335 WCD524335 WLZ524335 WVV524335 N589871 JJ589871 TF589871 ADB589871 AMX589871 AWT589871 BGP589871 BQL589871 CAH589871 CKD589871 CTZ589871 DDV589871 DNR589871 DXN589871 EHJ589871 ERF589871 FBB589871 FKX589871 FUT589871 GEP589871 GOL589871 GYH589871 HID589871 HRZ589871 IBV589871 ILR589871 IVN589871 JFJ589871 JPF589871 JZB589871 KIX589871 KST589871 LCP589871 LML589871 LWH589871 MGD589871 MPZ589871 MZV589871 NJR589871 NTN589871 ODJ589871 ONF589871 OXB589871 PGX589871 PQT589871 QAP589871 QKL589871 QUH589871 RED589871 RNZ589871 RXV589871 SHR589871 SRN589871 TBJ589871 TLF589871 TVB589871 UEX589871 UOT589871 UYP589871 VIL589871 VSH589871 WCD589871 WLZ589871 WVV589871 N655407 JJ655407 TF655407 ADB655407 AMX655407 AWT655407 BGP655407 BQL655407 CAH655407 CKD655407 CTZ655407 DDV655407 DNR655407 DXN655407 EHJ655407 ERF655407 FBB655407 FKX655407 FUT655407 GEP655407 GOL655407 GYH655407 HID655407 HRZ655407 IBV655407 ILR655407 IVN655407 JFJ655407 JPF655407 JZB655407 KIX655407 KST655407 LCP655407 LML655407 LWH655407 MGD655407 MPZ655407 MZV655407 NJR655407 NTN655407 ODJ655407 ONF655407 OXB655407 PGX655407 PQT655407 QAP655407 QKL655407 QUH655407 RED655407 RNZ655407 RXV655407 SHR655407 SRN655407 TBJ655407 TLF655407 TVB655407 UEX655407 UOT655407 UYP655407 VIL655407 VSH655407 WCD655407 WLZ655407 WVV655407 N720943 JJ720943 TF720943 ADB720943 AMX720943 AWT720943 BGP720943 BQL720943 CAH720943 CKD720943 CTZ720943 DDV720943 DNR720943 DXN720943 EHJ720943 ERF720943 FBB720943 FKX720943 FUT720943 GEP720943 GOL720943 GYH720943 HID720943 HRZ720943 IBV720943 ILR720943 IVN720943 JFJ720943 JPF720943 JZB720943 KIX720943 KST720943 LCP720943 LML720943 LWH720943 MGD720943 MPZ720943 MZV720943 NJR720943 NTN720943 ODJ720943 ONF720943 OXB720943 PGX720943 PQT720943 QAP720943 QKL720943 QUH720943 RED720943 RNZ720943 RXV720943 SHR720943 SRN720943 TBJ720943 TLF720943 TVB720943 UEX720943 UOT720943 UYP720943 VIL720943 VSH720943 WCD720943 WLZ720943 WVV720943 N786479 JJ786479 TF786479 ADB786479 AMX786479 AWT786479 BGP786479 BQL786479 CAH786479 CKD786479 CTZ786479 DDV786479 DNR786479 DXN786479 EHJ786479 ERF786479 FBB786479 FKX786479 FUT786479 GEP786479 GOL786479 GYH786479 HID786479 HRZ786479 IBV786479 ILR786479 IVN786479 JFJ786479 JPF786479 JZB786479 KIX786479 KST786479 LCP786479 LML786479 LWH786479 MGD786479 MPZ786479 MZV786479 NJR786479 NTN786479 ODJ786479 ONF786479 OXB786479 PGX786479 PQT786479 QAP786479 QKL786479 QUH786479 RED786479 RNZ786479 RXV786479 SHR786479 SRN786479 TBJ786479 TLF786479 TVB786479 UEX786479 UOT786479 UYP786479 VIL786479 VSH786479 WCD786479 WLZ786479 WVV786479 N852015 JJ852015 TF852015 ADB852015 AMX852015 AWT852015 BGP852015 BQL852015 CAH852015 CKD852015 CTZ852015 DDV852015 DNR852015 DXN852015 EHJ852015 ERF852015 FBB852015 FKX852015 FUT852015 GEP852015 GOL852015 GYH852015 HID852015 HRZ852015 IBV852015 ILR852015 IVN852015 JFJ852015 JPF852015 JZB852015 KIX852015 KST852015 LCP852015 LML852015 LWH852015 MGD852015 MPZ852015 MZV852015 NJR852015 NTN852015 ODJ852015 ONF852015 OXB852015 PGX852015 PQT852015 QAP852015 QKL852015 QUH852015 RED852015 RNZ852015 RXV852015 SHR852015 SRN852015 TBJ852015 TLF852015 TVB852015 UEX852015 UOT852015 UYP852015 VIL852015 VSH852015 WCD852015 WLZ852015 WVV852015 N917551 JJ917551 TF917551 ADB917551 AMX917551 AWT917551 BGP917551 BQL917551 CAH917551 CKD917551 CTZ917551 DDV917551 DNR917551 DXN917551 EHJ917551 ERF917551 FBB917551 FKX917551 FUT917551 GEP917551 GOL917551 GYH917551 HID917551 HRZ917551 IBV917551 ILR917551 IVN917551 JFJ917551 JPF917551 JZB917551 KIX917551 KST917551 LCP917551 LML917551 LWH917551 MGD917551 MPZ917551 MZV917551 NJR917551 NTN917551 ODJ917551 ONF917551 OXB917551 PGX917551 PQT917551 QAP917551 QKL917551 QUH917551 RED917551 RNZ917551 RXV917551 SHR917551 SRN917551 TBJ917551 TLF917551 TVB917551 UEX917551 UOT917551 UYP917551 VIL917551 VSH917551 WCD917551 WLZ917551 WVV917551 N983087 JJ983087 TF983087 ADB983087 AMX983087 AWT983087 BGP983087 BQL983087 CAH983087 CKD983087 CTZ983087 DDV983087 DNR983087 DXN983087 EHJ983087 ERF983087 FBB983087 FKX983087 FUT983087 GEP983087 GOL983087 GYH983087 HID983087 HRZ983087 IBV983087 ILR983087 IVN983087 JFJ983087 JPF983087 JZB983087 KIX983087 KST983087 LCP983087 LML983087 LWH983087 MGD983087 MPZ983087 MZV983087 NJR983087 NTN983087 ODJ983087 ONF983087 OXB983087 PGX983087 PQT983087 QAP983087 QKL983087 QUH983087 RED983087 RNZ983087 RXV983087 SHR983087 SRN983087 TBJ983087 TLF983087 TVB983087 UEX983087 UOT983087 UYP983087 VIL983087 VSH983087 WCD983087 WLZ983087 WVV983087 J47 JF47 TB47 ACX47 AMT47 AWP47 BGL47 BQH47 CAD47 CJZ47 CTV47 DDR47 DNN47 DXJ47 EHF47 ERB47 FAX47 FKT47 FUP47 GEL47 GOH47 GYD47 HHZ47 HRV47 IBR47 ILN47 IVJ47 JFF47 JPB47 JYX47 KIT47 KSP47 LCL47 LMH47 LWD47 MFZ47 MPV47 MZR47 NJN47 NTJ47 ODF47 ONB47 OWX47 PGT47 PQP47 QAL47 QKH47 QUD47 RDZ47 RNV47 RXR47 SHN47 SRJ47 TBF47 TLB47 TUX47 UET47 UOP47 UYL47 VIH47 VSD47 WBZ47 WLV47 WVR47 J65583 JF65583 TB65583 ACX65583 AMT65583 AWP65583 BGL65583 BQH65583 CAD65583 CJZ65583 CTV65583 DDR65583 DNN65583 DXJ65583 EHF65583 ERB65583 FAX65583 FKT65583 FUP65583 GEL65583 GOH65583 GYD65583 HHZ65583 HRV65583 IBR65583 ILN65583 IVJ65583 JFF65583 JPB65583 JYX65583 KIT65583 KSP65583 LCL65583 LMH65583 LWD65583 MFZ65583 MPV65583 MZR65583 NJN65583 NTJ65583 ODF65583 ONB65583 OWX65583 PGT65583 PQP65583 QAL65583 QKH65583 QUD65583 RDZ65583 RNV65583 RXR65583 SHN65583 SRJ65583 TBF65583 TLB65583 TUX65583 UET65583 UOP65583 UYL65583 VIH65583 VSD65583 WBZ65583 WLV65583 WVR65583 J131119 JF131119 TB131119 ACX131119 AMT131119 AWP131119 BGL131119 BQH131119 CAD131119 CJZ131119 CTV131119 DDR131119 DNN131119 DXJ131119 EHF131119 ERB131119 FAX131119 FKT131119 FUP131119 GEL131119 GOH131119 GYD131119 HHZ131119 HRV131119 IBR131119 ILN131119 IVJ131119 JFF131119 JPB131119 JYX131119 KIT131119 KSP131119 LCL131119 LMH131119 LWD131119 MFZ131119 MPV131119 MZR131119 NJN131119 NTJ131119 ODF131119 ONB131119 OWX131119 PGT131119 PQP131119 QAL131119 QKH131119 QUD131119 RDZ131119 RNV131119 RXR131119 SHN131119 SRJ131119 TBF131119 TLB131119 TUX131119 UET131119 UOP131119 UYL131119 VIH131119 VSD131119 WBZ131119 WLV131119 WVR131119 J196655 JF196655 TB196655 ACX196655 AMT196655 AWP196655 BGL196655 BQH196655 CAD196655 CJZ196655 CTV196655 DDR196655 DNN196655 DXJ196655 EHF196655 ERB196655 FAX196655 FKT196655 FUP196655 GEL196655 GOH196655 GYD196655 HHZ196655 HRV196655 IBR196655 ILN196655 IVJ196655 JFF196655 JPB196655 JYX196655 KIT196655 KSP196655 LCL196655 LMH196655 LWD196655 MFZ196655 MPV196655 MZR196655 NJN196655 NTJ196655 ODF196655 ONB196655 OWX196655 PGT196655 PQP196655 QAL196655 QKH196655 QUD196655 RDZ196655 RNV196655 RXR196655 SHN196655 SRJ196655 TBF196655 TLB196655 TUX196655 UET196655 UOP196655 UYL196655 VIH196655 VSD196655 WBZ196655 WLV196655 WVR196655 J262191 JF262191 TB262191 ACX262191 AMT262191 AWP262191 BGL262191 BQH262191 CAD262191 CJZ262191 CTV262191 DDR262191 DNN262191 DXJ262191 EHF262191 ERB262191 FAX262191 FKT262191 FUP262191 GEL262191 GOH262191 GYD262191 HHZ262191 HRV262191 IBR262191 ILN262191 IVJ262191 JFF262191 JPB262191 JYX262191 KIT262191 KSP262191 LCL262191 LMH262191 LWD262191 MFZ262191 MPV262191 MZR262191 NJN262191 NTJ262191 ODF262191 ONB262191 OWX262191 PGT262191 PQP262191 QAL262191 QKH262191 QUD262191 RDZ262191 RNV262191 RXR262191 SHN262191 SRJ262191 TBF262191 TLB262191 TUX262191 UET262191 UOP262191 UYL262191 VIH262191 VSD262191 WBZ262191 WLV262191 WVR262191 J327727 JF327727 TB327727 ACX327727 AMT327727 AWP327727 BGL327727 BQH327727 CAD327727 CJZ327727 CTV327727 DDR327727 DNN327727 DXJ327727 EHF327727 ERB327727 FAX327727 FKT327727 FUP327727 GEL327727 GOH327727 GYD327727 HHZ327727 HRV327727 IBR327727 ILN327727 IVJ327727 JFF327727 JPB327727 JYX327727 KIT327727 KSP327727 LCL327727 LMH327727 LWD327727 MFZ327727 MPV327727 MZR327727 NJN327727 NTJ327727 ODF327727 ONB327727 OWX327727 PGT327727 PQP327727 QAL327727 QKH327727 QUD327727 RDZ327727 RNV327727 RXR327727 SHN327727 SRJ327727 TBF327727 TLB327727 TUX327727 UET327727 UOP327727 UYL327727 VIH327727 VSD327727 WBZ327727 WLV327727 WVR327727 J393263 JF393263 TB393263 ACX393263 AMT393263 AWP393263 BGL393263 BQH393263 CAD393263 CJZ393263 CTV393263 DDR393263 DNN393263 DXJ393263 EHF393263 ERB393263 FAX393263 FKT393263 FUP393263 GEL393263 GOH393263 GYD393263 HHZ393263 HRV393263 IBR393263 ILN393263 IVJ393263 JFF393263 JPB393263 JYX393263 KIT393263 KSP393263 LCL393263 LMH393263 LWD393263 MFZ393263 MPV393263 MZR393263 NJN393263 NTJ393263 ODF393263 ONB393263 OWX393263 PGT393263 PQP393263 QAL393263 QKH393263 QUD393263 RDZ393263 RNV393263 RXR393263 SHN393263 SRJ393263 TBF393263 TLB393263 TUX393263 UET393263 UOP393263 UYL393263 VIH393263 VSD393263 WBZ393263 WLV393263 WVR393263 J458799 JF458799 TB458799 ACX458799 AMT458799 AWP458799 BGL458799 BQH458799 CAD458799 CJZ458799 CTV458799 DDR458799 DNN458799 DXJ458799 EHF458799 ERB458799 FAX458799 FKT458799 FUP458799 GEL458799 GOH458799 GYD458799 HHZ458799 HRV458799 IBR458799 ILN458799 IVJ458799 JFF458799 JPB458799 JYX458799 KIT458799 KSP458799 LCL458799 LMH458799 LWD458799 MFZ458799 MPV458799 MZR458799 NJN458799 NTJ458799 ODF458799 ONB458799 OWX458799 PGT458799 PQP458799 QAL458799 QKH458799 QUD458799 RDZ458799 RNV458799 RXR458799 SHN458799 SRJ458799 TBF458799 TLB458799 TUX458799 UET458799 UOP458799 UYL458799 VIH458799 VSD458799 WBZ458799 WLV458799 WVR458799 J524335 JF524335 TB524335 ACX524335 AMT524335 AWP524335 BGL524335 BQH524335 CAD524335 CJZ524335 CTV524335 DDR524335 DNN524335 DXJ524335 EHF524335 ERB524335 FAX524335 FKT524335 FUP524335 GEL524335 GOH524335 GYD524335 HHZ524335 HRV524335 IBR524335 ILN524335 IVJ524335 JFF524335 JPB524335 JYX524335 KIT524335 KSP524335 LCL524335 LMH524335 LWD524335 MFZ524335 MPV524335 MZR524335 NJN524335 NTJ524335 ODF524335 ONB524335 OWX524335 PGT524335 PQP524335 QAL524335 QKH524335 QUD524335 RDZ524335 RNV524335 RXR524335 SHN524335 SRJ524335 TBF524335 TLB524335 TUX524335 UET524335 UOP524335 UYL524335 VIH524335 VSD524335 WBZ524335 WLV524335 WVR524335 J589871 JF589871 TB589871 ACX589871 AMT589871 AWP589871 BGL589871 BQH589871 CAD589871 CJZ589871 CTV589871 DDR589871 DNN589871 DXJ589871 EHF589871 ERB589871 FAX589871 FKT589871 FUP589871 GEL589871 GOH589871 GYD589871 HHZ589871 HRV589871 IBR589871 ILN589871 IVJ589871 JFF589871 JPB589871 JYX589871 KIT589871 KSP589871 LCL589871 LMH589871 LWD589871 MFZ589871 MPV589871 MZR589871 NJN589871 NTJ589871 ODF589871 ONB589871 OWX589871 PGT589871 PQP589871 QAL589871 QKH589871 QUD589871 RDZ589871 RNV589871 RXR589871 SHN589871 SRJ589871 TBF589871 TLB589871 TUX589871 UET589871 UOP589871 UYL589871 VIH589871 VSD589871 WBZ589871 WLV589871 WVR589871 J655407 JF655407 TB655407 ACX655407 AMT655407 AWP655407 BGL655407 BQH655407 CAD655407 CJZ655407 CTV655407 DDR655407 DNN655407 DXJ655407 EHF655407 ERB655407 FAX655407 FKT655407 FUP655407 GEL655407 GOH655407 GYD655407 HHZ655407 HRV655407 IBR655407 ILN655407 IVJ655407 JFF655407 JPB655407 JYX655407 KIT655407 KSP655407 LCL655407 LMH655407 LWD655407 MFZ655407 MPV655407 MZR655407 NJN655407 NTJ655407 ODF655407 ONB655407 OWX655407 PGT655407 PQP655407 QAL655407 QKH655407 QUD655407 RDZ655407 RNV655407 RXR655407 SHN655407 SRJ655407 TBF655407 TLB655407 TUX655407 UET655407 UOP655407 UYL655407 VIH655407 VSD655407 WBZ655407 WLV655407 WVR655407 J720943 JF720943 TB720943 ACX720943 AMT720943 AWP720943 BGL720943 BQH720943 CAD720943 CJZ720943 CTV720943 DDR720943 DNN720943 DXJ720943 EHF720943 ERB720943 FAX720943 FKT720943 FUP720943 GEL720943 GOH720943 GYD720943 HHZ720943 HRV720943 IBR720943 ILN720943 IVJ720943 JFF720943 JPB720943 JYX720943 KIT720943 KSP720943 LCL720943 LMH720943 LWD720943 MFZ720943 MPV720943 MZR720943 NJN720943 NTJ720943 ODF720943 ONB720943 OWX720943 PGT720943 PQP720943 QAL720943 QKH720943 QUD720943 RDZ720943 RNV720943 RXR720943 SHN720943 SRJ720943 TBF720943 TLB720943 TUX720943 UET720943 UOP720943 UYL720943 VIH720943 VSD720943 WBZ720943 WLV720943 WVR720943 J786479 JF786479 TB786479 ACX786479 AMT786479 AWP786479 BGL786479 BQH786479 CAD786479 CJZ786479 CTV786479 DDR786479 DNN786479 DXJ786479 EHF786479 ERB786479 FAX786479 FKT786479 FUP786479 GEL786479 GOH786479 GYD786479 HHZ786479 HRV786479 IBR786479 ILN786479 IVJ786479 JFF786479 JPB786479 JYX786479 KIT786479 KSP786479 LCL786479 LMH786479 LWD786479 MFZ786479 MPV786479 MZR786479 NJN786479 NTJ786479 ODF786479 ONB786479 OWX786479 PGT786479 PQP786479 QAL786479 QKH786479 QUD786479 RDZ786479 RNV786479 RXR786479 SHN786479 SRJ786479 TBF786479 TLB786479 TUX786479 UET786479 UOP786479 UYL786479 VIH786479 VSD786479 WBZ786479 WLV786479 WVR786479 J852015 JF852015 TB852015 ACX852015 AMT852015 AWP852015 BGL852015 BQH852015 CAD852015 CJZ852015 CTV852015 DDR852015 DNN852015 DXJ852015 EHF852015 ERB852015 FAX852015 FKT852015 FUP852015 GEL852015 GOH852015 GYD852015 HHZ852015 HRV852015 IBR852015 ILN852015 IVJ852015 JFF852015 JPB852015 JYX852015 KIT852015 KSP852015 LCL852015 LMH852015 LWD852015 MFZ852015 MPV852015 MZR852015 NJN852015 NTJ852015 ODF852015 ONB852015 OWX852015 PGT852015 PQP852015 QAL852015 QKH852015 QUD852015 RDZ852015 RNV852015 RXR852015 SHN852015 SRJ852015 TBF852015 TLB852015 TUX852015 UET852015 UOP852015 UYL852015 VIH852015 VSD852015 WBZ852015 WLV852015 WVR852015 J917551 JF917551 TB917551 ACX917551 AMT917551 AWP917551 BGL917551 BQH917551 CAD917551 CJZ917551 CTV917551 DDR917551 DNN917551 DXJ917551 EHF917551 ERB917551 FAX917551 FKT917551 FUP917551 GEL917551 GOH917551 GYD917551 HHZ917551 HRV917551 IBR917551 ILN917551 IVJ917551 JFF917551 JPB917551 JYX917551 KIT917551 KSP917551 LCL917551 LMH917551 LWD917551 MFZ917551 MPV917551 MZR917551 NJN917551 NTJ917551 ODF917551 ONB917551 OWX917551 PGT917551 PQP917551 QAL917551 QKH917551 QUD917551 RDZ917551 RNV917551 RXR917551 SHN917551 SRJ917551 TBF917551 TLB917551 TUX917551 UET917551 UOP917551 UYL917551 VIH917551 VSD917551 WBZ917551 WLV917551 WVR917551 J983087 JF983087 TB983087 ACX983087 AMT983087 AWP983087 BGL983087 BQH983087 CAD983087 CJZ983087 CTV983087 DDR983087 DNN983087 DXJ983087 EHF983087 ERB983087 FAX983087 FKT983087 FUP983087 GEL983087 GOH983087 GYD983087 HHZ983087 HRV983087 IBR983087 ILN983087 IVJ983087 JFF983087 JPB983087 JYX983087 KIT983087 KSP983087 LCL983087 LMH983087 LWD983087 MFZ983087 MPV983087 MZR983087 NJN983087 NTJ983087 ODF983087 ONB983087 OWX983087 PGT983087 PQP983087 QAL983087 QKH983087 QUD983087 RDZ983087 RNV983087 RXR983087 SHN983087 SRJ983087 TBF983087 TLB983087 TUX983087 UET983087 UOP983087 UYL983087 VIH983087 VSD983087 WBZ983087 WLV983087 WVR983087 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F65583 JB65583 SX65583 ACT65583 AMP65583 AWL65583 BGH65583 BQD65583 BZZ65583 CJV65583 CTR65583 DDN65583 DNJ65583 DXF65583 EHB65583 EQX65583 FAT65583 FKP65583 FUL65583 GEH65583 GOD65583 GXZ65583 HHV65583 HRR65583 IBN65583 ILJ65583 IVF65583 JFB65583 JOX65583 JYT65583 KIP65583 KSL65583 LCH65583 LMD65583 LVZ65583 MFV65583 MPR65583 MZN65583 NJJ65583 NTF65583 ODB65583 OMX65583 OWT65583 PGP65583 PQL65583 QAH65583 QKD65583 QTZ65583 RDV65583 RNR65583 RXN65583 SHJ65583 SRF65583 TBB65583 TKX65583 TUT65583 UEP65583 UOL65583 UYH65583 VID65583 VRZ65583 WBV65583 WLR65583 WVN65583 F131119 JB131119 SX131119 ACT131119 AMP131119 AWL131119 BGH131119 BQD131119 BZZ131119 CJV131119 CTR131119 DDN131119 DNJ131119 DXF131119 EHB131119 EQX131119 FAT131119 FKP131119 FUL131119 GEH131119 GOD131119 GXZ131119 HHV131119 HRR131119 IBN131119 ILJ131119 IVF131119 JFB131119 JOX131119 JYT131119 KIP131119 KSL131119 LCH131119 LMD131119 LVZ131119 MFV131119 MPR131119 MZN131119 NJJ131119 NTF131119 ODB131119 OMX131119 OWT131119 PGP131119 PQL131119 QAH131119 QKD131119 QTZ131119 RDV131119 RNR131119 RXN131119 SHJ131119 SRF131119 TBB131119 TKX131119 TUT131119 UEP131119 UOL131119 UYH131119 VID131119 VRZ131119 WBV131119 WLR131119 WVN131119 F196655 JB196655 SX196655 ACT196655 AMP196655 AWL196655 BGH196655 BQD196655 BZZ196655 CJV196655 CTR196655 DDN196655 DNJ196655 DXF196655 EHB196655 EQX196655 FAT196655 FKP196655 FUL196655 GEH196655 GOD196655 GXZ196655 HHV196655 HRR196655 IBN196655 ILJ196655 IVF196655 JFB196655 JOX196655 JYT196655 KIP196655 KSL196655 LCH196655 LMD196655 LVZ196655 MFV196655 MPR196655 MZN196655 NJJ196655 NTF196655 ODB196655 OMX196655 OWT196655 PGP196655 PQL196655 QAH196655 QKD196655 QTZ196655 RDV196655 RNR196655 RXN196655 SHJ196655 SRF196655 TBB196655 TKX196655 TUT196655 UEP196655 UOL196655 UYH196655 VID196655 VRZ196655 WBV196655 WLR196655 WVN196655 F262191 JB262191 SX262191 ACT262191 AMP262191 AWL262191 BGH262191 BQD262191 BZZ262191 CJV262191 CTR262191 DDN262191 DNJ262191 DXF262191 EHB262191 EQX262191 FAT262191 FKP262191 FUL262191 GEH262191 GOD262191 GXZ262191 HHV262191 HRR262191 IBN262191 ILJ262191 IVF262191 JFB262191 JOX262191 JYT262191 KIP262191 KSL262191 LCH262191 LMD262191 LVZ262191 MFV262191 MPR262191 MZN262191 NJJ262191 NTF262191 ODB262191 OMX262191 OWT262191 PGP262191 PQL262191 QAH262191 QKD262191 QTZ262191 RDV262191 RNR262191 RXN262191 SHJ262191 SRF262191 TBB262191 TKX262191 TUT262191 UEP262191 UOL262191 UYH262191 VID262191 VRZ262191 WBV262191 WLR262191 WVN262191 F327727 JB327727 SX327727 ACT327727 AMP327727 AWL327727 BGH327727 BQD327727 BZZ327727 CJV327727 CTR327727 DDN327727 DNJ327727 DXF327727 EHB327727 EQX327727 FAT327727 FKP327727 FUL327727 GEH327727 GOD327727 GXZ327727 HHV327727 HRR327727 IBN327727 ILJ327727 IVF327727 JFB327727 JOX327727 JYT327727 KIP327727 KSL327727 LCH327727 LMD327727 LVZ327727 MFV327727 MPR327727 MZN327727 NJJ327727 NTF327727 ODB327727 OMX327727 OWT327727 PGP327727 PQL327727 QAH327727 QKD327727 QTZ327727 RDV327727 RNR327727 RXN327727 SHJ327727 SRF327727 TBB327727 TKX327727 TUT327727 UEP327727 UOL327727 UYH327727 VID327727 VRZ327727 WBV327727 WLR327727 WVN327727 F393263 JB393263 SX393263 ACT393263 AMP393263 AWL393263 BGH393263 BQD393263 BZZ393263 CJV393263 CTR393263 DDN393263 DNJ393263 DXF393263 EHB393263 EQX393263 FAT393263 FKP393263 FUL393263 GEH393263 GOD393263 GXZ393263 HHV393263 HRR393263 IBN393263 ILJ393263 IVF393263 JFB393263 JOX393263 JYT393263 KIP393263 KSL393263 LCH393263 LMD393263 LVZ393263 MFV393263 MPR393263 MZN393263 NJJ393263 NTF393263 ODB393263 OMX393263 OWT393263 PGP393263 PQL393263 QAH393263 QKD393263 QTZ393263 RDV393263 RNR393263 RXN393263 SHJ393263 SRF393263 TBB393263 TKX393263 TUT393263 UEP393263 UOL393263 UYH393263 VID393263 VRZ393263 WBV393263 WLR393263 WVN393263 F458799 JB458799 SX458799 ACT458799 AMP458799 AWL458799 BGH458799 BQD458799 BZZ458799 CJV458799 CTR458799 DDN458799 DNJ458799 DXF458799 EHB458799 EQX458799 FAT458799 FKP458799 FUL458799 GEH458799 GOD458799 GXZ458799 HHV458799 HRR458799 IBN458799 ILJ458799 IVF458799 JFB458799 JOX458799 JYT458799 KIP458799 KSL458799 LCH458799 LMD458799 LVZ458799 MFV458799 MPR458799 MZN458799 NJJ458799 NTF458799 ODB458799 OMX458799 OWT458799 PGP458799 PQL458799 QAH458799 QKD458799 QTZ458799 RDV458799 RNR458799 RXN458799 SHJ458799 SRF458799 TBB458799 TKX458799 TUT458799 UEP458799 UOL458799 UYH458799 VID458799 VRZ458799 WBV458799 WLR458799 WVN458799 F524335 JB524335 SX524335 ACT524335 AMP524335 AWL524335 BGH524335 BQD524335 BZZ524335 CJV524335 CTR524335 DDN524335 DNJ524335 DXF524335 EHB524335 EQX524335 FAT524335 FKP524335 FUL524335 GEH524335 GOD524335 GXZ524335 HHV524335 HRR524335 IBN524335 ILJ524335 IVF524335 JFB524335 JOX524335 JYT524335 KIP524335 KSL524335 LCH524335 LMD524335 LVZ524335 MFV524335 MPR524335 MZN524335 NJJ524335 NTF524335 ODB524335 OMX524335 OWT524335 PGP524335 PQL524335 QAH524335 QKD524335 QTZ524335 RDV524335 RNR524335 RXN524335 SHJ524335 SRF524335 TBB524335 TKX524335 TUT524335 UEP524335 UOL524335 UYH524335 VID524335 VRZ524335 WBV524335 WLR524335 WVN524335 F589871 JB589871 SX589871 ACT589871 AMP589871 AWL589871 BGH589871 BQD589871 BZZ589871 CJV589871 CTR589871 DDN589871 DNJ589871 DXF589871 EHB589871 EQX589871 FAT589871 FKP589871 FUL589871 GEH589871 GOD589871 GXZ589871 HHV589871 HRR589871 IBN589871 ILJ589871 IVF589871 JFB589871 JOX589871 JYT589871 KIP589871 KSL589871 LCH589871 LMD589871 LVZ589871 MFV589871 MPR589871 MZN589871 NJJ589871 NTF589871 ODB589871 OMX589871 OWT589871 PGP589871 PQL589871 QAH589871 QKD589871 QTZ589871 RDV589871 RNR589871 RXN589871 SHJ589871 SRF589871 TBB589871 TKX589871 TUT589871 UEP589871 UOL589871 UYH589871 VID589871 VRZ589871 WBV589871 WLR589871 WVN589871 F655407 JB655407 SX655407 ACT655407 AMP655407 AWL655407 BGH655407 BQD655407 BZZ655407 CJV655407 CTR655407 DDN655407 DNJ655407 DXF655407 EHB655407 EQX655407 FAT655407 FKP655407 FUL655407 GEH655407 GOD655407 GXZ655407 HHV655407 HRR655407 IBN655407 ILJ655407 IVF655407 JFB655407 JOX655407 JYT655407 KIP655407 KSL655407 LCH655407 LMD655407 LVZ655407 MFV655407 MPR655407 MZN655407 NJJ655407 NTF655407 ODB655407 OMX655407 OWT655407 PGP655407 PQL655407 QAH655407 QKD655407 QTZ655407 RDV655407 RNR655407 RXN655407 SHJ655407 SRF655407 TBB655407 TKX655407 TUT655407 UEP655407 UOL655407 UYH655407 VID655407 VRZ655407 WBV655407 WLR655407 WVN655407 F720943 JB720943 SX720943 ACT720943 AMP720943 AWL720943 BGH720943 BQD720943 BZZ720943 CJV720943 CTR720943 DDN720943 DNJ720943 DXF720943 EHB720943 EQX720943 FAT720943 FKP720943 FUL720943 GEH720943 GOD720943 GXZ720943 HHV720943 HRR720943 IBN720943 ILJ720943 IVF720943 JFB720943 JOX720943 JYT720943 KIP720943 KSL720943 LCH720943 LMD720943 LVZ720943 MFV720943 MPR720943 MZN720943 NJJ720943 NTF720943 ODB720943 OMX720943 OWT720943 PGP720943 PQL720943 QAH720943 QKD720943 QTZ720943 RDV720943 RNR720943 RXN720943 SHJ720943 SRF720943 TBB720943 TKX720943 TUT720943 UEP720943 UOL720943 UYH720943 VID720943 VRZ720943 WBV720943 WLR720943 WVN720943 F786479 JB786479 SX786479 ACT786479 AMP786479 AWL786479 BGH786479 BQD786479 BZZ786479 CJV786479 CTR786479 DDN786479 DNJ786479 DXF786479 EHB786479 EQX786479 FAT786479 FKP786479 FUL786479 GEH786479 GOD786479 GXZ786479 HHV786479 HRR786479 IBN786479 ILJ786479 IVF786479 JFB786479 JOX786479 JYT786479 KIP786479 KSL786479 LCH786479 LMD786479 LVZ786479 MFV786479 MPR786479 MZN786479 NJJ786479 NTF786479 ODB786479 OMX786479 OWT786479 PGP786479 PQL786479 QAH786479 QKD786479 QTZ786479 RDV786479 RNR786479 RXN786479 SHJ786479 SRF786479 TBB786479 TKX786479 TUT786479 UEP786479 UOL786479 UYH786479 VID786479 VRZ786479 WBV786479 WLR786479 WVN786479 F852015 JB852015 SX852015 ACT852015 AMP852015 AWL852015 BGH852015 BQD852015 BZZ852015 CJV852015 CTR852015 DDN852015 DNJ852015 DXF852015 EHB852015 EQX852015 FAT852015 FKP852015 FUL852015 GEH852015 GOD852015 GXZ852015 HHV852015 HRR852015 IBN852015 ILJ852015 IVF852015 JFB852015 JOX852015 JYT852015 KIP852015 KSL852015 LCH852015 LMD852015 LVZ852015 MFV852015 MPR852015 MZN852015 NJJ852015 NTF852015 ODB852015 OMX852015 OWT852015 PGP852015 PQL852015 QAH852015 QKD852015 QTZ852015 RDV852015 RNR852015 RXN852015 SHJ852015 SRF852015 TBB852015 TKX852015 TUT852015 UEP852015 UOL852015 UYH852015 VID852015 VRZ852015 WBV852015 WLR852015 WVN852015 F917551 JB917551 SX917551 ACT917551 AMP917551 AWL917551 BGH917551 BQD917551 BZZ917551 CJV917551 CTR917551 DDN917551 DNJ917551 DXF917551 EHB917551 EQX917551 FAT917551 FKP917551 FUL917551 GEH917551 GOD917551 GXZ917551 HHV917551 HRR917551 IBN917551 ILJ917551 IVF917551 JFB917551 JOX917551 JYT917551 KIP917551 KSL917551 LCH917551 LMD917551 LVZ917551 MFV917551 MPR917551 MZN917551 NJJ917551 NTF917551 ODB917551 OMX917551 OWT917551 PGP917551 PQL917551 QAH917551 QKD917551 QTZ917551 RDV917551 RNR917551 RXN917551 SHJ917551 SRF917551 TBB917551 TKX917551 TUT917551 UEP917551 UOL917551 UYH917551 VID917551 VRZ917551 WBV917551 WLR917551 WVN917551 F983087 JB983087 SX983087 ACT983087 AMP983087 AWL983087 BGH983087 BQD983087 BZZ983087 CJV983087 CTR983087 DDN983087 DNJ983087 DXF983087 EHB983087 EQX983087 FAT983087 FKP983087 FUL983087 GEH983087 GOD983087 GXZ983087 HHV983087 HRR983087 IBN983087 ILJ983087 IVF983087 JFB983087 JOX983087 JYT983087 KIP983087 KSL983087 LCH983087 LMD983087 LVZ983087 MFV983087 MPR983087 MZN983087 NJJ983087 NTF983087 ODB983087 OMX983087 OWT983087 PGP983087 PQL983087 QAH983087 QKD983087 QTZ983087 RDV983087 RNR983087 RXN983087 SHJ983087 SRF983087 TBB983087 TKX983087 TUT983087 UEP983087 UOL983087 UYH983087 VID983087 VRZ983087 WBV983087 WLR983087 WVN983087 J49:J50 JF49:JF50 TB49:TB50 ACX49:ACX50 AMT49:AMT50 AWP49:AWP50 BGL49:BGL50 BQH49:BQH50 CAD49:CAD50 CJZ49:CJZ50 CTV49:CTV50 DDR49:DDR50 DNN49:DNN50 DXJ49:DXJ50 EHF49:EHF50 ERB49:ERB50 FAX49:FAX50 FKT49:FKT50 FUP49:FUP50 GEL49:GEL50 GOH49:GOH50 GYD49:GYD50 HHZ49:HHZ50 HRV49:HRV50 IBR49:IBR50 ILN49:ILN50 IVJ49:IVJ50 JFF49:JFF50 JPB49:JPB50 JYX49:JYX50 KIT49:KIT50 KSP49:KSP50 LCL49:LCL50 LMH49:LMH50 LWD49:LWD50 MFZ49:MFZ50 MPV49:MPV50 MZR49:MZR50 NJN49:NJN50 NTJ49:NTJ50 ODF49:ODF50 ONB49:ONB50 OWX49:OWX50 PGT49:PGT50 PQP49:PQP50 QAL49:QAL50 QKH49:QKH50 QUD49:QUD50 RDZ49:RDZ50 RNV49:RNV50 RXR49:RXR50 SHN49:SHN50 SRJ49:SRJ50 TBF49:TBF50 TLB49:TLB50 TUX49:TUX50 UET49:UET50 UOP49:UOP50 UYL49:UYL50 VIH49:VIH50 VSD49:VSD50 WBZ49:WBZ50 WLV49:WLV50 WVR49:WVR50 J65585:J65586 JF65585:JF65586 TB65585:TB65586 ACX65585:ACX65586 AMT65585:AMT65586 AWP65585:AWP65586 BGL65585:BGL65586 BQH65585:BQH65586 CAD65585:CAD65586 CJZ65585:CJZ65586 CTV65585:CTV65586 DDR65585:DDR65586 DNN65585:DNN65586 DXJ65585:DXJ65586 EHF65585:EHF65586 ERB65585:ERB65586 FAX65585:FAX65586 FKT65585:FKT65586 FUP65585:FUP65586 GEL65585:GEL65586 GOH65585:GOH65586 GYD65585:GYD65586 HHZ65585:HHZ65586 HRV65585:HRV65586 IBR65585:IBR65586 ILN65585:ILN65586 IVJ65585:IVJ65586 JFF65585:JFF65586 JPB65585:JPB65586 JYX65585:JYX65586 KIT65585:KIT65586 KSP65585:KSP65586 LCL65585:LCL65586 LMH65585:LMH65586 LWD65585:LWD65586 MFZ65585:MFZ65586 MPV65585:MPV65586 MZR65585:MZR65586 NJN65585:NJN65586 NTJ65585:NTJ65586 ODF65585:ODF65586 ONB65585:ONB65586 OWX65585:OWX65586 PGT65585:PGT65586 PQP65585:PQP65586 QAL65585:QAL65586 QKH65585:QKH65586 QUD65585:QUD65586 RDZ65585:RDZ65586 RNV65585:RNV65586 RXR65585:RXR65586 SHN65585:SHN65586 SRJ65585:SRJ65586 TBF65585:TBF65586 TLB65585:TLB65586 TUX65585:TUX65586 UET65585:UET65586 UOP65585:UOP65586 UYL65585:UYL65586 VIH65585:VIH65586 VSD65585:VSD65586 WBZ65585:WBZ65586 WLV65585:WLV65586 WVR65585:WVR65586 J131121:J131122 JF131121:JF131122 TB131121:TB131122 ACX131121:ACX131122 AMT131121:AMT131122 AWP131121:AWP131122 BGL131121:BGL131122 BQH131121:BQH131122 CAD131121:CAD131122 CJZ131121:CJZ131122 CTV131121:CTV131122 DDR131121:DDR131122 DNN131121:DNN131122 DXJ131121:DXJ131122 EHF131121:EHF131122 ERB131121:ERB131122 FAX131121:FAX131122 FKT131121:FKT131122 FUP131121:FUP131122 GEL131121:GEL131122 GOH131121:GOH131122 GYD131121:GYD131122 HHZ131121:HHZ131122 HRV131121:HRV131122 IBR131121:IBR131122 ILN131121:ILN131122 IVJ131121:IVJ131122 JFF131121:JFF131122 JPB131121:JPB131122 JYX131121:JYX131122 KIT131121:KIT131122 KSP131121:KSP131122 LCL131121:LCL131122 LMH131121:LMH131122 LWD131121:LWD131122 MFZ131121:MFZ131122 MPV131121:MPV131122 MZR131121:MZR131122 NJN131121:NJN131122 NTJ131121:NTJ131122 ODF131121:ODF131122 ONB131121:ONB131122 OWX131121:OWX131122 PGT131121:PGT131122 PQP131121:PQP131122 QAL131121:QAL131122 QKH131121:QKH131122 QUD131121:QUD131122 RDZ131121:RDZ131122 RNV131121:RNV131122 RXR131121:RXR131122 SHN131121:SHN131122 SRJ131121:SRJ131122 TBF131121:TBF131122 TLB131121:TLB131122 TUX131121:TUX131122 UET131121:UET131122 UOP131121:UOP131122 UYL131121:UYL131122 VIH131121:VIH131122 VSD131121:VSD131122 WBZ131121:WBZ131122 WLV131121:WLV131122 WVR131121:WVR131122 J196657:J196658 JF196657:JF196658 TB196657:TB196658 ACX196657:ACX196658 AMT196657:AMT196658 AWP196657:AWP196658 BGL196657:BGL196658 BQH196657:BQH196658 CAD196657:CAD196658 CJZ196657:CJZ196658 CTV196657:CTV196658 DDR196657:DDR196658 DNN196657:DNN196658 DXJ196657:DXJ196658 EHF196657:EHF196658 ERB196657:ERB196658 FAX196657:FAX196658 FKT196657:FKT196658 FUP196657:FUP196658 GEL196657:GEL196658 GOH196657:GOH196658 GYD196657:GYD196658 HHZ196657:HHZ196658 HRV196657:HRV196658 IBR196657:IBR196658 ILN196657:ILN196658 IVJ196657:IVJ196658 JFF196657:JFF196658 JPB196657:JPB196658 JYX196657:JYX196658 KIT196657:KIT196658 KSP196657:KSP196658 LCL196657:LCL196658 LMH196657:LMH196658 LWD196657:LWD196658 MFZ196657:MFZ196658 MPV196657:MPV196658 MZR196657:MZR196658 NJN196657:NJN196658 NTJ196657:NTJ196658 ODF196657:ODF196658 ONB196657:ONB196658 OWX196657:OWX196658 PGT196657:PGT196658 PQP196657:PQP196658 QAL196657:QAL196658 QKH196657:QKH196658 QUD196657:QUD196658 RDZ196657:RDZ196658 RNV196657:RNV196658 RXR196657:RXR196658 SHN196657:SHN196658 SRJ196657:SRJ196658 TBF196657:TBF196658 TLB196657:TLB196658 TUX196657:TUX196658 UET196657:UET196658 UOP196657:UOP196658 UYL196657:UYL196658 VIH196657:VIH196658 VSD196657:VSD196658 WBZ196657:WBZ196658 WLV196657:WLV196658 WVR196657:WVR196658 J262193:J262194 JF262193:JF262194 TB262193:TB262194 ACX262193:ACX262194 AMT262193:AMT262194 AWP262193:AWP262194 BGL262193:BGL262194 BQH262193:BQH262194 CAD262193:CAD262194 CJZ262193:CJZ262194 CTV262193:CTV262194 DDR262193:DDR262194 DNN262193:DNN262194 DXJ262193:DXJ262194 EHF262193:EHF262194 ERB262193:ERB262194 FAX262193:FAX262194 FKT262193:FKT262194 FUP262193:FUP262194 GEL262193:GEL262194 GOH262193:GOH262194 GYD262193:GYD262194 HHZ262193:HHZ262194 HRV262193:HRV262194 IBR262193:IBR262194 ILN262193:ILN262194 IVJ262193:IVJ262194 JFF262193:JFF262194 JPB262193:JPB262194 JYX262193:JYX262194 KIT262193:KIT262194 KSP262193:KSP262194 LCL262193:LCL262194 LMH262193:LMH262194 LWD262193:LWD262194 MFZ262193:MFZ262194 MPV262193:MPV262194 MZR262193:MZR262194 NJN262193:NJN262194 NTJ262193:NTJ262194 ODF262193:ODF262194 ONB262193:ONB262194 OWX262193:OWX262194 PGT262193:PGT262194 PQP262193:PQP262194 QAL262193:QAL262194 QKH262193:QKH262194 QUD262193:QUD262194 RDZ262193:RDZ262194 RNV262193:RNV262194 RXR262193:RXR262194 SHN262193:SHN262194 SRJ262193:SRJ262194 TBF262193:TBF262194 TLB262193:TLB262194 TUX262193:TUX262194 UET262193:UET262194 UOP262193:UOP262194 UYL262193:UYL262194 VIH262193:VIH262194 VSD262193:VSD262194 WBZ262193:WBZ262194 WLV262193:WLV262194 WVR262193:WVR262194 J327729:J327730 JF327729:JF327730 TB327729:TB327730 ACX327729:ACX327730 AMT327729:AMT327730 AWP327729:AWP327730 BGL327729:BGL327730 BQH327729:BQH327730 CAD327729:CAD327730 CJZ327729:CJZ327730 CTV327729:CTV327730 DDR327729:DDR327730 DNN327729:DNN327730 DXJ327729:DXJ327730 EHF327729:EHF327730 ERB327729:ERB327730 FAX327729:FAX327730 FKT327729:FKT327730 FUP327729:FUP327730 GEL327729:GEL327730 GOH327729:GOH327730 GYD327729:GYD327730 HHZ327729:HHZ327730 HRV327729:HRV327730 IBR327729:IBR327730 ILN327729:ILN327730 IVJ327729:IVJ327730 JFF327729:JFF327730 JPB327729:JPB327730 JYX327729:JYX327730 KIT327729:KIT327730 KSP327729:KSP327730 LCL327729:LCL327730 LMH327729:LMH327730 LWD327729:LWD327730 MFZ327729:MFZ327730 MPV327729:MPV327730 MZR327729:MZR327730 NJN327729:NJN327730 NTJ327729:NTJ327730 ODF327729:ODF327730 ONB327729:ONB327730 OWX327729:OWX327730 PGT327729:PGT327730 PQP327729:PQP327730 QAL327729:QAL327730 QKH327729:QKH327730 QUD327729:QUD327730 RDZ327729:RDZ327730 RNV327729:RNV327730 RXR327729:RXR327730 SHN327729:SHN327730 SRJ327729:SRJ327730 TBF327729:TBF327730 TLB327729:TLB327730 TUX327729:TUX327730 UET327729:UET327730 UOP327729:UOP327730 UYL327729:UYL327730 VIH327729:VIH327730 VSD327729:VSD327730 WBZ327729:WBZ327730 WLV327729:WLV327730 WVR327729:WVR327730 J393265:J393266 JF393265:JF393266 TB393265:TB393266 ACX393265:ACX393266 AMT393265:AMT393266 AWP393265:AWP393266 BGL393265:BGL393266 BQH393265:BQH393266 CAD393265:CAD393266 CJZ393265:CJZ393266 CTV393265:CTV393266 DDR393265:DDR393266 DNN393265:DNN393266 DXJ393265:DXJ393266 EHF393265:EHF393266 ERB393265:ERB393266 FAX393265:FAX393266 FKT393265:FKT393266 FUP393265:FUP393266 GEL393265:GEL393266 GOH393265:GOH393266 GYD393265:GYD393266 HHZ393265:HHZ393266 HRV393265:HRV393266 IBR393265:IBR393266 ILN393265:ILN393266 IVJ393265:IVJ393266 JFF393265:JFF393266 JPB393265:JPB393266 JYX393265:JYX393266 KIT393265:KIT393266 KSP393265:KSP393266 LCL393265:LCL393266 LMH393265:LMH393266 LWD393265:LWD393266 MFZ393265:MFZ393266 MPV393265:MPV393266 MZR393265:MZR393266 NJN393265:NJN393266 NTJ393265:NTJ393266 ODF393265:ODF393266 ONB393265:ONB393266 OWX393265:OWX393266 PGT393265:PGT393266 PQP393265:PQP393266 QAL393265:QAL393266 QKH393265:QKH393266 QUD393265:QUD393266 RDZ393265:RDZ393266 RNV393265:RNV393266 RXR393265:RXR393266 SHN393265:SHN393266 SRJ393265:SRJ393266 TBF393265:TBF393266 TLB393265:TLB393266 TUX393265:TUX393266 UET393265:UET393266 UOP393265:UOP393266 UYL393265:UYL393266 VIH393265:VIH393266 VSD393265:VSD393266 WBZ393265:WBZ393266 WLV393265:WLV393266 WVR393265:WVR393266 J458801:J458802 JF458801:JF458802 TB458801:TB458802 ACX458801:ACX458802 AMT458801:AMT458802 AWP458801:AWP458802 BGL458801:BGL458802 BQH458801:BQH458802 CAD458801:CAD458802 CJZ458801:CJZ458802 CTV458801:CTV458802 DDR458801:DDR458802 DNN458801:DNN458802 DXJ458801:DXJ458802 EHF458801:EHF458802 ERB458801:ERB458802 FAX458801:FAX458802 FKT458801:FKT458802 FUP458801:FUP458802 GEL458801:GEL458802 GOH458801:GOH458802 GYD458801:GYD458802 HHZ458801:HHZ458802 HRV458801:HRV458802 IBR458801:IBR458802 ILN458801:ILN458802 IVJ458801:IVJ458802 JFF458801:JFF458802 JPB458801:JPB458802 JYX458801:JYX458802 KIT458801:KIT458802 KSP458801:KSP458802 LCL458801:LCL458802 LMH458801:LMH458802 LWD458801:LWD458802 MFZ458801:MFZ458802 MPV458801:MPV458802 MZR458801:MZR458802 NJN458801:NJN458802 NTJ458801:NTJ458802 ODF458801:ODF458802 ONB458801:ONB458802 OWX458801:OWX458802 PGT458801:PGT458802 PQP458801:PQP458802 QAL458801:QAL458802 QKH458801:QKH458802 QUD458801:QUD458802 RDZ458801:RDZ458802 RNV458801:RNV458802 RXR458801:RXR458802 SHN458801:SHN458802 SRJ458801:SRJ458802 TBF458801:TBF458802 TLB458801:TLB458802 TUX458801:TUX458802 UET458801:UET458802 UOP458801:UOP458802 UYL458801:UYL458802 VIH458801:VIH458802 VSD458801:VSD458802 WBZ458801:WBZ458802 WLV458801:WLV458802 WVR458801:WVR458802 J524337:J524338 JF524337:JF524338 TB524337:TB524338 ACX524337:ACX524338 AMT524337:AMT524338 AWP524337:AWP524338 BGL524337:BGL524338 BQH524337:BQH524338 CAD524337:CAD524338 CJZ524337:CJZ524338 CTV524337:CTV524338 DDR524337:DDR524338 DNN524337:DNN524338 DXJ524337:DXJ524338 EHF524337:EHF524338 ERB524337:ERB524338 FAX524337:FAX524338 FKT524337:FKT524338 FUP524337:FUP524338 GEL524337:GEL524338 GOH524337:GOH524338 GYD524337:GYD524338 HHZ524337:HHZ524338 HRV524337:HRV524338 IBR524337:IBR524338 ILN524337:ILN524338 IVJ524337:IVJ524338 JFF524337:JFF524338 JPB524337:JPB524338 JYX524337:JYX524338 KIT524337:KIT524338 KSP524337:KSP524338 LCL524337:LCL524338 LMH524337:LMH524338 LWD524337:LWD524338 MFZ524337:MFZ524338 MPV524337:MPV524338 MZR524337:MZR524338 NJN524337:NJN524338 NTJ524337:NTJ524338 ODF524337:ODF524338 ONB524337:ONB524338 OWX524337:OWX524338 PGT524337:PGT524338 PQP524337:PQP524338 QAL524337:QAL524338 QKH524337:QKH524338 QUD524337:QUD524338 RDZ524337:RDZ524338 RNV524337:RNV524338 RXR524337:RXR524338 SHN524337:SHN524338 SRJ524337:SRJ524338 TBF524337:TBF524338 TLB524337:TLB524338 TUX524337:TUX524338 UET524337:UET524338 UOP524337:UOP524338 UYL524337:UYL524338 VIH524337:VIH524338 VSD524337:VSD524338 WBZ524337:WBZ524338 WLV524337:WLV524338 WVR524337:WVR524338 J589873:J589874 JF589873:JF589874 TB589873:TB589874 ACX589873:ACX589874 AMT589873:AMT589874 AWP589873:AWP589874 BGL589873:BGL589874 BQH589873:BQH589874 CAD589873:CAD589874 CJZ589873:CJZ589874 CTV589873:CTV589874 DDR589873:DDR589874 DNN589873:DNN589874 DXJ589873:DXJ589874 EHF589873:EHF589874 ERB589873:ERB589874 FAX589873:FAX589874 FKT589873:FKT589874 FUP589873:FUP589874 GEL589873:GEL589874 GOH589873:GOH589874 GYD589873:GYD589874 HHZ589873:HHZ589874 HRV589873:HRV589874 IBR589873:IBR589874 ILN589873:ILN589874 IVJ589873:IVJ589874 JFF589873:JFF589874 JPB589873:JPB589874 JYX589873:JYX589874 KIT589873:KIT589874 KSP589873:KSP589874 LCL589873:LCL589874 LMH589873:LMH589874 LWD589873:LWD589874 MFZ589873:MFZ589874 MPV589873:MPV589874 MZR589873:MZR589874 NJN589873:NJN589874 NTJ589873:NTJ589874 ODF589873:ODF589874 ONB589873:ONB589874 OWX589873:OWX589874 PGT589873:PGT589874 PQP589873:PQP589874 QAL589873:QAL589874 QKH589873:QKH589874 QUD589873:QUD589874 RDZ589873:RDZ589874 RNV589873:RNV589874 RXR589873:RXR589874 SHN589873:SHN589874 SRJ589873:SRJ589874 TBF589873:TBF589874 TLB589873:TLB589874 TUX589873:TUX589874 UET589873:UET589874 UOP589873:UOP589874 UYL589873:UYL589874 VIH589873:VIH589874 VSD589873:VSD589874 WBZ589873:WBZ589874 WLV589873:WLV589874 WVR589873:WVR589874 J655409:J655410 JF655409:JF655410 TB655409:TB655410 ACX655409:ACX655410 AMT655409:AMT655410 AWP655409:AWP655410 BGL655409:BGL655410 BQH655409:BQH655410 CAD655409:CAD655410 CJZ655409:CJZ655410 CTV655409:CTV655410 DDR655409:DDR655410 DNN655409:DNN655410 DXJ655409:DXJ655410 EHF655409:EHF655410 ERB655409:ERB655410 FAX655409:FAX655410 FKT655409:FKT655410 FUP655409:FUP655410 GEL655409:GEL655410 GOH655409:GOH655410 GYD655409:GYD655410 HHZ655409:HHZ655410 HRV655409:HRV655410 IBR655409:IBR655410 ILN655409:ILN655410 IVJ655409:IVJ655410 JFF655409:JFF655410 JPB655409:JPB655410 JYX655409:JYX655410 KIT655409:KIT655410 KSP655409:KSP655410 LCL655409:LCL655410 LMH655409:LMH655410 LWD655409:LWD655410 MFZ655409:MFZ655410 MPV655409:MPV655410 MZR655409:MZR655410 NJN655409:NJN655410 NTJ655409:NTJ655410 ODF655409:ODF655410 ONB655409:ONB655410 OWX655409:OWX655410 PGT655409:PGT655410 PQP655409:PQP655410 QAL655409:QAL655410 QKH655409:QKH655410 QUD655409:QUD655410 RDZ655409:RDZ655410 RNV655409:RNV655410 RXR655409:RXR655410 SHN655409:SHN655410 SRJ655409:SRJ655410 TBF655409:TBF655410 TLB655409:TLB655410 TUX655409:TUX655410 UET655409:UET655410 UOP655409:UOP655410 UYL655409:UYL655410 VIH655409:VIH655410 VSD655409:VSD655410 WBZ655409:WBZ655410 WLV655409:WLV655410 WVR655409:WVR655410 J720945:J720946 JF720945:JF720946 TB720945:TB720946 ACX720945:ACX720946 AMT720945:AMT720946 AWP720945:AWP720946 BGL720945:BGL720946 BQH720945:BQH720946 CAD720945:CAD720946 CJZ720945:CJZ720946 CTV720945:CTV720946 DDR720945:DDR720946 DNN720945:DNN720946 DXJ720945:DXJ720946 EHF720945:EHF720946 ERB720945:ERB720946 FAX720945:FAX720946 FKT720945:FKT720946 FUP720945:FUP720946 GEL720945:GEL720946 GOH720945:GOH720946 GYD720945:GYD720946 HHZ720945:HHZ720946 HRV720945:HRV720946 IBR720945:IBR720946 ILN720945:ILN720946 IVJ720945:IVJ720946 JFF720945:JFF720946 JPB720945:JPB720946 JYX720945:JYX720946 KIT720945:KIT720946 KSP720945:KSP720946 LCL720945:LCL720946 LMH720945:LMH720946 LWD720945:LWD720946 MFZ720945:MFZ720946 MPV720945:MPV720946 MZR720945:MZR720946 NJN720945:NJN720946 NTJ720945:NTJ720946 ODF720945:ODF720946 ONB720945:ONB720946 OWX720945:OWX720946 PGT720945:PGT720946 PQP720945:PQP720946 QAL720945:QAL720946 QKH720945:QKH720946 QUD720945:QUD720946 RDZ720945:RDZ720946 RNV720945:RNV720946 RXR720945:RXR720946 SHN720945:SHN720946 SRJ720945:SRJ720946 TBF720945:TBF720946 TLB720945:TLB720946 TUX720945:TUX720946 UET720945:UET720946 UOP720945:UOP720946 UYL720945:UYL720946 VIH720945:VIH720946 VSD720945:VSD720946 WBZ720945:WBZ720946 WLV720945:WLV720946 WVR720945:WVR720946 J786481:J786482 JF786481:JF786482 TB786481:TB786482 ACX786481:ACX786482 AMT786481:AMT786482 AWP786481:AWP786482 BGL786481:BGL786482 BQH786481:BQH786482 CAD786481:CAD786482 CJZ786481:CJZ786482 CTV786481:CTV786482 DDR786481:DDR786482 DNN786481:DNN786482 DXJ786481:DXJ786482 EHF786481:EHF786482 ERB786481:ERB786482 FAX786481:FAX786482 FKT786481:FKT786482 FUP786481:FUP786482 GEL786481:GEL786482 GOH786481:GOH786482 GYD786481:GYD786482 HHZ786481:HHZ786482 HRV786481:HRV786482 IBR786481:IBR786482 ILN786481:ILN786482 IVJ786481:IVJ786482 JFF786481:JFF786482 JPB786481:JPB786482 JYX786481:JYX786482 KIT786481:KIT786482 KSP786481:KSP786482 LCL786481:LCL786482 LMH786481:LMH786482 LWD786481:LWD786482 MFZ786481:MFZ786482 MPV786481:MPV786482 MZR786481:MZR786482 NJN786481:NJN786482 NTJ786481:NTJ786482 ODF786481:ODF786482 ONB786481:ONB786482 OWX786481:OWX786482 PGT786481:PGT786482 PQP786481:PQP786482 QAL786481:QAL786482 QKH786481:QKH786482 QUD786481:QUD786482 RDZ786481:RDZ786482 RNV786481:RNV786482 RXR786481:RXR786482 SHN786481:SHN786482 SRJ786481:SRJ786482 TBF786481:TBF786482 TLB786481:TLB786482 TUX786481:TUX786482 UET786481:UET786482 UOP786481:UOP786482 UYL786481:UYL786482 VIH786481:VIH786482 VSD786481:VSD786482 WBZ786481:WBZ786482 WLV786481:WLV786482 WVR786481:WVR786482 J852017:J852018 JF852017:JF852018 TB852017:TB852018 ACX852017:ACX852018 AMT852017:AMT852018 AWP852017:AWP852018 BGL852017:BGL852018 BQH852017:BQH852018 CAD852017:CAD852018 CJZ852017:CJZ852018 CTV852017:CTV852018 DDR852017:DDR852018 DNN852017:DNN852018 DXJ852017:DXJ852018 EHF852017:EHF852018 ERB852017:ERB852018 FAX852017:FAX852018 FKT852017:FKT852018 FUP852017:FUP852018 GEL852017:GEL852018 GOH852017:GOH852018 GYD852017:GYD852018 HHZ852017:HHZ852018 HRV852017:HRV852018 IBR852017:IBR852018 ILN852017:ILN852018 IVJ852017:IVJ852018 JFF852017:JFF852018 JPB852017:JPB852018 JYX852017:JYX852018 KIT852017:KIT852018 KSP852017:KSP852018 LCL852017:LCL852018 LMH852017:LMH852018 LWD852017:LWD852018 MFZ852017:MFZ852018 MPV852017:MPV852018 MZR852017:MZR852018 NJN852017:NJN852018 NTJ852017:NTJ852018 ODF852017:ODF852018 ONB852017:ONB852018 OWX852017:OWX852018 PGT852017:PGT852018 PQP852017:PQP852018 QAL852017:QAL852018 QKH852017:QKH852018 QUD852017:QUD852018 RDZ852017:RDZ852018 RNV852017:RNV852018 RXR852017:RXR852018 SHN852017:SHN852018 SRJ852017:SRJ852018 TBF852017:TBF852018 TLB852017:TLB852018 TUX852017:TUX852018 UET852017:UET852018 UOP852017:UOP852018 UYL852017:UYL852018 VIH852017:VIH852018 VSD852017:VSD852018 WBZ852017:WBZ852018 WLV852017:WLV852018 WVR852017:WVR852018 J917553:J917554 JF917553:JF917554 TB917553:TB917554 ACX917553:ACX917554 AMT917553:AMT917554 AWP917553:AWP917554 BGL917553:BGL917554 BQH917553:BQH917554 CAD917553:CAD917554 CJZ917553:CJZ917554 CTV917553:CTV917554 DDR917553:DDR917554 DNN917553:DNN917554 DXJ917553:DXJ917554 EHF917553:EHF917554 ERB917553:ERB917554 FAX917553:FAX917554 FKT917553:FKT917554 FUP917553:FUP917554 GEL917553:GEL917554 GOH917553:GOH917554 GYD917553:GYD917554 HHZ917553:HHZ917554 HRV917553:HRV917554 IBR917553:IBR917554 ILN917553:ILN917554 IVJ917553:IVJ917554 JFF917553:JFF917554 JPB917553:JPB917554 JYX917553:JYX917554 KIT917553:KIT917554 KSP917553:KSP917554 LCL917553:LCL917554 LMH917553:LMH917554 LWD917553:LWD917554 MFZ917553:MFZ917554 MPV917553:MPV917554 MZR917553:MZR917554 NJN917553:NJN917554 NTJ917553:NTJ917554 ODF917553:ODF917554 ONB917553:ONB917554 OWX917553:OWX917554 PGT917553:PGT917554 PQP917553:PQP917554 QAL917553:QAL917554 QKH917553:QKH917554 QUD917553:QUD917554 RDZ917553:RDZ917554 RNV917553:RNV917554 RXR917553:RXR917554 SHN917553:SHN917554 SRJ917553:SRJ917554 TBF917553:TBF917554 TLB917553:TLB917554 TUX917553:TUX917554 UET917553:UET917554 UOP917553:UOP917554 UYL917553:UYL917554 VIH917553:VIH917554 VSD917553:VSD917554 WBZ917553:WBZ917554 WLV917553:WLV917554 WVR917553:WVR917554 J983089:J983090 JF983089:JF983090 TB983089:TB983090 ACX983089:ACX983090 AMT983089:AMT983090 AWP983089:AWP983090 BGL983089:BGL983090 BQH983089:BQH983090 CAD983089:CAD983090 CJZ983089:CJZ983090 CTV983089:CTV983090 DDR983089:DDR983090 DNN983089:DNN983090 DXJ983089:DXJ983090 EHF983089:EHF983090 ERB983089:ERB983090 FAX983089:FAX983090 FKT983089:FKT983090 FUP983089:FUP983090 GEL983089:GEL983090 GOH983089:GOH983090 GYD983089:GYD983090 HHZ983089:HHZ983090 HRV983089:HRV983090 IBR983089:IBR983090 ILN983089:ILN983090 IVJ983089:IVJ983090 JFF983089:JFF983090 JPB983089:JPB983090 JYX983089:JYX983090 KIT983089:KIT983090 KSP983089:KSP983090 LCL983089:LCL983090 LMH983089:LMH983090 LWD983089:LWD983090 MFZ983089:MFZ983090 MPV983089:MPV983090 MZR983089:MZR983090 NJN983089:NJN983090 NTJ983089:NTJ983090 ODF983089:ODF983090 ONB983089:ONB983090 OWX983089:OWX983090 PGT983089:PGT983090 PQP983089:PQP983090 QAL983089:QAL983090 QKH983089:QKH983090 QUD983089:QUD983090 RDZ983089:RDZ983090 RNV983089:RNV983090 RXR983089:RXR983090 SHN983089:SHN983090 SRJ983089:SRJ983090 TBF983089:TBF983090 TLB983089:TLB983090 TUX983089:TUX983090 UET983089:UET983090 UOP983089:UOP983090 UYL983089:UYL983090 VIH983089:VIH983090 VSD983089:VSD983090 WBZ983089:WBZ983090 WLV983089:WLV983090 WVR983089:WVR983090 R34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R65570 JN65570 TJ65570 ADF65570 ANB65570 AWX65570 BGT65570 BQP65570 CAL65570 CKH65570 CUD65570 DDZ65570 DNV65570 DXR65570 EHN65570 ERJ65570 FBF65570 FLB65570 FUX65570 GET65570 GOP65570 GYL65570 HIH65570 HSD65570 IBZ65570 ILV65570 IVR65570 JFN65570 JPJ65570 JZF65570 KJB65570 KSX65570 LCT65570 LMP65570 LWL65570 MGH65570 MQD65570 MZZ65570 NJV65570 NTR65570 ODN65570 ONJ65570 OXF65570 PHB65570 PQX65570 QAT65570 QKP65570 QUL65570 REH65570 ROD65570 RXZ65570 SHV65570 SRR65570 TBN65570 TLJ65570 TVF65570 UFB65570 UOX65570 UYT65570 VIP65570 VSL65570 WCH65570 WMD65570 WVZ65570 R131106 JN131106 TJ131106 ADF131106 ANB131106 AWX131106 BGT131106 BQP131106 CAL131106 CKH131106 CUD131106 DDZ131106 DNV131106 DXR131106 EHN131106 ERJ131106 FBF131106 FLB131106 FUX131106 GET131106 GOP131106 GYL131106 HIH131106 HSD131106 IBZ131106 ILV131106 IVR131106 JFN131106 JPJ131106 JZF131106 KJB131106 KSX131106 LCT131106 LMP131106 LWL131106 MGH131106 MQD131106 MZZ131106 NJV131106 NTR131106 ODN131106 ONJ131106 OXF131106 PHB131106 PQX131106 QAT131106 QKP131106 QUL131106 REH131106 ROD131106 RXZ131106 SHV131106 SRR131106 TBN131106 TLJ131106 TVF131106 UFB131106 UOX131106 UYT131106 VIP131106 VSL131106 WCH131106 WMD131106 WVZ131106 R196642 JN196642 TJ196642 ADF196642 ANB196642 AWX196642 BGT196642 BQP196642 CAL196642 CKH196642 CUD196642 DDZ196642 DNV196642 DXR196642 EHN196642 ERJ196642 FBF196642 FLB196642 FUX196642 GET196642 GOP196642 GYL196642 HIH196642 HSD196642 IBZ196642 ILV196642 IVR196642 JFN196642 JPJ196642 JZF196642 KJB196642 KSX196642 LCT196642 LMP196642 LWL196642 MGH196642 MQD196642 MZZ196642 NJV196642 NTR196642 ODN196642 ONJ196642 OXF196642 PHB196642 PQX196642 QAT196642 QKP196642 QUL196642 REH196642 ROD196642 RXZ196642 SHV196642 SRR196642 TBN196642 TLJ196642 TVF196642 UFB196642 UOX196642 UYT196642 VIP196642 VSL196642 WCH196642 WMD196642 WVZ196642 R262178 JN262178 TJ262178 ADF262178 ANB262178 AWX262178 BGT262178 BQP262178 CAL262178 CKH262178 CUD262178 DDZ262178 DNV262178 DXR262178 EHN262178 ERJ262178 FBF262178 FLB262178 FUX262178 GET262178 GOP262178 GYL262178 HIH262178 HSD262178 IBZ262178 ILV262178 IVR262178 JFN262178 JPJ262178 JZF262178 KJB262178 KSX262178 LCT262178 LMP262178 LWL262178 MGH262178 MQD262178 MZZ262178 NJV262178 NTR262178 ODN262178 ONJ262178 OXF262178 PHB262178 PQX262178 QAT262178 QKP262178 QUL262178 REH262178 ROD262178 RXZ262178 SHV262178 SRR262178 TBN262178 TLJ262178 TVF262178 UFB262178 UOX262178 UYT262178 VIP262178 VSL262178 WCH262178 WMD262178 WVZ262178 R327714 JN327714 TJ327714 ADF327714 ANB327714 AWX327714 BGT327714 BQP327714 CAL327714 CKH327714 CUD327714 DDZ327714 DNV327714 DXR327714 EHN327714 ERJ327714 FBF327714 FLB327714 FUX327714 GET327714 GOP327714 GYL327714 HIH327714 HSD327714 IBZ327714 ILV327714 IVR327714 JFN327714 JPJ327714 JZF327714 KJB327714 KSX327714 LCT327714 LMP327714 LWL327714 MGH327714 MQD327714 MZZ327714 NJV327714 NTR327714 ODN327714 ONJ327714 OXF327714 PHB327714 PQX327714 QAT327714 QKP327714 QUL327714 REH327714 ROD327714 RXZ327714 SHV327714 SRR327714 TBN327714 TLJ327714 TVF327714 UFB327714 UOX327714 UYT327714 VIP327714 VSL327714 WCH327714 WMD327714 WVZ327714 R393250 JN393250 TJ393250 ADF393250 ANB393250 AWX393250 BGT393250 BQP393250 CAL393250 CKH393250 CUD393250 DDZ393250 DNV393250 DXR393250 EHN393250 ERJ393250 FBF393250 FLB393250 FUX393250 GET393250 GOP393250 GYL393250 HIH393250 HSD393250 IBZ393250 ILV393250 IVR393250 JFN393250 JPJ393250 JZF393250 KJB393250 KSX393250 LCT393250 LMP393250 LWL393250 MGH393250 MQD393250 MZZ393250 NJV393250 NTR393250 ODN393250 ONJ393250 OXF393250 PHB393250 PQX393250 QAT393250 QKP393250 QUL393250 REH393250 ROD393250 RXZ393250 SHV393250 SRR393250 TBN393250 TLJ393250 TVF393250 UFB393250 UOX393250 UYT393250 VIP393250 VSL393250 WCH393250 WMD393250 WVZ393250 R458786 JN458786 TJ458786 ADF458786 ANB458786 AWX458786 BGT458786 BQP458786 CAL458786 CKH458786 CUD458786 DDZ458786 DNV458786 DXR458786 EHN458786 ERJ458786 FBF458786 FLB458786 FUX458786 GET458786 GOP458786 GYL458786 HIH458786 HSD458786 IBZ458786 ILV458786 IVR458786 JFN458786 JPJ458786 JZF458786 KJB458786 KSX458786 LCT458786 LMP458786 LWL458786 MGH458786 MQD458786 MZZ458786 NJV458786 NTR458786 ODN458786 ONJ458786 OXF458786 PHB458786 PQX458786 QAT458786 QKP458786 QUL458786 REH458786 ROD458786 RXZ458786 SHV458786 SRR458786 TBN458786 TLJ458786 TVF458786 UFB458786 UOX458786 UYT458786 VIP458786 VSL458786 WCH458786 WMD458786 WVZ458786 R524322 JN524322 TJ524322 ADF524322 ANB524322 AWX524322 BGT524322 BQP524322 CAL524322 CKH524322 CUD524322 DDZ524322 DNV524322 DXR524322 EHN524322 ERJ524322 FBF524322 FLB524322 FUX524322 GET524322 GOP524322 GYL524322 HIH524322 HSD524322 IBZ524322 ILV524322 IVR524322 JFN524322 JPJ524322 JZF524322 KJB524322 KSX524322 LCT524322 LMP524322 LWL524322 MGH524322 MQD524322 MZZ524322 NJV524322 NTR524322 ODN524322 ONJ524322 OXF524322 PHB524322 PQX524322 QAT524322 QKP524322 QUL524322 REH524322 ROD524322 RXZ524322 SHV524322 SRR524322 TBN524322 TLJ524322 TVF524322 UFB524322 UOX524322 UYT524322 VIP524322 VSL524322 WCH524322 WMD524322 WVZ524322 R589858 JN589858 TJ589858 ADF589858 ANB589858 AWX589858 BGT589858 BQP589858 CAL589858 CKH589858 CUD589858 DDZ589858 DNV589858 DXR589858 EHN589858 ERJ589858 FBF589858 FLB589858 FUX589858 GET589858 GOP589858 GYL589858 HIH589858 HSD589858 IBZ589858 ILV589858 IVR589858 JFN589858 JPJ589858 JZF589858 KJB589858 KSX589858 LCT589858 LMP589858 LWL589858 MGH589858 MQD589858 MZZ589858 NJV589858 NTR589858 ODN589858 ONJ589858 OXF589858 PHB589858 PQX589858 QAT589858 QKP589858 QUL589858 REH589858 ROD589858 RXZ589858 SHV589858 SRR589858 TBN589858 TLJ589858 TVF589858 UFB589858 UOX589858 UYT589858 VIP589858 VSL589858 WCH589858 WMD589858 WVZ589858 R655394 JN655394 TJ655394 ADF655394 ANB655394 AWX655394 BGT655394 BQP655394 CAL655394 CKH655394 CUD655394 DDZ655394 DNV655394 DXR655394 EHN655394 ERJ655394 FBF655394 FLB655394 FUX655394 GET655394 GOP655394 GYL655394 HIH655394 HSD655394 IBZ655394 ILV655394 IVR655394 JFN655394 JPJ655394 JZF655394 KJB655394 KSX655394 LCT655394 LMP655394 LWL655394 MGH655394 MQD655394 MZZ655394 NJV655394 NTR655394 ODN655394 ONJ655394 OXF655394 PHB655394 PQX655394 QAT655394 QKP655394 QUL655394 REH655394 ROD655394 RXZ655394 SHV655394 SRR655394 TBN655394 TLJ655394 TVF655394 UFB655394 UOX655394 UYT655394 VIP655394 VSL655394 WCH655394 WMD655394 WVZ655394 R720930 JN720930 TJ720930 ADF720930 ANB720930 AWX720930 BGT720930 BQP720930 CAL720930 CKH720930 CUD720930 DDZ720930 DNV720930 DXR720930 EHN720930 ERJ720930 FBF720930 FLB720930 FUX720930 GET720930 GOP720930 GYL720930 HIH720930 HSD720930 IBZ720930 ILV720930 IVR720930 JFN720930 JPJ720930 JZF720930 KJB720930 KSX720930 LCT720930 LMP720930 LWL720930 MGH720930 MQD720930 MZZ720930 NJV720930 NTR720930 ODN720930 ONJ720930 OXF720930 PHB720930 PQX720930 QAT720930 QKP720930 QUL720930 REH720930 ROD720930 RXZ720930 SHV720930 SRR720930 TBN720930 TLJ720930 TVF720930 UFB720930 UOX720930 UYT720930 VIP720930 VSL720930 WCH720930 WMD720930 WVZ720930 R786466 JN786466 TJ786466 ADF786466 ANB786466 AWX786466 BGT786466 BQP786466 CAL786466 CKH786466 CUD786466 DDZ786466 DNV786466 DXR786466 EHN786466 ERJ786466 FBF786466 FLB786466 FUX786466 GET786466 GOP786466 GYL786466 HIH786466 HSD786466 IBZ786466 ILV786466 IVR786466 JFN786466 JPJ786466 JZF786466 KJB786466 KSX786466 LCT786466 LMP786466 LWL786466 MGH786466 MQD786466 MZZ786466 NJV786466 NTR786466 ODN786466 ONJ786466 OXF786466 PHB786466 PQX786466 QAT786466 QKP786466 QUL786466 REH786466 ROD786466 RXZ786466 SHV786466 SRR786466 TBN786466 TLJ786466 TVF786466 UFB786466 UOX786466 UYT786466 VIP786466 VSL786466 WCH786466 WMD786466 WVZ786466 R852002 JN852002 TJ852002 ADF852002 ANB852002 AWX852002 BGT852002 BQP852002 CAL852002 CKH852002 CUD852002 DDZ852002 DNV852002 DXR852002 EHN852002 ERJ852002 FBF852002 FLB852002 FUX852002 GET852002 GOP852002 GYL852002 HIH852002 HSD852002 IBZ852002 ILV852002 IVR852002 JFN852002 JPJ852002 JZF852002 KJB852002 KSX852002 LCT852002 LMP852002 LWL852002 MGH852002 MQD852002 MZZ852002 NJV852002 NTR852002 ODN852002 ONJ852002 OXF852002 PHB852002 PQX852002 QAT852002 QKP852002 QUL852002 REH852002 ROD852002 RXZ852002 SHV852002 SRR852002 TBN852002 TLJ852002 TVF852002 UFB852002 UOX852002 UYT852002 VIP852002 VSL852002 WCH852002 WMD852002 WVZ852002 R917538 JN917538 TJ917538 ADF917538 ANB917538 AWX917538 BGT917538 BQP917538 CAL917538 CKH917538 CUD917538 DDZ917538 DNV917538 DXR917538 EHN917538 ERJ917538 FBF917538 FLB917538 FUX917538 GET917538 GOP917538 GYL917538 HIH917538 HSD917538 IBZ917538 ILV917538 IVR917538 JFN917538 JPJ917538 JZF917538 KJB917538 KSX917538 LCT917538 LMP917538 LWL917538 MGH917538 MQD917538 MZZ917538 NJV917538 NTR917538 ODN917538 ONJ917538 OXF917538 PHB917538 PQX917538 QAT917538 QKP917538 QUL917538 REH917538 ROD917538 RXZ917538 SHV917538 SRR917538 TBN917538 TLJ917538 TVF917538 UFB917538 UOX917538 UYT917538 VIP917538 VSL917538 WCH917538 WMD917538 WVZ917538 R983074 JN983074 TJ983074 ADF983074 ANB983074 AWX983074 BGT983074 BQP983074 CAL983074 CKH983074 CUD983074 DDZ983074 DNV983074 DXR983074 EHN983074 ERJ983074 FBF983074 FLB983074 FUX983074 GET983074 GOP983074 GYL983074 HIH983074 HSD983074 IBZ983074 ILV983074 IVR983074 JFN983074 JPJ983074 JZF983074 KJB983074 KSX983074 LCT983074 LMP983074 LWL983074 MGH983074 MQD983074 MZZ983074 NJV983074 NTR983074 ODN983074 ONJ983074 OXF983074 PHB983074 PQX983074 QAT983074 QKP983074 QUL983074 REH983074 ROD983074 RXZ983074 SHV983074 SRR983074 TBN983074 TLJ983074 TVF983074 UFB983074 UOX983074 UYT983074 VIP983074 VSL983074 WCH983074 WMD983074 WVZ983074 T33 JP33 TL33 ADH33 AND33 AWZ33 BGV33 BQR33 CAN33 CKJ33 CUF33 DEB33 DNX33 DXT33 EHP33 ERL33 FBH33 FLD33 FUZ33 GEV33 GOR33 GYN33 HIJ33 HSF33 ICB33 ILX33 IVT33 JFP33 JPL33 JZH33 KJD33 KSZ33 LCV33 LMR33 LWN33 MGJ33 MQF33 NAB33 NJX33 NTT33 ODP33 ONL33 OXH33 PHD33 PQZ33 QAV33 QKR33 QUN33 REJ33 ROF33 RYB33 SHX33 SRT33 TBP33 TLL33 TVH33 UFD33 UOZ33 UYV33 VIR33 VSN33 WCJ33 WMF33 WWB33 T65569 JP65569 TL65569 ADH65569 AND65569 AWZ65569 BGV65569 BQR65569 CAN65569 CKJ65569 CUF65569 DEB65569 DNX65569 DXT65569 EHP65569 ERL65569 FBH65569 FLD65569 FUZ65569 GEV65569 GOR65569 GYN65569 HIJ65569 HSF65569 ICB65569 ILX65569 IVT65569 JFP65569 JPL65569 JZH65569 KJD65569 KSZ65569 LCV65569 LMR65569 LWN65569 MGJ65569 MQF65569 NAB65569 NJX65569 NTT65569 ODP65569 ONL65569 OXH65569 PHD65569 PQZ65569 QAV65569 QKR65569 QUN65569 REJ65569 ROF65569 RYB65569 SHX65569 SRT65569 TBP65569 TLL65569 TVH65569 UFD65569 UOZ65569 UYV65569 VIR65569 VSN65569 WCJ65569 WMF65569 WWB65569 T131105 JP131105 TL131105 ADH131105 AND131105 AWZ131105 BGV131105 BQR131105 CAN131105 CKJ131105 CUF131105 DEB131105 DNX131105 DXT131105 EHP131105 ERL131105 FBH131105 FLD131105 FUZ131105 GEV131105 GOR131105 GYN131105 HIJ131105 HSF131105 ICB131105 ILX131105 IVT131105 JFP131105 JPL131105 JZH131105 KJD131105 KSZ131105 LCV131105 LMR131105 LWN131105 MGJ131105 MQF131105 NAB131105 NJX131105 NTT131105 ODP131105 ONL131105 OXH131105 PHD131105 PQZ131105 QAV131105 QKR131105 QUN131105 REJ131105 ROF131105 RYB131105 SHX131105 SRT131105 TBP131105 TLL131105 TVH131105 UFD131105 UOZ131105 UYV131105 VIR131105 VSN131105 WCJ131105 WMF131105 WWB131105 T196641 JP196641 TL196641 ADH196641 AND196641 AWZ196641 BGV196641 BQR196641 CAN196641 CKJ196641 CUF196641 DEB196641 DNX196641 DXT196641 EHP196641 ERL196641 FBH196641 FLD196641 FUZ196641 GEV196641 GOR196641 GYN196641 HIJ196641 HSF196641 ICB196641 ILX196641 IVT196641 JFP196641 JPL196641 JZH196641 KJD196641 KSZ196641 LCV196641 LMR196641 LWN196641 MGJ196641 MQF196641 NAB196641 NJX196641 NTT196641 ODP196641 ONL196641 OXH196641 PHD196641 PQZ196641 QAV196641 QKR196641 QUN196641 REJ196641 ROF196641 RYB196641 SHX196641 SRT196641 TBP196641 TLL196641 TVH196641 UFD196641 UOZ196641 UYV196641 VIR196641 VSN196641 WCJ196641 WMF196641 WWB196641 T262177 JP262177 TL262177 ADH262177 AND262177 AWZ262177 BGV262177 BQR262177 CAN262177 CKJ262177 CUF262177 DEB262177 DNX262177 DXT262177 EHP262177 ERL262177 FBH262177 FLD262177 FUZ262177 GEV262177 GOR262177 GYN262177 HIJ262177 HSF262177 ICB262177 ILX262177 IVT262177 JFP262177 JPL262177 JZH262177 KJD262177 KSZ262177 LCV262177 LMR262177 LWN262177 MGJ262177 MQF262177 NAB262177 NJX262177 NTT262177 ODP262177 ONL262177 OXH262177 PHD262177 PQZ262177 QAV262177 QKR262177 QUN262177 REJ262177 ROF262177 RYB262177 SHX262177 SRT262177 TBP262177 TLL262177 TVH262177 UFD262177 UOZ262177 UYV262177 VIR262177 VSN262177 WCJ262177 WMF262177 WWB262177 T327713 JP327713 TL327713 ADH327713 AND327713 AWZ327713 BGV327713 BQR327713 CAN327713 CKJ327713 CUF327713 DEB327713 DNX327713 DXT327713 EHP327713 ERL327713 FBH327713 FLD327713 FUZ327713 GEV327713 GOR327713 GYN327713 HIJ327713 HSF327713 ICB327713 ILX327713 IVT327713 JFP327713 JPL327713 JZH327713 KJD327713 KSZ327713 LCV327713 LMR327713 LWN327713 MGJ327713 MQF327713 NAB327713 NJX327713 NTT327713 ODP327713 ONL327713 OXH327713 PHD327713 PQZ327713 QAV327713 QKR327713 QUN327713 REJ327713 ROF327713 RYB327713 SHX327713 SRT327713 TBP327713 TLL327713 TVH327713 UFD327713 UOZ327713 UYV327713 VIR327713 VSN327713 WCJ327713 WMF327713 WWB327713 T393249 JP393249 TL393249 ADH393249 AND393249 AWZ393249 BGV393249 BQR393249 CAN393249 CKJ393249 CUF393249 DEB393249 DNX393249 DXT393249 EHP393249 ERL393249 FBH393249 FLD393249 FUZ393249 GEV393249 GOR393249 GYN393249 HIJ393249 HSF393249 ICB393249 ILX393249 IVT393249 JFP393249 JPL393249 JZH393249 KJD393249 KSZ393249 LCV393249 LMR393249 LWN393249 MGJ393249 MQF393249 NAB393249 NJX393249 NTT393249 ODP393249 ONL393249 OXH393249 PHD393249 PQZ393249 QAV393249 QKR393249 QUN393249 REJ393249 ROF393249 RYB393249 SHX393249 SRT393249 TBP393249 TLL393249 TVH393249 UFD393249 UOZ393249 UYV393249 VIR393249 VSN393249 WCJ393249 WMF393249 WWB393249 T458785 JP458785 TL458785 ADH458785 AND458785 AWZ458785 BGV458785 BQR458785 CAN458785 CKJ458785 CUF458785 DEB458785 DNX458785 DXT458785 EHP458785 ERL458785 FBH458785 FLD458785 FUZ458785 GEV458785 GOR458785 GYN458785 HIJ458785 HSF458785 ICB458785 ILX458785 IVT458785 JFP458785 JPL458785 JZH458785 KJD458785 KSZ458785 LCV458785 LMR458785 LWN458785 MGJ458785 MQF458785 NAB458785 NJX458785 NTT458785 ODP458785 ONL458785 OXH458785 PHD458785 PQZ458785 QAV458785 QKR458785 QUN458785 REJ458785 ROF458785 RYB458785 SHX458785 SRT458785 TBP458785 TLL458785 TVH458785 UFD458785 UOZ458785 UYV458785 VIR458785 VSN458785 WCJ458785 WMF458785 WWB458785 T524321 JP524321 TL524321 ADH524321 AND524321 AWZ524321 BGV524321 BQR524321 CAN524321 CKJ524321 CUF524321 DEB524321 DNX524321 DXT524321 EHP524321 ERL524321 FBH524321 FLD524321 FUZ524321 GEV524321 GOR524321 GYN524321 HIJ524321 HSF524321 ICB524321 ILX524321 IVT524321 JFP524321 JPL524321 JZH524321 KJD524321 KSZ524321 LCV524321 LMR524321 LWN524321 MGJ524321 MQF524321 NAB524321 NJX524321 NTT524321 ODP524321 ONL524321 OXH524321 PHD524321 PQZ524321 QAV524321 QKR524321 QUN524321 REJ524321 ROF524321 RYB524321 SHX524321 SRT524321 TBP524321 TLL524321 TVH524321 UFD524321 UOZ524321 UYV524321 VIR524321 VSN524321 WCJ524321 WMF524321 WWB524321 T589857 JP589857 TL589857 ADH589857 AND589857 AWZ589857 BGV589857 BQR589857 CAN589857 CKJ589857 CUF589857 DEB589857 DNX589857 DXT589857 EHP589857 ERL589857 FBH589857 FLD589857 FUZ589857 GEV589857 GOR589857 GYN589857 HIJ589857 HSF589857 ICB589857 ILX589857 IVT589857 JFP589857 JPL589857 JZH589857 KJD589857 KSZ589857 LCV589857 LMR589857 LWN589857 MGJ589857 MQF589857 NAB589857 NJX589857 NTT589857 ODP589857 ONL589857 OXH589857 PHD589857 PQZ589857 QAV589857 QKR589857 QUN589857 REJ589857 ROF589857 RYB589857 SHX589857 SRT589857 TBP589857 TLL589857 TVH589857 UFD589857 UOZ589857 UYV589857 VIR589857 VSN589857 WCJ589857 WMF589857 WWB589857 T655393 JP655393 TL655393 ADH655393 AND655393 AWZ655393 BGV655393 BQR655393 CAN655393 CKJ655393 CUF655393 DEB655393 DNX655393 DXT655393 EHP655393 ERL655393 FBH655393 FLD655393 FUZ655393 GEV655393 GOR655393 GYN655393 HIJ655393 HSF655393 ICB655393 ILX655393 IVT655393 JFP655393 JPL655393 JZH655393 KJD655393 KSZ655393 LCV655393 LMR655393 LWN655393 MGJ655393 MQF655393 NAB655393 NJX655393 NTT655393 ODP655393 ONL655393 OXH655393 PHD655393 PQZ655393 QAV655393 QKR655393 QUN655393 REJ655393 ROF655393 RYB655393 SHX655393 SRT655393 TBP655393 TLL655393 TVH655393 UFD655393 UOZ655393 UYV655393 VIR655393 VSN655393 WCJ655393 WMF655393 WWB655393 T720929 JP720929 TL720929 ADH720929 AND720929 AWZ720929 BGV720929 BQR720929 CAN720929 CKJ720929 CUF720929 DEB720929 DNX720929 DXT720929 EHP720929 ERL720929 FBH720929 FLD720929 FUZ720929 GEV720929 GOR720929 GYN720929 HIJ720929 HSF720929 ICB720929 ILX720929 IVT720929 JFP720929 JPL720929 JZH720929 KJD720929 KSZ720929 LCV720929 LMR720929 LWN720929 MGJ720929 MQF720929 NAB720929 NJX720929 NTT720929 ODP720929 ONL720929 OXH720929 PHD720929 PQZ720929 QAV720929 QKR720929 QUN720929 REJ720929 ROF720929 RYB720929 SHX720929 SRT720929 TBP720929 TLL720929 TVH720929 UFD720929 UOZ720929 UYV720929 VIR720929 VSN720929 WCJ720929 WMF720929 WWB720929 T786465 JP786465 TL786465 ADH786465 AND786465 AWZ786465 BGV786465 BQR786465 CAN786465 CKJ786465 CUF786465 DEB786465 DNX786465 DXT786465 EHP786465 ERL786465 FBH786465 FLD786465 FUZ786465 GEV786465 GOR786465 GYN786465 HIJ786465 HSF786465 ICB786465 ILX786465 IVT786465 JFP786465 JPL786465 JZH786465 KJD786465 KSZ786465 LCV786465 LMR786465 LWN786465 MGJ786465 MQF786465 NAB786465 NJX786465 NTT786465 ODP786465 ONL786465 OXH786465 PHD786465 PQZ786465 QAV786465 QKR786465 QUN786465 REJ786465 ROF786465 RYB786465 SHX786465 SRT786465 TBP786465 TLL786465 TVH786465 UFD786465 UOZ786465 UYV786465 VIR786465 VSN786465 WCJ786465 WMF786465 WWB786465 T852001 JP852001 TL852001 ADH852001 AND852001 AWZ852001 BGV852001 BQR852001 CAN852001 CKJ852001 CUF852001 DEB852001 DNX852001 DXT852001 EHP852001 ERL852001 FBH852001 FLD852001 FUZ852001 GEV852001 GOR852001 GYN852001 HIJ852001 HSF852001 ICB852001 ILX852001 IVT852001 JFP852001 JPL852001 JZH852001 KJD852001 KSZ852001 LCV852001 LMR852001 LWN852001 MGJ852001 MQF852001 NAB852001 NJX852001 NTT852001 ODP852001 ONL852001 OXH852001 PHD852001 PQZ852001 QAV852001 QKR852001 QUN852001 REJ852001 ROF852001 RYB852001 SHX852001 SRT852001 TBP852001 TLL852001 TVH852001 UFD852001 UOZ852001 UYV852001 VIR852001 VSN852001 WCJ852001 WMF852001 WWB852001 T917537 JP917537 TL917537 ADH917537 AND917537 AWZ917537 BGV917537 BQR917537 CAN917537 CKJ917537 CUF917537 DEB917537 DNX917537 DXT917537 EHP917537 ERL917537 FBH917537 FLD917537 FUZ917537 GEV917537 GOR917537 GYN917537 HIJ917537 HSF917537 ICB917537 ILX917537 IVT917537 JFP917537 JPL917537 JZH917537 KJD917537 KSZ917537 LCV917537 LMR917537 LWN917537 MGJ917537 MQF917537 NAB917537 NJX917537 NTT917537 ODP917537 ONL917537 OXH917537 PHD917537 PQZ917537 QAV917537 QKR917537 QUN917537 REJ917537 ROF917537 RYB917537 SHX917537 SRT917537 TBP917537 TLL917537 TVH917537 UFD917537 UOZ917537 UYV917537 VIR917537 VSN917537 WCJ917537 WMF917537 WWB917537 T983073 JP983073 TL983073 ADH983073 AND983073 AWZ983073 BGV983073 BQR983073 CAN983073 CKJ983073 CUF983073 DEB983073 DNX983073 DXT983073 EHP983073 ERL983073 FBH983073 FLD983073 FUZ983073 GEV983073 GOR983073 GYN983073 HIJ983073 HSF983073 ICB983073 ILX983073 IVT983073 JFP983073 JPL983073 JZH983073 KJD983073 KSZ983073 LCV983073 LMR983073 LWN983073 MGJ983073 MQF983073 NAB983073 NJX983073 NTT983073 ODP983073 ONL983073 OXH983073 PHD983073 PQZ983073 QAV983073 QKR983073 QUN983073 REJ983073 ROF983073 RYB983073 SHX983073 SRT983073 TBP983073 TLL983073 TVH983073 UFD983073 UOZ983073 UYV983073 VIR983073 VSN983073 WCJ983073 WMF983073 WWB983073 Q33 JM33 TI33 ADE33 ANA33 AWW33 BGS33 BQO33 CAK33 CKG33 CUC33 DDY33 DNU33 DXQ33 EHM33 ERI33 FBE33 FLA33 FUW33 GES33 GOO33 GYK33 HIG33 HSC33 IBY33 ILU33 IVQ33 JFM33 JPI33 JZE33 KJA33 KSW33 LCS33 LMO33 LWK33 MGG33 MQC33 MZY33 NJU33 NTQ33 ODM33 ONI33 OXE33 PHA33 PQW33 QAS33 QKO33 QUK33 REG33 ROC33 RXY33 SHU33 SRQ33 TBM33 TLI33 TVE33 UFA33 UOW33 UYS33 VIO33 VSK33 WCG33 WMC33 WVY33 Q65569 JM65569 TI65569 ADE65569 ANA65569 AWW65569 BGS65569 BQO65569 CAK65569 CKG65569 CUC65569 DDY65569 DNU65569 DXQ65569 EHM65569 ERI65569 FBE65569 FLA65569 FUW65569 GES65569 GOO65569 GYK65569 HIG65569 HSC65569 IBY65569 ILU65569 IVQ65569 JFM65569 JPI65569 JZE65569 KJA65569 KSW65569 LCS65569 LMO65569 LWK65569 MGG65569 MQC65569 MZY65569 NJU65569 NTQ65569 ODM65569 ONI65569 OXE65569 PHA65569 PQW65569 QAS65569 QKO65569 QUK65569 REG65569 ROC65569 RXY65569 SHU65569 SRQ65569 TBM65569 TLI65569 TVE65569 UFA65569 UOW65569 UYS65569 VIO65569 VSK65569 WCG65569 WMC65569 WVY65569 Q131105 JM131105 TI131105 ADE131105 ANA131105 AWW131105 BGS131105 BQO131105 CAK131105 CKG131105 CUC131105 DDY131105 DNU131105 DXQ131105 EHM131105 ERI131105 FBE131105 FLA131105 FUW131105 GES131105 GOO131105 GYK131105 HIG131105 HSC131105 IBY131105 ILU131105 IVQ131105 JFM131105 JPI131105 JZE131105 KJA131105 KSW131105 LCS131105 LMO131105 LWK131105 MGG131105 MQC131105 MZY131105 NJU131105 NTQ131105 ODM131105 ONI131105 OXE131105 PHA131105 PQW131105 QAS131105 QKO131105 QUK131105 REG131105 ROC131105 RXY131105 SHU131105 SRQ131105 TBM131105 TLI131105 TVE131105 UFA131105 UOW131105 UYS131105 VIO131105 VSK131105 WCG131105 WMC131105 WVY131105 Q196641 JM196641 TI196641 ADE196641 ANA196641 AWW196641 BGS196641 BQO196641 CAK196641 CKG196641 CUC196641 DDY196641 DNU196641 DXQ196641 EHM196641 ERI196641 FBE196641 FLA196641 FUW196641 GES196641 GOO196641 GYK196641 HIG196641 HSC196641 IBY196641 ILU196641 IVQ196641 JFM196641 JPI196641 JZE196641 KJA196641 KSW196641 LCS196641 LMO196641 LWK196641 MGG196641 MQC196641 MZY196641 NJU196641 NTQ196641 ODM196641 ONI196641 OXE196641 PHA196641 PQW196641 QAS196641 QKO196641 QUK196641 REG196641 ROC196641 RXY196641 SHU196641 SRQ196641 TBM196641 TLI196641 TVE196641 UFA196641 UOW196641 UYS196641 VIO196641 VSK196641 WCG196641 WMC196641 WVY196641 Q262177 JM262177 TI262177 ADE262177 ANA262177 AWW262177 BGS262177 BQO262177 CAK262177 CKG262177 CUC262177 DDY262177 DNU262177 DXQ262177 EHM262177 ERI262177 FBE262177 FLA262177 FUW262177 GES262177 GOO262177 GYK262177 HIG262177 HSC262177 IBY262177 ILU262177 IVQ262177 JFM262177 JPI262177 JZE262177 KJA262177 KSW262177 LCS262177 LMO262177 LWK262177 MGG262177 MQC262177 MZY262177 NJU262177 NTQ262177 ODM262177 ONI262177 OXE262177 PHA262177 PQW262177 QAS262177 QKO262177 QUK262177 REG262177 ROC262177 RXY262177 SHU262177 SRQ262177 TBM262177 TLI262177 TVE262177 UFA262177 UOW262177 UYS262177 VIO262177 VSK262177 WCG262177 WMC262177 WVY262177 Q327713 JM327713 TI327713 ADE327713 ANA327713 AWW327713 BGS327713 BQO327713 CAK327713 CKG327713 CUC327713 DDY327713 DNU327713 DXQ327713 EHM327713 ERI327713 FBE327713 FLA327713 FUW327713 GES327713 GOO327713 GYK327713 HIG327713 HSC327713 IBY327713 ILU327713 IVQ327713 JFM327713 JPI327713 JZE327713 KJA327713 KSW327713 LCS327713 LMO327713 LWK327713 MGG327713 MQC327713 MZY327713 NJU327713 NTQ327713 ODM327713 ONI327713 OXE327713 PHA327713 PQW327713 QAS327713 QKO327713 QUK327713 REG327713 ROC327713 RXY327713 SHU327713 SRQ327713 TBM327713 TLI327713 TVE327713 UFA327713 UOW327713 UYS327713 VIO327713 VSK327713 WCG327713 WMC327713 WVY327713 Q393249 JM393249 TI393249 ADE393249 ANA393249 AWW393249 BGS393249 BQO393249 CAK393249 CKG393249 CUC393249 DDY393249 DNU393249 DXQ393249 EHM393249 ERI393249 FBE393249 FLA393249 FUW393249 GES393249 GOO393249 GYK393249 HIG393249 HSC393249 IBY393249 ILU393249 IVQ393249 JFM393249 JPI393249 JZE393249 KJA393249 KSW393249 LCS393249 LMO393249 LWK393249 MGG393249 MQC393249 MZY393249 NJU393249 NTQ393249 ODM393249 ONI393249 OXE393249 PHA393249 PQW393249 QAS393249 QKO393249 QUK393249 REG393249 ROC393249 RXY393249 SHU393249 SRQ393249 TBM393249 TLI393249 TVE393249 UFA393249 UOW393249 UYS393249 VIO393249 VSK393249 WCG393249 WMC393249 WVY393249 Q458785 JM458785 TI458785 ADE458785 ANA458785 AWW458785 BGS458785 BQO458785 CAK458785 CKG458785 CUC458785 DDY458785 DNU458785 DXQ458785 EHM458785 ERI458785 FBE458785 FLA458785 FUW458785 GES458785 GOO458785 GYK458785 HIG458785 HSC458785 IBY458785 ILU458785 IVQ458785 JFM458785 JPI458785 JZE458785 KJA458785 KSW458785 LCS458785 LMO458785 LWK458785 MGG458785 MQC458785 MZY458785 NJU458785 NTQ458785 ODM458785 ONI458785 OXE458785 PHA458785 PQW458785 QAS458785 QKO458785 QUK458785 REG458785 ROC458785 RXY458785 SHU458785 SRQ458785 TBM458785 TLI458785 TVE458785 UFA458785 UOW458785 UYS458785 VIO458785 VSK458785 WCG458785 WMC458785 WVY458785 Q524321 JM524321 TI524321 ADE524321 ANA524321 AWW524321 BGS524321 BQO524321 CAK524321 CKG524321 CUC524321 DDY524321 DNU524321 DXQ524321 EHM524321 ERI524321 FBE524321 FLA524321 FUW524321 GES524321 GOO524321 GYK524321 HIG524321 HSC524321 IBY524321 ILU524321 IVQ524321 JFM524321 JPI524321 JZE524321 KJA524321 KSW524321 LCS524321 LMO524321 LWK524321 MGG524321 MQC524321 MZY524321 NJU524321 NTQ524321 ODM524321 ONI524321 OXE524321 PHA524321 PQW524321 QAS524321 QKO524321 QUK524321 REG524321 ROC524321 RXY524321 SHU524321 SRQ524321 TBM524321 TLI524321 TVE524321 UFA524321 UOW524321 UYS524321 VIO524321 VSK524321 WCG524321 WMC524321 WVY524321 Q589857 JM589857 TI589857 ADE589857 ANA589857 AWW589857 BGS589857 BQO589857 CAK589857 CKG589857 CUC589857 DDY589857 DNU589857 DXQ589857 EHM589857 ERI589857 FBE589857 FLA589857 FUW589857 GES589857 GOO589857 GYK589857 HIG589857 HSC589857 IBY589857 ILU589857 IVQ589857 JFM589857 JPI589857 JZE589857 KJA589857 KSW589857 LCS589857 LMO589857 LWK589857 MGG589857 MQC589857 MZY589857 NJU589857 NTQ589857 ODM589857 ONI589857 OXE589857 PHA589857 PQW589857 QAS589857 QKO589857 QUK589857 REG589857 ROC589857 RXY589857 SHU589857 SRQ589857 TBM589857 TLI589857 TVE589857 UFA589857 UOW589857 UYS589857 VIO589857 VSK589857 WCG589857 WMC589857 WVY589857 Q655393 JM655393 TI655393 ADE655393 ANA655393 AWW655393 BGS655393 BQO655393 CAK655393 CKG655393 CUC655393 DDY655393 DNU655393 DXQ655393 EHM655393 ERI655393 FBE655393 FLA655393 FUW655393 GES655393 GOO655393 GYK655393 HIG655393 HSC655393 IBY655393 ILU655393 IVQ655393 JFM655393 JPI655393 JZE655393 KJA655393 KSW655393 LCS655393 LMO655393 LWK655393 MGG655393 MQC655393 MZY655393 NJU655393 NTQ655393 ODM655393 ONI655393 OXE655393 PHA655393 PQW655393 QAS655393 QKO655393 QUK655393 REG655393 ROC655393 RXY655393 SHU655393 SRQ655393 TBM655393 TLI655393 TVE655393 UFA655393 UOW655393 UYS655393 VIO655393 VSK655393 WCG655393 WMC655393 WVY655393 Q720929 JM720929 TI720929 ADE720929 ANA720929 AWW720929 BGS720929 BQO720929 CAK720929 CKG720929 CUC720929 DDY720929 DNU720929 DXQ720929 EHM720929 ERI720929 FBE720929 FLA720929 FUW720929 GES720929 GOO720929 GYK720929 HIG720929 HSC720929 IBY720929 ILU720929 IVQ720929 JFM720929 JPI720929 JZE720929 KJA720929 KSW720929 LCS720929 LMO720929 LWK720929 MGG720929 MQC720929 MZY720929 NJU720929 NTQ720929 ODM720929 ONI720929 OXE720929 PHA720929 PQW720929 QAS720929 QKO720929 QUK720929 REG720929 ROC720929 RXY720929 SHU720929 SRQ720929 TBM720929 TLI720929 TVE720929 UFA720929 UOW720929 UYS720929 VIO720929 VSK720929 WCG720929 WMC720929 WVY720929 Q786465 JM786465 TI786465 ADE786465 ANA786465 AWW786465 BGS786465 BQO786465 CAK786465 CKG786465 CUC786465 DDY786465 DNU786465 DXQ786465 EHM786465 ERI786465 FBE786465 FLA786465 FUW786465 GES786465 GOO786465 GYK786465 HIG786465 HSC786465 IBY786465 ILU786465 IVQ786465 JFM786465 JPI786465 JZE786465 KJA786465 KSW786465 LCS786465 LMO786465 LWK786465 MGG786465 MQC786465 MZY786465 NJU786465 NTQ786465 ODM786465 ONI786465 OXE786465 PHA786465 PQW786465 QAS786465 QKO786465 QUK786465 REG786465 ROC786465 RXY786465 SHU786465 SRQ786465 TBM786465 TLI786465 TVE786465 UFA786465 UOW786465 UYS786465 VIO786465 VSK786465 WCG786465 WMC786465 WVY786465 Q852001 JM852001 TI852001 ADE852001 ANA852001 AWW852001 BGS852001 BQO852001 CAK852001 CKG852001 CUC852001 DDY852001 DNU852001 DXQ852001 EHM852001 ERI852001 FBE852001 FLA852001 FUW852001 GES852001 GOO852001 GYK852001 HIG852001 HSC852001 IBY852001 ILU852001 IVQ852001 JFM852001 JPI852001 JZE852001 KJA852001 KSW852001 LCS852001 LMO852001 LWK852001 MGG852001 MQC852001 MZY852001 NJU852001 NTQ852001 ODM852001 ONI852001 OXE852001 PHA852001 PQW852001 QAS852001 QKO852001 QUK852001 REG852001 ROC852001 RXY852001 SHU852001 SRQ852001 TBM852001 TLI852001 TVE852001 UFA852001 UOW852001 UYS852001 VIO852001 VSK852001 WCG852001 WMC852001 WVY852001 Q917537 JM917537 TI917537 ADE917537 ANA917537 AWW917537 BGS917537 BQO917537 CAK917537 CKG917537 CUC917537 DDY917537 DNU917537 DXQ917537 EHM917537 ERI917537 FBE917537 FLA917537 FUW917537 GES917537 GOO917537 GYK917537 HIG917537 HSC917537 IBY917537 ILU917537 IVQ917537 JFM917537 JPI917537 JZE917537 KJA917537 KSW917537 LCS917537 LMO917537 LWK917537 MGG917537 MQC917537 MZY917537 NJU917537 NTQ917537 ODM917537 ONI917537 OXE917537 PHA917537 PQW917537 QAS917537 QKO917537 QUK917537 REG917537 ROC917537 RXY917537 SHU917537 SRQ917537 TBM917537 TLI917537 TVE917537 UFA917537 UOW917537 UYS917537 VIO917537 VSK917537 WCG917537 WMC917537 WVY917537 Q983073 JM983073 TI983073 ADE983073 ANA983073 AWW983073 BGS983073 BQO983073 CAK983073 CKG983073 CUC983073 DDY983073 DNU983073 DXQ983073 EHM983073 ERI983073 FBE983073 FLA983073 FUW983073 GES983073 GOO983073 GYK983073 HIG983073 HSC983073 IBY983073 ILU983073 IVQ983073 JFM983073 JPI983073 JZE983073 KJA983073 KSW983073 LCS983073 LMO983073 LWK983073 MGG983073 MQC983073 MZY983073 NJU983073 NTQ983073 ODM983073 ONI983073 OXE983073 PHA983073 PQW983073 QAS983073 QKO983073 QUK983073 REG983073 ROC983073 RXY983073 SHU983073 SRQ983073 TBM983073 TLI983073 TVE983073 UFA983073 UOW983073 UYS983073 VIO983073 VSK983073 WCG983073 WMC983073 WVY983073 O34 JK34 TG34 ADC34 AMY34 AWU34 BGQ34 BQM34 CAI34 CKE34 CUA34 DDW34 DNS34 DXO34 EHK34 ERG34 FBC34 FKY34 FUU34 GEQ34 GOM34 GYI34 HIE34 HSA34 IBW34 ILS34 IVO34 JFK34 JPG34 JZC34 KIY34 KSU34 LCQ34 LMM34 LWI34 MGE34 MQA34 MZW34 NJS34 NTO34 ODK34 ONG34 OXC34 PGY34 PQU34 QAQ34 QKM34 QUI34 REE34 ROA34 RXW34 SHS34 SRO34 TBK34 TLG34 TVC34 UEY34 UOU34 UYQ34 VIM34 VSI34 WCE34 WMA34 WVW34 O65570 JK65570 TG65570 ADC65570 AMY65570 AWU65570 BGQ65570 BQM65570 CAI65570 CKE65570 CUA65570 DDW65570 DNS65570 DXO65570 EHK65570 ERG65570 FBC65570 FKY65570 FUU65570 GEQ65570 GOM65570 GYI65570 HIE65570 HSA65570 IBW65570 ILS65570 IVO65570 JFK65570 JPG65570 JZC65570 KIY65570 KSU65570 LCQ65570 LMM65570 LWI65570 MGE65570 MQA65570 MZW65570 NJS65570 NTO65570 ODK65570 ONG65570 OXC65570 PGY65570 PQU65570 QAQ65570 QKM65570 QUI65570 REE65570 ROA65570 RXW65570 SHS65570 SRO65570 TBK65570 TLG65570 TVC65570 UEY65570 UOU65570 UYQ65570 VIM65570 VSI65570 WCE65570 WMA65570 WVW65570 O131106 JK131106 TG131106 ADC131106 AMY131106 AWU131106 BGQ131106 BQM131106 CAI131106 CKE131106 CUA131106 DDW131106 DNS131106 DXO131106 EHK131106 ERG131106 FBC131106 FKY131106 FUU131106 GEQ131106 GOM131106 GYI131106 HIE131106 HSA131106 IBW131106 ILS131106 IVO131106 JFK131106 JPG131106 JZC131106 KIY131106 KSU131106 LCQ131106 LMM131106 LWI131106 MGE131106 MQA131106 MZW131106 NJS131106 NTO131106 ODK131106 ONG131106 OXC131106 PGY131106 PQU131106 QAQ131106 QKM131106 QUI131106 REE131106 ROA131106 RXW131106 SHS131106 SRO131106 TBK131106 TLG131106 TVC131106 UEY131106 UOU131106 UYQ131106 VIM131106 VSI131106 WCE131106 WMA131106 WVW131106 O196642 JK196642 TG196642 ADC196642 AMY196642 AWU196642 BGQ196642 BQM196642 CAI196642 CKE196642 CUA196642 DDW196642 DNS196642 DXO196642 EHK196642 ERG196642 FBC196642 FKY196642 FUU196642 GEQ196642 GOM196642 GYI196642 HIE196642 HSA196642 IBW196642 ILS196642 IVO196642 JFK196642 JPG196642 JZC196642 KIY196642 KSU196642 LCQ196642 LMM196642 LWI196642 MGE196642 MQA196642 MZW196642 NJS196642 NTO196642 ODK196642 ONG196642 OXC196642 PGY196642 PQU196642 QAQ196642 QKM196642 QUI196642 REE196642 ROA196642 RXW196642 SHS196642 SRO196642 TBK196642 TLG196642 TVC196642 UEY196642 UOU196642 UYQ196642 VIM196642 VSI196642 WCE196642 WMA196642 WVW196642 O262178 JK262178 TG262178 ADC262178 AMY262178 AWU262178 BGQ262178 BQM262178 CAI262178 CKE262178 CUA262178 DDW262178 DNS262178 DXO262178 EHK262178 ERG262178 FBC262178 FKY262178 FUU262178 GEQ262178 GOM262178 GYI262178 HIE262178 HSA262178 IBW262178 ILS262178 IVO262178 JFK262178 JPG262178 JZC262178 KIY262178 KSU262178 LCQ262178 LMM262178 LWI262178 MGE262178 MQA262178 MZW262178 NJS262178 NTO262178 ODK262178 ONG262178 OXC262178 PGY262178 PQU262178 QAQ262178 QKM262178 QUI262178 REE262178 ROA262178 RXW262178 SHS262178 SRO262178 TBK262178 TLG262178 TVC262178 UEY262178 UOU262178 UYQ262178 VIM262178 VSI262178 WCE262178 WMA262178 WVW262178 O327714 JK327714 TG327714 ADC327714 AMY327714 AWU327714 BGQ327714 BQM327714 CAI327714 CKE327714 CUA327714 DDW327714 DNS327714 DXO327714 EHK327714 ERG327714 FBC327714 FKY327714 FUU327714 GEQ327714 GOM327714 GYI327714 HIE327714 HSA327714 IBW327714 ILS327714 IVO327714 JFK327714 JPG327714 JZC327714 KIY327714 KSU327714 LCQ327714 LMM327714 LWI327714 MGE327714 MQA327714 MZW327714 NJS327714 NTO327714 ODK327714 ONG327714 OXC327714 PGY327714 PQU327714 QAQ327714 QKM327714 QUI327714 REE327714 ROA327714 RXW327714 SHS327714 SRO327714 TBK327714 TLG327714 TVC327714 UEY327714 UOU327714 UYQ327714 VIM327714 VSI327714 WCE327714 WMA327714 WVW327714 O393250 JK393250 TG393250 ADC393250 AMY393250 AWU393250 BGQ393250 BQM393250 CAI393250 CKE393250 CUA393250 DDW393250 DNS393250 DXO393250 EHK393250 ERG393250 FBC393250 FKY393250 FUU393250 GEQ393250 GOM393250 GYI393250 HIE393250 HSA393250 IBW393250 ILS393250 IVO393250 JFK393250 JPG393250 JZC393250 KIY393250 KSU393250 LCQ393250 LMM393250 LWI393250 MGE393250 MQA393250 MZW393250 NJS393250 NTO393250 ODK393250 ONG393250 OXC393250 PGY393250 PQU393250 QAQ393250 QKM393250 QUI393250 REE393250 ROA393250 RXW393250 SHS393250 SRO393250 TBK393250 TLG393250 TVC393250 UEY393250 UOU393250 UYQ393250 VIM393250 VSI393250 WCE393250 WMA393250 WVW393250 O458786 JK458786 TG458786 ADC458786 AMY458786 AWU458786 BGQ458786 BQM458786 CAI458786 CKE458786 CUA458786 DDW458786 DNS458786 DXO458786 EHK458786 ERG458786 FBC458786 FKY458786 FUU458786 GEQ458786 GOM458786 GYI458786 HIE458786 HSA458786 IBW458786 ILS458786 IVO458786 JFK458786 JPG458786 JZC458786 KIY458786 KSU458786 LCQ458786 LMM458786 LWI458786 MGE458786 MQA458786 MZW458786 NJS458786 NTO458786 ODK458786 ONG458786 OXC458786 PGY458786 PQU458786 QAQ458786 QKM458786 QUI458786 REE458786 ROA458786 RXW458786 SHS458786 SRO458786 TBK458786 TLG458786 TVC458786 UEY458786 UOU458786 UYQ458786 VIM458786 VSI458786 WCE458786 WMA458786 WVW458786 O524322 JK524322 TG524322 ADC524322 AMY524322 AWU524322 BGQ524322 BQM524322 CAI524322 CKE524322 CUA524322 DDW524322 DNS524322 DXO524322 EHK524322 ERG524322 FBC524322 FKY524322 FUU524322 GEQ524322 GOM524322 GYI524322 HIE524322 HSA524322 IBW524322 ILS524322 IVO524322 JFK524322 JPG524322 JZC524322 KIY524322 KSU524322 LCQ524322 LMM524322 LWI524322 MGE524322 MQA524322 MZW524322 NJS524322 NTO524322 ODK524322 ONG524322 OXC524322 PGY524322 PQU524322 QAQ524322 QKM524322 QUI524322 REE524322 ROA524322 RXW524322 SHS524322 SRO524322 TBK524322 TLG524322 TVC524322 UEY524322 UOU524322 UYQ524322 VIM524322 VSI524322 WCE524322 WMA524322 WVW524322 O589858 JK589858 TG589858 ADC589858 AMY589858 AWU589858 BGQ589858 BQM589858 CAI589858 CKE589858 CUA589858 DDW589858 DNS589858 DXO589858 EHK589858 ERG589858 FBC589858 FKY589858 FUU589858 GEQ589858 GOM589858 GYI589858 HIE589858 HSA589858 IBW589858 ILS589858 IVO589858 JFK589858 JPG589858 JZC589858 KIY589858 KSU589858 LCQ589858 LMM589858 LWI589858 MGE589858 MQA589858 MZW589858 NJS589858 NTO589858 ODK589858 ONG589858 OXC589858 PGY589858 PQU589858 QAQ589858 QKM589858 QUI589858 REE589858 ROA589858 RXW589858 SHS589858 SRO589858 TBK589858 TLG589858 TVC589858 UEY589858 UOU589858 UYQ589858 VIM589858 VSI589858 WCE589858 WMA589858 WVW589858 O655394 JK655394 TG655394 ADC655394 AMY655394 AWU655394 BGQ655394 BQM655394 CAI655394 CKE655394 CUA655394 DDW655394 DNS655394 DXO655394 EHK655394 ERG655394 FBC655394 FKY655394 FUU655394 GEQ655394 GOM655394 GYI655394 HIE655394 HSA655394 IBW655394 ILS655394 IVO655394 JFK655394 JPG655394 JZC655394 KIY655394 KSU655394 LCQ655394 LMM655394 LWI655394 MGE655394 MQA655394 MZW655394 NJS655394 NTO655394 ODK655394 ONG655394 OXC655394 PGY655394 PQU655394 QAQ655394 QKM655394 QUI655394 REE655394 ROA655394 RXW655394 SHS655394 SRO655394 TBK655394 TLG655394 TVC655394 UEY655394 UOU655394 UYQ655394 VIM655394 VSI655394 WCE655394 WMA655394 WVW655394 O720930 JK720930 TG720930 ADC720930 AMY720930 AWU720930 BGQ720930 BQM720930 CAI720930 CKE720930 CUA720930 DDW720930 DNS720930 DXO720930 EHK720930 ERG720930 FBC720930 FKY720930 FUU720930 GEQ720930 GOM720930 GYI720930 HIE720930 HSA720930 IBW720930 ILS720930 IVO720930 JFK720930 JPG720930 JZC720930 KIY720930 KSU720930 LCQ720930 LMM720930 LWI720930 MGE720930 MQA720930 MZW720930 NJS720930 NTO720930 ODK720930 ONG720930 OXC720930 PGY720930 PQU720930 QAQ720930 QKM720930 QUI720930 REE720930 ROA720930 RXW720930 SHS720930 SRO720930 TBK720930 TLG720930 TVC720930 UEY720930 UOU720930 UYQ720930 VIM720930 VSI720930 WCE720930 WMA720930 WVW720930 O786466 JK786466 TG786466 ADC786466 AMY786466 AWU786466 BGQ786466 BQM786466 CAI786466 CKE786466 CUA786466 DDW786466 DNS786466 DXO786466 EHK786466 ERG786466 FBC786466 FKY786466 FUU786466 GEQ786466 GOM786466 GYI786466 HIE786466 HSA786466 IBW786466 ILS786466 IVO786466 JFK786466 JPG786466 JZC786466 KIY786466 KSU786466 LCQ786466 LMM786466 LWI786466 MGE786466 MQA786466 MZW786466 NJS786466 NTO786466 ODK786466 ONG786466 OXC786466 PGY786466 PQU786466 QAQ786466 QKM786466 QUI786466 REE786466 ROA786466 RXW786466 SHS786466 SRO786466 TBK786466 TLG786466 TVC786466 UEY786466 UOU786466 UYQ786466 VIM786466 VSI786466 WCE786466 WMA786466 WVW786466 O852002 JK852002 TG852002 ADC852002 AMY852002 AWU852002 BGQ852002 BQM852002 CAI852002 CKE852002 CUA852002 DDW852002 DNS852002 DXO852002 EHK852002 ERG852002 FBC852002 FKY852002 FUU852002 GEQ852002 GOM852002 GYI852002 HIE852002 HSA852002 IBW852002 ILS852002 IVO852002 JFK852002 JPG852002 JZC852002 KIY852002 KSU852002 LCQ852002 LMM852002 LWI852002 MGE852002 MQA852002 MZW852002 NJS852002 NTO852002 ODK852002 ONG852002 OXC852002 PGY852002 PQU852002 QAQ852002 QKM852002 QUI852002 REE852002 ROA852002 RXW852002 SHS852002 SRO852002 TBK852002 TLG852002 TVC852002 UEY852002 UOU852002 UYQ852002 VIM852002 VSI852002 WCE852002 WMA852002 WVW852002 O917538 JK917538 TG917538 ADC917538 AMY917538 AWU917538 BGQ917538 BQM917538 CAI917538 CKE917538 CUA917538 DDW917538 DNS917538 DXO917538 EHK917538 ERG917538 FBC917538 FKY917538 FUU917538 GEQ917538 GOM917538 GYI917538 HIE917538 HSA917538 IBW917538 ILS917538 IVO917538 JFK917538 JPG917538 JZC917538 KIY917538 KSU917538 LCQ917538 LMM917538 LWI917538 MGE917538 MQA917538 MZW917538 NJS917538 NTO917538 ODK917538 ONG917538 OXC917538 PGY917538 PQU917538 QAQ917538 QKM917538 QUI917538 REE917538 ROA917538 RXW917538 SHS917538 SRO917538 TBK917538 TLG917538 TVC917538 UEY917538 UOU917538 UYQ917538 VIM917538 VSI917538 WCE917538 WMA917538 WVW917538 O983074 JK983074 TG983074 ADC983074 AMY983074 AWU983074 BGQ983074 BQM983074 CAI983074 CKE983074 CUA983074 DDW983074 DNS983074 DXO983074 EHK983074 ERG983074 FBC983074 FKY983074 FUU983074 GEQ983074 GOM983074 GYI983074 HIE983074 HSA983074 IBW983074 ILS983074 IVO983074 JFK983074 JPG983074 JZC983074 KIY983074 KSU983074 LCQ983074 LMM983074 LWI983074 MGE983074 MQA983074 MZW983074 NJS983074 NTO983074 ODK983074 ONG983074 OXC983074 PGY983074 PQU983074 QAQ983074 QKM983074 QUI983074 REE983074 ROA983074 RXW983074 SHS983074 SRO983074 TBK983074 TLG983074 TVC983074 UEY983074 UOU983074 UYQ983074 VIM983074 VSI983074 WCE983074 WMA983074 WVW983074 N33 JJ33 TF33 ADB33 AMX33 AWT33 BGP33 BQL33 CAH33 CKD33 CTZ33 DDV33 DNR33 DXN33 EHJ33 ERF33 FBB33 FKX33 FUT33 GEP33 GOL33 GYH33 HID33 HRZ33 IBV33 ILR33 IVN33 JFJ33 JPF33 JZB33 KIX33 KST33 LCP33 LML33 LWH33 MGD33 MPZ33 MZV33 NJR33 NTN33 ODJ33 ONF33 OXB33 PGX33 PQT33 QAP33 QKL33 QUH33 RED33 RNZ33 RXV33 SHR33 SRN33 TBJ33 TLF33 TVB33 UEX33 UOT33 UYP33 VIL33 VSH33 WCD33 WLZ33 WVV33 N65569 JJ65569 TF65569 ADB65569 AMX65569 AWT65569 BGP65569 BQL65569 CAH65569 CKD65569 CTZ65569 DDV65569 DNR65569 DXN65569 EHJ65569 ERF65569 FBB65569 FKX65569 FUT65569 GEP65569 GOL65569 GYH65569 HID65569 HRZ65569 IBV65569 ILR65569 IVN65569 JFJ65569 JPF65569 JZB65569 KIX65569 KST65569 LCP65569 LML65569 LWH65569 MGD65569 MPZ65569 MZV65569 NJR65569 NTN65569 ODJ65569 ONF65569 OXB65569 PGX65569 PQT65569 QAP65569 QKL65569 QUH65569 RED65569 RNZ65569 RXV65569 SHR65569 SRN65569 TBJ65569 TLF65569 TVB65569 UEX65569 UOT65569 UYP65569 VIL65569 VSH65569 WCD65569 WLZ65569 WVV65569 N131105 JJ131105 TF131105 ADB131105 AMX131105 AWT131105 BGP131105 BQL131105 CAH131105 CKD131105 CTZ131105 DDV131105 DNR131105 DXN131105 EHJ131105 ERF131105 FBB131105 FKX131105 FUT131105 GEP131105 GOL131105 GYH131105 HID131105 HRZ131105 IBV131105 ILR131105 IVN131105 JFJ131105 JPF131105 JZB131105 KIX131105 KST131105 LCP131105 LML131105 LWH131105 MGD131105 MPZ131105 MZV131105 NJR131105 NTN131105 ODJ131105 ONF131105 OXB131105 PGX131105 PQT131105 QAP131105 QKL131105 QUH131105 RED131105 RNZ131105 RXV131105 SHR131105 SRN131105 TBJ131105 TLF131105 TVB131105 UEX131105 UOT131105 UYP131105 VIL131105 VSH131105 WCD131105 WLZ131105 WVV131105 N196641 JJ196641 TF196641 ADB196641 AMX196641 AWT196641 BGP196641 BQL196641 CAH196641 CKD196641 CTZ196641 DDV196641 DNR196641 DXN196641 EHJ196641 ERF196641 FBB196641 FKX196641 FUT196641 GEP196641 GOL196641 GYH196641 HID196641 HRZ196641 IBV196641 ILR196641 IVN196641 JFJ196641 JPF196641 JZB196641 KIX196641 KST196641 LCP196641 LML196641 LWH196641 MGD196641 MPZ196641 MZV196641 NJR196641 NTN196641 ODJ196641 ONF196641 OXB196641 PGX196641 PQT196641 QAP196641 QKL196641 QUH196641 RED196641 RNZ196641 RXV196641 SHR196641 SRN196641 TBJ196641 TLF196641 TVB196641 UEX196641 UOT196641 UYP196641 VIL196641 VSH196641 WCD196641 WLZ196641 WVV196641 N262177 JJ262177 TF262177 ADB262177 AMX262177 AWT262177 BGP262177 BQL262177 CAH262177 CKD262177 CTZ262177 DDV262177 DNR262177 DXN262177 EHJ262177 ERF262177 FBB262177 FKX262177 FUT262177 GEP262177 GOL262177 GYH262177 HID262177 HRZ262177 IBV262177 ILR262177 IVN262177 JFJ262177 JPF262177 JZB262177 KIX262177 KST262177 LCP262177 LML262177 LWH262177 MGD262177 MPZ262177 MZV262177 NJR262177 NTN262177 ODJ262177 ONF262177 OXB262177 PGX262177 PQT262177 QAP262177 QKL262177 QUH262177 RED262177 RNZ262177 RXV262177 SHR262177 SRN262177 TBJ262177 TLF262177 TVB262177 UEX262177 UOT262177 UYP262177 VIL262177 VSH262177 WCD262177 WLZ262177 WVV262177 N327713 JJ327713 TF327713 ADB327713 AMX327713 AWT327713 BGP327713 BQL327713 CAH327713 CKD327713 CTZ327713 DDV327713 DNR327713 DXN327713 EHJ327713 ERF327713 FBB327713 FKX327713 FUT327713 GEP327713 GOL327713 GYH327713 HID327713 HRZ327713 IBV327713 ILR327713 IVN327713 JFJ327713 JPF327713 JZB327713 KIX327713 KST327713 LCP327713 LML327713 LWH327713 MGD327713 MPZ327713 MZV327713 NJR327713 NTN327713 ODJ327713 ONF327713 OXB327713 PGX327713 PQT327713 QAP327713 QKL327713 QUH327713 RED327713 RNZ327713 RXV327713 SHR327713 SRN327713 TBJ327713 TLF327713 TVB327713 UEX327713 UOT327713 UYP327713 VIL327713 VSH327713 WCD327713 WLZ327713 WVV327713 N393249 JJ393249 TF393249 ADB393249 AMX393249 AWT393249 BGP393249 BQL393249 CAH393249 CKD393249 CTZ393249 DDV393249 DNR393249 DXN393249 EHJ393249 ERF393249 FBB393249 FKX393249 FUT393249 GEP393249 GOL393249 GYH393249 HID393249 HRZ393249 IBV393249 ILR393249 IVN393249 JFJ393249 JPF393249 JZB393249 KIX393249 KST393249 LCP393249 LML393249 LWH393249 MGD393249 MPZ393249 MZV393249 NJR393249 NTN393249 ODJ393249 ONF393249 OXB393249 PGX393249 PQT393249 QAP393249 QKL393249 QUH393249 RED393249 RNZ393249 RXV393249 SHR393249 SRN393249 TBJ393249 TLF393249 TVB393249 UEX393249 UOT393249 UYP393249 VIL393249 VSH393249 WCD393249 WLZ393249 WVV393249 N458785 JJ458785 TF458785 ADB458785 AMX458785 AWT458785 BGP458785 BQL458785 CAH458785 CKD458785 CTZ458785 DDV458785 DNR458785 DXN458785 EHJ458785 ERF458785 FBB458785 FKX458785 FUT458785 GEP458785 GOL458785 GYH458785 HID458785 HRZ458785 IBV458785 ILR458785 IVN458785 JFJ458785 JPF458785 JZB458785 KIX458785 KST458785 LCP458785 LML458785 LWH458785 MGD458785 MPZ458785 MZV458785 NJR458785 NTN458785 ODJ458785 ONF458785 OXB458785 PGX458785 PQT458785 QAP458785 QKL458785 QUH458785 RED458785 RNZ458785 RXV458785 SHR458785 SRN458785 TBJ458785 TLF458785 TVB458785 UEX458785 UOT458785 UYP458785 VIL458785 VSH458785 WCD458785 WLZ458785 WVV458785 N524321 JJ524321 TF524321 ADB524321 AMX524321 AWT524321 BGP524321 BQL524321 CAH524321 CKD524321 CTZ524321 DDV524321 DNR524321 DXN524321 EHJ524321 ERF524321 FBB524321 FKX524321 FUT524321 GEP524321 GOL524321 GYH524321 HID524321 HRZ524321 IBV524321 ILR524321 IVN524321 JFJ524321 JPF524321 JZB524321 KIX524321 KST524321 LCP524321 LML524321 LWH524321 MGD524321 MPZ524321 MZV524321 NJR524321 NTN524321 ODJ524321 ONF524321 OXB524321 PGX524321 PQT524321 QAP524321 QKL524321 QUH524321 RED524321 RNZ524321 RXV524321 SHR524321 SRN524321 TBJ524321 TLF524321 TVB524321 UEX524321 UOT524321 UYP524321 VIL524321 VSH524321 WCD524321 WLZ524321 WVV524321 N589857 JJ589857 TF589857 ADB589857 AMX589857 AWT589857 BGP589857 BQL589857 CAH589857 CKD589857 CTZ589857 DDV589857 DNR589857 DXN589857 EHJ589857 ERF589857 FBB589857 FKX589857 FUT589857 GEP589857 GOL589857 GYH589857 HID589857 HRZ589857 IBV589857 ILR589857 IVN589857 JFJ589857 JPF589857 JZB589857 KIX589857 KST589857 LCP589857 LML589857 LWH589857 MGD589857 MPZ589857 MZV589857 NJR589857 NTN589857 ODJ589857 ONF589857 OXB589857 PGX589857 PQT589857 QAP589857 QKL589857 QUH589857 RED589857 RNZ589857 RXV589857 SHR589857 SRN589857 TBJ589857 TLF589857 TVB589857 UEX589857 UOT589857 UYP589857 VIL589857 VSH589857 WCD589857 WLZ589857 WVV589857 N655393 JJ655393 TF655393 ADB655393 AMX655393 AWT655393 BGP655393 BQL655393 CAH655393 CKD655393 CTZ655393 DDV655393 DNR655393 DXN655393 EHJ655393 ERF655393 FBB655393 FKX655393 FUT655393 GEP655393 GOL655393 GYH655393 HID655393 HRZ655393 IBV655393 ILR655393 IVN655393 JFJ655393 JPF655393 JZB655393 KIX655393 KST655393 LCP655393 LML655393 LWH655393 MGD655393 MPZ655393 MZV655393 NJR655393 NTN655393 ODJ655393 ONF655393 OXB655393 PGX655393 PQT655393 QAP655393 QKL655393 QUH655393 RED655393 RNZ655393 RXV655393 SHR655393 SRN655393 TBJ655393 TLF655393 TVB655393 UEX655393 UOT655393 UYP655393 VIL655393 VSH655393 WCD655393 WLZ655393 WVV655393 N720929 JJ720929 TF720929 ADB720929 AMX720929 AWT720929 BGP720929 BQL720929 CAH720929 CKD720929 CTZ720929 DDV720929 DNR720929 DXN720929 EHJ720929 ERF720929 FBB720929 FKX720929 FUT720929 GEP720929 GOL720929 GYH720929 HID720929 HRZ720929 IBV720929 ILR720929 IVN720929 JFJ720929 JPF720929 JZB720929 KIX720929 KST720929 LCP720929 LML720929 LWH720929 MGD720929 MPZ720929 MZV720929 NJR720929 NTN720929 ODJ720929 ONF720929 OXB720929 PGX720929 PQT720929 QAP720929 QKL720929 QUH720929 RED720929 RNZ720929 RXV720929 SHR720929 SRN720929 TBJ720929 TLF720929 TVB720929 UEX720929 UOT720929 UYP720929 VIL720929 VSH720929 WCD720929 WLZ720929 WVV720929 N786465 JJ786465 TF786465 ADB786465 AMX786465 AWT786465 BGP786465 BQL786465 CAH786465 CKD786465 CTZ786465 DDV786465 DNR786465 DXN786465 EHJ786465 ERF786465 FBB786465 FKX786465 FUT786465 GEP786465 GOL786465 GYH786465 HID786465 HRZ786465 IBV786465 ILR786465 IVN786465 JFJ786465 JPF786465 JZB786465 KIX786465 KST786465 LCP786465 LML786465 LWH786465 MGD786465 MPZ786465 MZV786465 NJR786465 NTN786465 ODJ786465 ONF786465 OXB786465 PGX786465 PQT786465 QAP786465 QKL786465 QUH786465 RED786465 RNZ786465 RXV786465 SHR786465 SRN786465 TBJ786465 TLF786465 TVB786465 UEX786465 UOT786465 UYP786465 VIL786465 VSH786465 WCD786465 WLZ786465 WVV786465 N852001 JJ852001 TF852001 ADB852001 AMX852001 AWT852001 BGP852001 BQL852001 CAH852001 CKD852001 CTZ852001 DDV852001 DNR852001 DXN852001 EHJ852001 ERF852001 FBB852001 FKX852001 FUT852001 GEP852001 GOL852001 GYH852001 HID852001 HRZ852001 IBV852001 ILR852001 IVN852001 JFJ852001 JPF852001 JZB852001 KIX852001 KST852001 LCP852001 LML852001 LWH852001 MGD852001 MPZ852001 MZV852001 NJR852001 NTN852001 ODJ852001 ONF852001 OXB852001 PGX852001 PQT852001 QAP852001 QKL852001 QUH852001 RED852001 RNZ852001 RXV852001 SHR852001 SRN852001 TBJ852001 TLF852001 TVB852001 UEX852001 UOT852001 UYP852001 VIL852001 VSH852001 WCD852001 WLZ852001 WVV852001 N917537 JJ917537 TF917537 ADB917537 AMX917537 AWT917537 BGP917537 BQL917537 CAH917537 CKD917537 CTZ917537 DDV917537 DNR917537 DXN917537 EHJ917537 ERF917537 FBB917537 FKX917537 FUT917537 GEP917537 GOL917537 GYH917537 HID917537 HRZ917537 IBV917537 ILR917537 IVN917537 JFJ917537 JPF917537 JZB917537 KIX917537 KST917537 LCP917537 LML917537 LWH917537 MGD917537 MPZ917537 MZV917537 NJR917537 NTN917537 ODJ917537 ONF917537 OXB917537 PGX917537 PQT917537 QAP917537 QKL917537 QUH917537 RED917537 RNZ917537 RXV917537 SHR917537 SRN917537 TBJ917537 TLF917537 TVB917537 UEX917537 UOT917537 UYP917537 VIL917537 VSH917537 WCD917537 WLZ917537 WVV917537 N983073 JJ983073 TF983073 ADB983073 AMX983073 AWT983073 BGP983073 BQL983073 CAH983073 CKD983073 CTZ983073 DDV983073 DNR983073 DXN983073 EHJ983073 ERF983073 FBB983073 FKX983073 FUT983073 GEP983073 GOL983073 GYH983073 HID983073 HRZ983073 IBV983073 ILR983073 IVN983073 JFJ983073 JPF983073 JZB983073 KIX983073 KST983073 LCP983073 LML983073 LWH983073 MGD983073 MPZ983073 MZV983073 NJR983073 NTN983073 ODJ983073 ONF983073 OXB983073 PGX983073 PQT983073 QAP983073 QKL983073 QUH983073 RED983073 RNZ983073 RXV983073 SHR983073 SRN983073 TBJ983073 TLF983073 TVB983073 UEX983073 UOT983073 UYP983073 VIL983073 VSH983073 WCD983073 WLZ983073 WVV983073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H33:H34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E65569:E65570 JA65569:JA65570 SW65569:SW65570 ACS65569:ACS65570 AMO65569:AMO65570 AWK65569:AWK65570 BGG65569:BGG65570 BQC65569:BQC65570 BZY65569:BZY65570 CJU65569:CJU65570 CTQ65569:CTQ65570 DDM65569:DDM65570 DNI65569:DNI65570 DXE65569:DXE65570 EHA65569:EHA65570 EQW65569:EQW65570 FAS65569:FAS65570 FKO65569:FKO65570 FUK65569:FUK65570 GEG65569:GEG65570 GOC65569:GOC65570 GXY65569:GXY65570 HHU65569:HHU65570 HRQ65569:HRQ65570 IBM65569:IBM65570 ILI65569:ILI65570 IVE65569:IVE65570 JFA65569:JFA65570 JOW65569:JOW65570 JYS65569:JYS65570 KIO65569:KIO65570 KSK65569:KSK65570 LCG65569:LCG65570 LMC65569:LMC65570 LVY65569:LVY65570 MFU65569:MFU65570 MPQ65569:MPQ65570 MZM65569:MZM65570 NJI65569:NJI65570 NTE65569:NTE65570 ODA65569:ODA65570 OMW65569:OMW65570 OWS65569:OWS65570 PGO65569:PGO65570 PQK65569:PQK65570 QAG65569:QAG65570 QKC65569:QKC65570 QTY65569:QTY65570 RDU65569:RDU65570 RNQ65569:RNQ65570 RXM65569:RXM65570 SHI65569:SHI65570 SRE65569:SRE65570 TBA65569:TBA65570 TKW65569:TKW65570 TUS65569:TUS65570 UEO65569:UEO65570 UOK65569:UOK65570 UYG65569:UYG65570 VIC65569:VIC65570 VRY65569:VRY65570 WBU65569:WBU65570 WLQ65569:WLQ65570 WVM65569:WVM65570 E131105:E131106 JA131105:JA131106 SW131105:SW131106 ACS131105:ACS131106 AMO131105:AMO131106 AWK131105:AWK131106 BGG131105:BGG131106 BQC131105:BQC131106 BZY131105:BZY131106 CJU131105:CJU131106 CTQ131105:CTQ131106 DDM131105:DDM131106 DNI131105:DNI131106 DXE131105:DXE131106 EHA131105:EHA131106 EQW131105:EQW131106 FAS131105:FAS131106 FKO131105:FKO131106 FUK131105:FUK131106 GEG131105:GEG131106 GOC131105:GOC131106 GXY131105:GXY131106 HHU131105:HHU131106 HRQ131105:HRQ131106 IBM131105:IBM131106 ILI131105:ILI131106 IVE131105:IVE131106 JFA131105:JFA131106 JOW131105:JOW131106 JYS131105:JYS131106 KIO131105:KIO131106 KSK131105:KSK131106 LCG131105:LCG131106 LMC131105:LMC131106 LVY131105:LVY131106 MFU131105:MFU131106 MPQ131105:MPQ131106 MZM131105:MZM131106 NJI131105:NJI131106 NTE131105:NTE131106 ODA131105:ODA131106 OMW131105:OMW131106 OWS131105:OWS131106 PGO131105:PGO131106 PQK131105:PQK131106 QAG131105:QAG131106 QKC131105:QKC131106 QTY131105:QTY131106 RDU131105:RDU131106 RNQ131105:RNQ131106 RXM131105:RXM131106 SHI131105:SHI131106 SRE131105:SRE131106 TBA131105:TBA131106 TKW131105:TKW131106 TUS131105:TUS131106 UEO131105:UEO131106 UOK131105:UOK131106 UYG131105:UYG131106 VIC131105:VIC131106 VRY131105:VRY131106 WBU131105:WBU131106 WLQ131105:WLQ131106 WVM131105:WVM131106 E196641:E196642 JA196641:JA196642 SW196641:SW196642 ACS196641:ACS196642 AMO196641:AMO196642 AWK196641:AWK196642 BGG196641:BGG196642 BQC196641:BQC196642 BZY196641:BZY196642 CJU196641:CJU196642 CTQ196641:CTQ196642 DDM196641:DDM196642 DNI196641:DNI196642 DXE196641:DXE196642 EHA196641:EHA196642 EQW196641:EQW196642 FAS196641:FAS196642 FKO196641:FKO196642 FUK196641:FUK196642 GEG196641:GEG196642 GOC196641:GOC196642 GXY196641:GXY196642 HHU196641:HHU196642 HRQ196641:HRQ196642 IBM196641:IBM196642 ILI196641:ILI196642 IVE196641:IVE196642 JFA196641:JFA196642 JOW196641:JOW196642 JYS196641:JYS196642 KIO196641:KIO196642 KSK196641:KSK196642 LCG196641:LCG196642 LMC196641:LMC196642 LVY196641:LVY196642 MFU196641:MFU196642 MPQ196641:MPQ196642 MZM196641:MZM196642 NJI196641:NJI196642 NTE196641:NTE196642 ODA196641:ODA196642 OMW196641:OMW196642 OWS196641:OWS196642 PGO196641:PGO196642 PQK196641:PQK196642 QAG196641:QAG196642 QKC196641:QKC196642 QTY196641:QTY196642 RDU196641:RDU196642 RNQ196641:RNQ196642 RXM196641:RXM196642 SHI196641:SHI196642 SRE196641:SRE196642 TBA196641:TBA196642 TKW196641:TKW196642 TUS196641:TUS196642 UEO196641:UEO196642 UOK196641:UOK196642 UYG196641:UYG196642 VIC196641:VIC196642 VRY196641:VRY196642 WBU196641:WBU196642 WLQ196641:WLQ196642 WVM196641:WVM196642 E262177:E262178 JA262177:JA262178 SW262177:SW262178 ACS262177:ACS262178 AMO262177:AMO262178 AWK262177:AWK262178 BGG262177:BGG262178 BQC262177:BQC262178 BZY262177:BZY262178 CJU262177:CJU262178 CTQ262177:CTQ262178 DDM262177:DDM262178 DNI262177:DNI262178 DXE262177:DXE262178 EHA262177:EHA262178 EQW262177:EQW262178 FAS262177:FAS262178 FKO262177:FKO262178 FUK262177:FUK262178 GEG262177:GEG262178 GOC262177:GOC262178 GXY262177:GXY262178 HHU262177:HHU262178 HRQ262177:HRQ262178 IBM262177:IBM262178 ILI262177:ILI262178 IVE262177:IVE262178 JFA262177:JFA262178 JOW262177:JOW262178 JYS262177:JYS262178 KIO262177:KIO262178 KSK262177:KSK262178 LCG262177:LCG262178 LMC262177:LMC262178 LVY262177:LVY262178 MFU262177:MFU262178 MPQ262177:MPQ262178 MZM262177:MZM262178 NJI262177:NJI262178 NTE262177:NTE262178 ODA262177:ODA262178 OMW262177:OMW262178 OWS262177:OWS262178 PGO262177:PGO262178 PQK262177:PQK262178 QAG262177:QAG262178 QKC262177:QKC262178 QTY262177:QTY262178 RDU262177:RDU262178 RNQ262177:RNQ262178 RXM262177:RXM262178 SHI262177:SHI262178 SRE262177:SRE262178 TBA262177:TBA262178 TKW262177:TKW262178 TUS262177:TUS262178 UEO262177:UEO262178 UOK262177:UOK262178 UYG262177:UYG262178 VIC262177:VIC262178 VRY262177:VRY262178 WBU262177:WBU262178 WLQ262177:WLQ262178 WVM262177:WVM262178 E327713:E327714 JA327713:JA327714 SW327713:SW327714 ACS327713:ACS327714 AMO327713:AMO327714 AWK327713:AWK327714 BGG327713:BGG327714 BQC327713:BQC327714 BZY327713:BZY327714 CJU327713:CJU327714 CTQ327713:CTQ327714 DDM327713:DDM327714 DNI327713:DNI327714 DXE327713:DXE327714 EHA327713:EHA327714 EQW327713:EQW327714 FAS327713:FAS327714 FKO327713:FKO327714 FUK327713:FUK327714 GEG327713:GEG327714 GOC327713:GOC327714 GXY327713:GXY327714 HHU327713:HHU327714 HRQ327713:HRQ327714 IBM327713:IBM327714 ILI327713:ILI327714 IVE327713:IVE327714 JFA327713:JFA327714 JOW327713:JOW327714 JYS327713:JYS327714 KIO327713:KIO327714 KSK327713:KSK327714 LCG327713:LCG327714 LMC327713:LMC327714 LVY327713:LVY327714 MFU327713:MFU327714 MPQ327713:MPQ327714 MZM327713:MZM327714 NJI327713:NJI327714 NTE327713:NTE327714 ODA327713:ODA327714 OMW327713:OMW327714 OWS327713:OWS327714 PGO327713:PGO327714 PQK327713:PQK327714 QAG327713:QAG327714 QKC327713:QKC327714 QTY327713:QTY327714 RDU327713:RDU327714 RNQ327713:RNQ327714 RXM327713:RXM327714 SHI327713:SHI327714 SRE327713:SRE327714 TBA327713:TBA327714 TKW327713:TKW327714 TUS327713:TUS327714 UEO327713:UEO327714 UOK327713:UOK327714 UYG327713:UYG327714 VIC327713:VIC327714 VRY327713:VRY327714 WBU327713:WBU327714 WLQ327713:WLQ327714 WVM327713:WVM327714 E393249:E393250 JA393249:JA393250 SW393249:SW393250 ACS393249:ACS393250 AMO393249:AMO393250 AWK393249:AWK393250 BGG393249:BGG393250 BQC393249:BQC393250 BZY393249:BZY393250 CJU393249:CJU393250 CTQ393249:CTQ393250 DDM393249:DDM393250 DNI393249:DNI393250 DXE393249:DXE393250 EHA393249:EHA393250 EQW393249:EQW393250 FAS393249:FAS393250 FKO393249:FKO393250 FUK393249:FUK393250 GEG393249:GEG393250 GOC393249:GOC393250 GXY393249:GXY393250 HHU393249:HHU393250 HRQ393249:HRQ393250 IBM393249:IBM393250 ILI393249:ILI393250 IVE393249:IVE393250 JFA393249:JFA393250 JOW393249:JOW393250 JYS393249:JYS393250 KIO393249:KIO393250 KSK393249:KSK393250 LCG393249:LCG393250 LMC393249:LMC393250 LVY393249:LVY393250 MFU393249:MFU393250 MPQ393249:MPQ393250 MZM393249:MZM393250 NJI393249:NJI393250 NTE393249:NTE393250 ODA393249:ODA393250 OMW393249:OMW393250 OWS393249:OWS393250 PGO393249:PGO393250 PQK393249:PQK393250 QAG393249:QAG393250 QKC393249:QKC393250 QTY393249:QTY393250 RDU393249:RDU393250 RNQ393249:RNQ393250 RXM393249:RXM393250 SHI393249:SHI393250 SRE393249:SRE393250 TBA393249:TBA393250 TKW393249:TKW393250 TUS393249:TUS393250 UEO393249:UEO393250 UOK393249:UOK393250 UYG393249:UYG393250 VIC393249:VIC393250 VRY393249:VRY393250 WBU393249:WBU393250 WLQ393249:WLQ393250 WVM393249:WVM393250 E458785:E458786 JA458785:JA458786 SW458785:SW458786 ACS458785:ACS458786 AMO458785:AMO458786 AWK458785:AWK458786 BGG458785:BGG458786 BQC458785:BQC458786 BZY458785:BZY458786 CJU458785:CJU458786 CTQ458785:CTQ458786 DDM458785:DDM458786 DNI458785:DNI458786 DXE458785:DXE458786 EHA458785:EHA458786 EQW458785:EQW458786 FAS458785:FAS458786 FKO458785:FKO458786 FUK458785:FUK458786 GEG458785:GEG458786 GOC458785:GOC458786 GXY458785:GXY458786 HHU458785:HHU458786 HRQ458785:HRQ458786 IBM458785:IBM458786 ILI458785:ILI458786 IVE458785:IVE458786 JFA458785:JFA458786 JOW458785:JOW458786 JYS458785:JYS458786 KIO458785:KIO458786 KSK458785:KSK458786 LCG458785:LCG458786 LMC458785:LMC458786 LVY458785:LVY458786 MFU458785:MFU458786 MPQ458785:MPQ458786 MZM458785:MZM458786 NJI458785:NJI458786 NTE458785:NTE458786 ODA458785:ODA458786 OMW458785:OMW458786 OWS458785:OWS458786 PGO458785:PGO458786 PQK458785:PQK458786 QAG458785:QAG458786 QKC458785:QKC458786 QTY458785:QTY458786 RDU458785:RDU458786 RNQ458785:RNQ458786 RXM458785:RXM458786 SHI458785:SHI458786 SRE458785:SRE458786 TBA458785:TBA458786 TKW458785:TKW458786 TUS458785:TUS458786 UEO458785:UEO458786 UOK458785:UOK458786 UYG458785:UYG458786 VIC458785:VIC458786 VRY458785:VRY458786 WBU458785:WBU458786 WLQ458785:WLQ458786 WVM458785:WVM458786 E524321:E524322 JA524321:JA524322 SW524321:SW524322 ACS524321:ACS524322 AMO524321:AMO524322 AWK524321:AWK524322 BGG524321:BGG524322 BQC524321:BQC524322 BZY524321:BZY524322 CJU524321:CJU524322 CTQ524321:CTQ524322 DDM524321:DDM524322 DNI524321:DNI524322 DXE524321:DXE524322 EHA524321:EHA524322 EQW524321:EQW524322 FAS524321:FAS524322 FKO524321:FKO524322 FUK524321:FUK524322 GEG524321:GEG524322 GOC524321:GOC524322 GXY524321:GXY524322 HHU524321:HHU524322 HRQ524321:HRQ524322 IBM524321:IBM524322 ILI524321:ILI524322 IVE524321:IVE524322 JFA524321:JFA524322 JOW524321:JOW524322 JYS524321:JYS524322 KIO524321:KIO524322 KSK524321:KSK524322 LCG524321:LCG524322 LMC524321:LMC524322 LVY524321:LVY524322 MFU524321:MFU524322 MPQ524321:MPQ524322 MZM524321:MZM524322 NJI524321:NJI524322 NTE524321:NTE524322 ODA524321:ODA524322 OMW524321:OMW524322 OWS524321:OWS524322 PGO524321:PGO524322 PQK524321:PQK524322 QAG524321:QAG524322 QKC524321:QKC524322 QTY524321:QTY524322 RDU524321:RDU524322 RNQ524321:RNQ524322 RXM524321:RXM524322 SHI524321:SHI524322 SRE524321:SRE524322 TBA524321:TBA524322 TKW524321:TKW524322 TUS524321:TUS524322 UEO524321:UEO524322 UOK524321:UOK524322 UYG524321:UYG524322 VIC524321:VIC524322 VRY524321:VRY524322 WBU524321:WBU524322 WLQ524321:WLQ524322 WVM524321:WVM524322 E589857:E589858 JA589857:JA589858 SW589857:SW589858 ACS589857:ACS589858 AMO589857:AMO589858 AWK589857:AWK589858 BGG589857:BGG589858 BQC589857:BQC589858 BZY589857:BZY589858 CJU589857:CJU589858 CTQ589857:CTQ589858 DDM589857:DDM589858 DNI589857:DNI589858 DXE589857:DXE589858 EHA589857:EHA589858 EQW589857:EQW589858 FAS589857:FAS589858 FKO589857:FKO589858 FUK589857:FUK589858 GEG589857:GEG589858 GOC589857:GOC589858 GXY589857:GXY589858 HHU589857:HHU589858 HRQ589857:HRQ589858 IBM589857:IBM589858 ILI589857:ILI589858 IVE589857:IVE589858 JFA589857:JFA589858 JOW589857:JOW589858 JYS589857:JYS589858 KIO589857:KIO589858 KSK589857:KSK589858 LCG589857:LCG589858 LMC589857:LMC589858 LVY589857:LVY589858 MFU589857:MFU589858 MPQ589857:MPQ589858 MZM589857:MZM589858 NJI589857:NJI589858 NTE589857:NTE589858 ODA589857:ODA589858 OMW589857:OMW589858 OWS589857:OWS589858 PGO589857:PGO589858 PQK589857:PQK589858 QAG589857:QAG589858 QKC589857:QKC589858 QTY589857:QTY589858 RDU589857:RDU589858 RNQ589857:RNQ589858 RXM589857:RXM589858 SHI589857:SHI589858 SRE589857:SRE589858 TBA589857:TBA589858 TKW589857:TKW589858 TUS589857:TUS589858 UEO589857:UEO589858 UOK589857:UOK589858 UYG589857:UYG589858 VIC589857:VIC589858 VRY589857:VRY589858 WBU589857:WBU589858 WLQ589857:WLQ589858 WVM589857:WVM589858 E655393:E655394 JA655393:JA655394 SW655393:SW655394 ACS655393:ACS655394 AMO655393:AMO655394 AWK655393:AWK655394 BGG655393:BGG655394 BQC655393:BQC655394 BZY655393:BZY655394 CJU655393:CJU655394 CTQ655393:CTQ655394 DDM655393:DDM655394 DNI655393:DNI655394 DXE655393:DXE655394 EHA655393:EHA655394 EQW655393:EQW655394 FAS655393:FAS655394 FKO655393:FKO655394 FUK655393:FUK655394 GEG655393:GEG655394 GOC655393:GOC655394 GXY655393:GXY655394 HHU655393:HHU655394 HRQ655393:HRQ655394 IBM655393:IBM655394 ILI655393:ILI655394 IVE655393:IVE655394 JFA655393:JFA655394 JOW655393:JOW655394 JYS655393:JYS655394 KIO655393:KIO655394 KSK655393:KSK655394 LCG655393:LCG655394 LMC655393:LMC655394 LVY655393:LVY655394 MFU655393:MFU655394 MPQ655393:MPQ655394 MZM655393:MZM655394 NJI655393:NJI655394 NTE655393:NTE655394 ODA655393:ODA655394 OMW655393:OMW655394 OWS655393:OWS655394 PGO655393:PGO655394 PQK655393:PQK655394 QAG655393:QAG655394 QKC655393:QKC655394 QTY655393:QTY655394 RDU655393:RDU655394 RNQ655393:RNQ655394 RXM655393:RXM655394 SHI655393:SHI655394 SRE655393:SRE655394 TBA655393:TBA655394 TKW655393:TKW655394 TUS655393:TUS655394 UEO655393:UEO655394 UOK655393:UOK655394 UYG655393:UYG655394 VIC655393:VIC655394 VRY655393:VRY655394 WBU655393:WBU655394 WLQ655393:WLQ655394 WVM655393:WVM655394 E720929:E720930 JA720929:JA720930 SW720929:SW720930 ACS720929:ACS720930 AMO720929:AMO720930 AWK720929:AWK720930 BGG720929:BGG720930 BQC720929:BQC720930 BZY720929:BZY720930 CJU720929:CJU720930 CTQ720929:CTQ720930 DDM720929:DDM720930 DNI720929:DNI720930 DXE720929:DXE720930 EHA720929:EHA720930 EQW720929:EQW720930 FAS720929:FAS720930 FKO720929:FKO720930 FUK720929:FUK720930 GEG720929:GEG720930 GOC720929:GOC720930 GXY720929:GXY720930 HHU720929:HHU720930 HRQ720929:HRQ720930 IBM720929:IBM720930 ILI720929:ILI720930 IVE720929:IVE720930 JFA720929:JFA720930 JOW720929:JOW720930 JYS720929:JYS720930 KIO720929:KIO720930 KSK720929:KSK720930 LCG720929:LCG720930 LMC720929:LMC720930 LVY720929:LVY720930 MFU720929:MFU720930 MPQ720929:MPQ720930 MZM720929:MZM720930 NJI720929:NJI720930 NTE720929:NTE720930 ODA720929:ODA720930 OMW720929:OMW720930 OWS720929:OWS720930 PGO720929:PGO720930 PQK720929:PQK720930 QAG720929:QAG720930 QKC720929:QKC720930 QTY720929:QTY720930 RDU720929:RDU720930 RNQ720929:RNQ720930 RXM720929:RXM720930 SHI720929:SHI720930 SRE720929:SRE720930 TBA720929:TBA720930 TKW720929:TKW720930 TUS720929:TUS720930 UEO720929:UEO720930 UOK720929:UOK720930 UYG720929:UYG720930 VIC720929:VIC720930 VRY720929:VRY720930 WBU720929:WBU720930 WLQ720929:WLQ720930 WVM720929:WVM720930 E786465:E786466 JA786465:JA786466 SW786465:SW786466 ACS786465:ACS786466 AMO786465:AMO786466 AWK786465:AWK786466 BGG786465:BGG786466 BQC786465:BQC786466 BZY786465:BZY786466 CJU786465:CJU786466 CTQ786465:CTQ786466 DDM786465:DDM786466 DNI786465:DNI786466 DXE786465:DXE786466 EHA786465:EHA786466 EQW786465:EQW786466 FAS786465:FAS786466 FKO786465:FKO786466 FUK786465:FUK786466 GEG786465:GEG786466 GOC786465:GOC786466 GXY786465:GXY786466 HHU786465:HHU786466 HRQ786465:HRQ786466 IBM786465:IBM786466 ILI786465:ILI786466 IVE786465:IVE786466 JFA786465:JFA786466 JOW786465:JOW786466 JYS786465:JYS786466 KIO786465:KIO786466 KSK786465:KSK786466 LCG786465:LCG786466 LMC786465:LMC786466 LVY786465:LVY786466 MFU786465:MFU786466 MPQ786465:MPQ786466 MZM786465:MZM786466 NJI786465:NJI786466 NTE786465:NTE786466 ODA786465:ODA786466 OMW786465:OMW786466 OWS786465:OWS786466 PGO786465:PGO786466 PQK786465:PQK786466 QAG786465:QAG786466 QKC786465:QKC786466 QTY786465:QTY786466 RDU786465:RDU786466 RNQ786465:RNQ786466 RXM786465:RXM786466 SHI786465:SHI786466 SRE786465:SRE786466 TBA786465:TBA786466 TKW786465:TKW786466 TUS786465:TUS786466 UEO786465:UEO786466 UOK786465:UOK786466 UYG786465:UYG786466 VIC786465:VIC786466 VRY786465:VRY786466 WBU786465:WBU786466 WLQ786465:WLQ786466 WVM786465:WVM786466 E852001:E852002 JA852001:JA852002 SW852001:SW852002 ACS852001:ACS852002 AMO852001:AMO852002 AWK852001:AWK852002 BGG852001:BGG852002 BQC852001:BQC852002 BZY852001:BZY852002 CJU852001:CJU852002 CTQ852001:CTQ852002 DDM852001:DDM852002 DNI852001:DNI852002 DXE852001:DXE852002 EHA852001:EHA852002 EQW852001:EQW852002 FAS852001:FAS852002 FKO852001:FKO852002 FUK852001:FUK852002 GEG852001:GEG852002 GOC852001:GOC852002 GXY852001:GXY852002 HHU852001:HHU852002 HRQ852001:HRQ852002 IBM852001:IBM852002 ILI852001:ILI852002 IVE852001:IVE852002 JFA852001:JFA852002 JOW852001:JOW852002 JYS852001:JYS852002 KIO852001:KIO852002 KSK852001:KSK852002 LCG852001:LCG852002 LMC852001:LMC852002 LVY852001:LVY852002 MFU852001:MFU852002 MPQ852001:MPQ852002 MZM852001:MZM852002 NJI852001:NJI852002 NTE852001:NTE852002 ODA852001:ODA852002 OMW852001:OMW852002 OWS852001:OWS852002 PGO852001:PGO852002 PQK852001:PQK852002 QAG852001:QAG852002 QKC852001:QKC852002 QTY852001:QTY852002 RDU852001:RDU852002 RNQ852001:RNQ852002 RXM852001:RXM852002 SHI852001:SHI852002 SRE852001:SRE852002 TBA852001:TBA852002 TKW852001:TKW852002 TUS852001:TUS852002 UEO852001:UEO852002 UOK852001:UOK852002 UYG852001:UYG852002 VIC852001:VIC852002 VRY852001:VRY852002 WBU852001:WBU852002 WLQ852001:WLQ852002 WVM852001:WVM852002 E917537:E917538 JA917537:JA917538 SW917537:SW917538 ACS917537:ACS917538 AMO917537:AMO917538 AWK917537:AWK917538 BGG917537:BGG917538 BQC917537:BQC917538 BZY917537:BZY917538 CJU917537:CJU917538 CTQ917537:CTQ917538 DDM917537:DDM917538 DNI917537:DNI917538 DXE917537:DXE917538 EHA917537:EHA917538 EQW917537:EQW917538 FAS917537:FAS917538 FKO917537:FKO917538 FUK917537:FUK917538 GEG917537:GEG917538 GOC917537:GOC917538 GXY917537:GXY917538 HHU917537:HHU917538 HRQ917537:HRQ917538 IBM917537:IBM917538 ILI917537:ILI917538 IVE917537:IVE917538 JFA917537:JFA917538 JOW917537:JOW917538 JYS917537:JYS917538 KIO917537:KIO917538 KSK917537:KSK917538 LCG917537:LCG917538 LMC917537:LMC917538 LVY917537:LVY917538 MFU917537:MFU917538 MPQ917537:MPQ917538 MZM917537:MZM917538 NJI917537:NJI917538 NTE917537:NTE917538 ODA917537:ODA917538 OMW917537:OMW917538 OWS917537:OWS917538 PGO917537:PGO917538 PQK917537:PQK917538 QAG917537:QAG917538 QKC917537:QKC917538 QTY917537:QTY917538 RDU917537:RDU917538 RNQ917537:RNQ917538 RXM917537:RXM917538 SHI917537:SHI917538 SRE917537:SRE917538 TBA917537:TBA917538 TKW917537:TKW917538 TUS917537:TUS917538 UEO917537:UEO917538 UOK917537:UOK917538 UYG917537:UYG917538 VIC917537:VIC917538 VRY917537:VRY917538 WBU917537:WBU917538 WLQ917537:WLQ917538 WVM917537:WVM917538 E983073:E983074 JA983073:JA983074 SW983073:SW983074 ACS983073:ACS983074 AMO983073:AMO983074 AWK983073:AWK983074 BGG983073:BGG983074 BQC983073:BQC983074 BZY983073:BZY983074 CJU983073:CJU983074 CTQ983073:CTQ983074 DDM983073:DDM983074 DNI983073:DNI983074 DXE983073:DXE983074 EHA983073:EHA983074 EQW983073:EQW983074 FAS983073:FAS983074 FKO983073:FKO983074 FUK983073:FUK983074 GEG983073:GEG983074 GOC983073:GOC983074 GXY983073:GXY983074 HHU983073:HHU983074 HRQ983073:HRQ983074 IBM983073:IBM983074 ILI983073:ILI983074 IVE983073:IVE983074 JFA983073:JFA983074 JOW983073:JOW983074 JYS983073:JYS983074 KIO983073:KIO983074 KSK983073:KSK983074 LCG983073:LCG983074 LMC983073:LMC983074 LVY983073:LVY983074 MFU983073:MFU983074 MPQ983073:MPQ983074 MZM983073:MZM983074 NJI983073:NJI983074 NTE983073:NTE983074 ODA983073:ODA983074 OMW983073:OMW983074 OWS983073:OWS983074 PGO983073:PGO983074 PQK983073:PQK983074 QAG983073:QAG983074 QKC983073:QKC983074 QTY983073:QTY983074 RDU983073:RDU983074 RNQ983073:RNQ983074 RXM983073:RXM983074 SHI983073:SHI983074 SRE983073:SRE983074 TBA983073:TBA983074 TKW983073:TKW983074 TUS983073:TUS983074 UEO983073:UEO983074 UOK983073:UOK983074 UYG983073:UYG983074 VIC983073:VIC983074 VRY983073:VRY983074 WBU983073:WBU983074 WLQ983073:WLQ983074 WVM983073:WVM983074 Q17 JM17 TI17 ADE17 ANA17 AWW17 BGS17 BQO17 CAK17 CKG17 CUC17 DDY17 DNU17 DXQ17 EHM17 ERI17 FBE17 FLA17 FUW17 GES17 GOO17 GYK17 HIG17 HSC17 IBY17 ILU17 IVQ17 JFM17 JPI17 JZE17 KJA17 KSW17 LCS17 LMO17 LWK17 MGG17 MQC17 MZY17 NJU17 NTQ17 ODM17 ONI17 OXE17 PHA17 PQW17 QAS17 QKO17 QUK17 REG17 ROC17 RXY17 SHU17 SRQ17 TBM17 TLI17 TVE17 UFA17 UOW17 UYS17 VIO17 VSK17 WCG17 WMC17 WVY17 Q65553 JM65553 TI65553 ADE65553 ANA65553 AWW65553 BGS65553 BQO65553 CAK65553 CKG65553 CUC65553 DDY65553 DNU65553 DXQ65553 EHM65553 ERI65553 FBE65553 FLA65553 FUW65553 GES65553 GOO65553 GYK65553 HIG65553 HSC65553 IBY65553 ILU65553 IVQ65553 JFM65553 JPI65553 JZE65553 KJA65553 KSW65553 LCS65553 LMO65553 LWK65553 MGG65553 MQC65553 MZY65553 NJU65553 NTQ65553 ODM65553 ONI65553 OXE65553 PHA65553 PQW65553 QAS65553 QKO65553 QUK65553 REG65553 ROC65553 RXY65553 SHU65553 SRQ65553 TBM65553 TLI65553 TVE65553 UFA65553 UOW65553 UYS65553 VIO65553 VSK65553 WCG65553 WMC65553 WVY65553 Q131089 JM131089 TI131089 ADE131089 ANA131089 AWW131089 BGS131089 BQO131089 CAK131089 CKG131089 CUC131089 DDY131089 DNU131089 DXQ131089 EHM131089 ERI131089 FBE131089 FLA131089 FUW131089 GES131089 GOO131089 GYK131089 HIG131089 HSC131089 IBY131089 ILU131089 IVQ131089 JFM131089 JPI131089 JZE131089 KJA131089 KSW131089 LCS131089 LMO131089 LWK131089 MGG131089 MQC131089 MZY131089 NJU131089 NTQ131089 ODM131089 ONI131089 OXE131089 PHA131089 PQW131089 QAS131089 QKO131089 QUK131089 REG131089 ROC131089 RXY131089 SHU131089 SRQ131089 TBM131089 TLI131089 TVE131089 UFA131089 UOW131089 UYS131089 VIO131089 VSK131089 WCG131089 WMC131089 WVY131089 Q196625 JM196625 TI196625 ADE196625 ANA196625 AWW196625 BGS196625 BQO196625 CAK196625 CKG196625 CUC196625 DDY196625 DNU196625 DXQ196625 EHM196625 ERI196625 FBE196625 FLA196625 FUW196625 GES196625 GOO196625 GYK196625 HIG196625 HSC196625 IBY196625 ILU196625 IVQ196625 JFM196625 JPI196625 JZE196625 KJA196625 KSW196625 LCS196625 LMO196625 LWK196625 MGG196625 MQC196625 MZY196625 NJU196625 NTQ196625 ODM196625 ONI196625 OXE196625 PHA196625 PQW196625 QAS196625 QKO196625 QUK196625 REG196625 ROC196625 RXY196625 SHU196625 SRQ196625 TBM196625 TLI196625 TVE196625 UFA196625 UOW196625 UYS196625 VIO196625 VSK196625 WCG196625 WMC196625 WVY196625 Q262161 JM262161 TI262161 ADE262161 ANA262161 AWW262161 BGS262161 BQO262161 CAK262161 CKG262161 CUC262161 DDY262161 DNU262161 DXQ262161 EHM262161 ERI262161 FBE262161 FLA262161 FUW262161 GES262161 GOO262161 GYK262161 HIG262161 HSC262161 IBY262161 ILU262161 IVQ262161 JFM262161 JPI262161 JZE262161 KJA262161 KSW262161 LCS262161 LMO262161 LWK262161 MGG262161 MQC262161 MZY262161 NJU262161 NTQ262161 ODM262161 ONI262161 OXE262161 PHA262161 PQW262161 QAS262161 QKO262161 QUK262161 REG262161 ROC262161 RXY262161 SHU262161 SRQ262161 TBM262161 TLI262161 TVE262161 UFA262161 UOW262161 UYS262161 VIO262161 VSK262161 WCG262161 WMC262161 WVY262161 Q327697 JM327697 TI327697 ADE327697 ANA327697 AWW327697 BGS327697 BQO327697 CAK327697 CKG327697 CUC327697 DDY327697 DNU327697 DXQ327697 EHM327697 ERI327697 FBE327697 FLA327697 FUW327697 GES327697 GOO327697 GYK327697 HIG327697 HSC327697 IBY327697 ILU327697 IVQ327697 JFM327697 JPI327697 JZE327697 KJA327697 KSW327697 LCS327697 LMO327697 LWK327697 MGG327697 MQC327697 MZY327697 NJU327697 NTQ327697 ODM327697 ONI327697 OXE327697 PHA327697 PQW327697 QAS327697 QKO327697 QUK327697 REG327697 ROC327697 RXY327697 SHU327697 SRQ327697 TBM327697 TLI327697 TVE327697 UFA327697 UOW327697 UYS327697 VIO327697 VSK327697 WCG327697 WMC327697 WVY327697 Q393233 JM393233 TI393233 ADE393233 ANA393233 AWW393233 BGS393233 BQO393233 CAK393233 CKG393233 CUC393233 DDY393233 DNU393233 DXQ393233 EHM393233 ERI393233 FBE393233 FLA393233 FUW393233 GES393233 GOO393233 GYK393233 HIG393233 HSC393233 IBY393233 ILU393233 IVQ393233 JFM393233 JPI393233 JZE393233 KJA393233 KSW393233 LCS393233 LMO393233 LWK393233 MGG393233 MQC393233 MZY393233 NJU393233 NTQ393233 ODM393233 ONI393233 OXE393233 PHA393233 PQW393233 QAS393233 QKO393233 QUK393233 REG393233 ROC393233 RXY393233 SHU393233 SRQ393233 TBM393233 TLI393233 TVE393233 UFA393233 UOW393233 UYS393233 VIO393233 VSK393233 WCG393233 WMC393233 WVY393233 Q458769 JM458769 TI458769 ADE458769 ANA458769 AWW458769 BGS458769 BQO458769 CAK458769 CKG458769 CUC458769 DDY458769 DNU458769 DXQ458769 EHM458769 ERI458769 FBE458769 FLA458769 FUW458769 GES458769 GOO458769 GYK458769 HIG458769 HSC458769 IBY458769 ILU458769 IVQ458769 JFM458769 JPI458769 JZE458769 KJA458769 KSW458769 LCS458769 LMO458769 LWK458769 MGG458769 MQC458769 MZY458769 NJU458769 NTQ458769 ODM458769 ONI458769 OXE458769 PHA458769 PQW458769 QAS458769 QKO458769 QUK458769 REG458769 ROC458769 RXY458769 SHU458769 SRQ458769 TBM458769 TLI458769 TVE458769 UFA458769 UOW458769 UYS458769 VIO458769 VSK458769 WCG458769 WMC458769 WVY458769 Q524305 JM524305 TI524305 ADE524305 ANA524305 AWW524305 BGS524305 BQO524305 CAK524305 CKG524305 CUC524305 DDY524305 DNU524305 DXQ524305 EHM524305 ERI524305 FBE524305 FLA524305 FUW524305 GES524305 GOO524305 GYK524305 HIG524305 HSC524305 IBY524305 ILU524305 IVQ524305 JFM524305 JPI524305 JZE524305 KJA524305 KSW524305 LCS524305 LMO524305 LWK524305 MGG524305 MQC524305 MZY524305 NJU524305 NTQ524305 ODM524305 ONI524305 OXE524305 PHA524305 PQW524305 QAS524305 QKO524305 QUK524305 REG524305 ROC524305 RXY524305 SHU524305 SRQ524305 TBM524305 TLI524305 TVE524305 UFA524305 UOW524305 UYS524305 VIO524305 VSK524305 WCG524305 WMC524305 WVY524305 Q589841 JM589841 TI589841 ADE589841 ANA589841 AWW589841 BGS589841 BQO589841 CAK589841 CKG589841 CUC589841 DDY589841 DNU589841 DXQ589841 EHM589841 ERI589841 FBE589841 FLA589841 FUW589841 GES589841 GOO589841 GYK589841 HIG589841 HSC589841 IBY589841 ILU589841 IVQ589841 JFM589841 JPI589841 JZE589841 KJA589841 KSW589841 LCS589841 LMO589841 LWK589841 MGG589841 MQC589841 MZY589841 NJU589841 NTQ589841 ODM589841 ONI589841 OXE589841 PHA589841 PQW589841 QAS589841 QKO589841 QUK589841 REG589841 ROC589841 RXY589841 SHU589841 SRQ589841 TBM589841 TLI589841 TVE589841 UFA589841 UOW589841 UYS589841 VIO589841 VSK589841 WCG589841 WMC589841 WVY589841 Q655377 JM655377 TI655377 ADE655377 ANA655377 AWW655377 BGS655377 BQO655377 CAK655377 CKG655377 CUC655377 DDY655377 DNU655377 DXQ655377 EHM655377 ERI655377 FBE655377 FLA655377 FUW655377 GES655377 GOO655377 GYK655377 HIG655377 HSC655377 IBY655377 ILU655377 IVQ655377 JFM655377 JPI655377 JZE655377 KJA655377 KSW655377 LCS655377 LMO655377 LWK655377 MGG655377 MQC655377 MZY655377 NJU655377 NTQ655377 ODM655377 ONI655377 OXE655377 PHA655377 PQW655377 QAS655377 QKO655377 QUK655377 REG655377 ROC655377 RXY655377 SHU655377 SRQ655377 TBM655377 TLI655377 TVE655377 UFA655377 UOW655377 UYS655377 VIO655377 VSK655377 WCG655377 WMC655377 WVY655377 Q720913 JM720913 TI720913 ADE720913 ANA720913 AWW720913 BGS720913 BQO720913 CAK720913 CKG720913 CUC720913 DDY720913 DNU720913 DXQ720913 EHM720913 ERI720913 FBE720913 FLA720913 FUW720913 GES720913 GOO720913 GYK720913 HIG720913 HSC720913 IBY720913 ILU720913 IVQ720913 JFM720913 JPI720913 JZE720913 KJA720913 KSW720913 LCS720913 LMO720913 LWK720913 MGG720913 MQC720913 MZY720913 NJU720913 NTQ720913 ODM720913 ONI720913 OXE720913 PHA720913 PQW720913 QAS720913 QKO720913 QUK720913 REG720913 ROC720913 RXY720913 SHU720913 SRQ720913 TBM720913 TLI720913 TVE720913 UFA720913 UOW720913 UYS720913 VIO720913 VSK720913 WCG720913 WMC720913 WVY720913 Q786449 JM786449 TI786449 ADE786449 ANA786449 AWW786449 BGS786449 BQO786449 CAK786449 CKG786449 CUC786449 DDY786449 DNU786449 DXQ786449 EHM786449 ERI786449 FBE786449 FLA786449 FUW786449 GES786449 GOO786449 GYK786449 HIG786449 HSC786449 IBY786449 ILU786449 IVQ786449 JFM786449 JPI786449 JZE786449 KJA786449 KSW786449 LCS786449 LMO786449 LWK786449 MGG786449 MQC786449 MZY786449 NJU786449 NTQ786449 ODM786449 ONI786449 OXE786449 PHA786449 PQW786449 QAS786449 QKO786449 QUK786449 REG786449 ROC786449 RXY786449 SHU786449 SRQ786449 TBM786449 TLI786449 TVE786449 UFA786449 UOW786449 UYS786449 VIO786449 VSK786449 WCG786449 WMC786449 WVY786449 Q851985 JM851985 TI851985 ADE851985 ANA851985 AWW851985 BGS851985 BQO851985 CAK851985 CKG851985 CUC851985 DDY851985 DNU851985 DXQ851985 EHM851985 ERI851985 FBE851985 FLA851985 FUW851985 GES851985 GOO851985 GYK851985 HIG851985 HSC851985 IBY851985 ILU851985 IVQ851985 JFM851985 JPI851985 JZE851985 KJA851985 KSW851985 LCS851985 LMO851985 LWK851985 MGG851985 MQC851985 MZY851985 NJU851985 NTQ851985 ODM851985 ONI851985 OXE851985 PHA851985 PQW851985 QAS851985 QKO851985 QUK851985 REG851985 ROC851985 RXY851985 SHU851985 SRQ851985 TBM851985 TLI851985 TVE851985 UFA851985 UOW851985 UYS851985 VIO851985 VSK851985 WCG851985 WMC851985 WVY851985 Q917521 JM917521 TI917521 ADE917521 ANA917521 AWW917521 BGS917521 BQO917521 CAK917521 CKG917521 CUC917521 DDY917521 DNU917521 DXQ917521 EHM917521 ERI917521 FBE917521 FLA917521 FUW917521 GES917521 GOO917521 GYK917521 HIG917521 HSC917521 IBY917521 ILU917521 IVQ917521 JFM917521 JPI917521 JZE917521 KJA917521 KSW917521 LCS917521 LMO917521 LWK917521 MGG917521 MQC917521 MZY917521 NJU917521 NTQ917521 ODM917521 ONI917521 OXE917521 PHA917521 PQW917521 QAS917521 QKO917521 QUK917521 REG917521 ROC917521 RXY917521 SHU917521 SRQ917521 TBM917521 TLI917521 TVE917521 UFA917521 UOW917521 UYS917521 VIO917521 VSK917521 WCG917521 WMC917521 WVY917521 Q983057 JM983057 TI983057 ADE983057 ANA983057 AWW983057 BGS983057 BQO983057 CAK983057 CKG983057 CUC983057 DDY983057 DNU983057 DXQ983057 EHM983057 ERI983057 FBE983057 FLA983057 FUW983057 GES983057 GOO983057 GYK983057 HIG983057 HSC983057 IBY983057 ILU983057 IVQ983057 JFM983057 JPI983057 JZE983057 KJA983057 KSW983057 LCS983057 LMO983057 LWK983057 MGG983057 MQC983057 MZY983057 NJU983057 NTQ983057 ODM983057 ONI983057 OXE983057 PHA983057 PQW983057 QAS983057 QKO983057 QUK983057 REG983057 ROC983057 RXY983057 SHU983057 SRQ983057 TBM983057 TLI983057 TVE983057 UFA983057 UOW983057 UYS983057 VIO983057 VSK983057 WCG983057 WMC983057 WVY983057 B12:B17 IX12:IX17 ST12:ST17 ACP12:ACP17 AML12:AML17 AWH12:AWH17 BGD12:BGD17 BPZ12:BPZ17 BZV12:BZV17 CJR12:CJR17 CTN12:CTN17 DDJ12:DDJ17 DNF12:DNF17 DXB12:DXB17 EGX12:EGX17 EQT12:EQT17 FAP12:FAP17 FKL12:FKL17 FUH12:FUH17 GED12:GED17 GNZ12:GNZ17 GXV12:GXV17 HHR12:HHR17 HRN12:HRN17 IBJ12:IBJ17 ILF12:ILF17 IVB12:IVB17 JEX12:JEX17 JOT12:JOT17 JYP12:JYP17 KIL12:KIL17 KSH12:KSH17 LCD12:LCD17 LLZ12:LLZ17 LVV12:LVV17 MFR12:MFR17 MPN12:MPN17 MZJ12:MZJ17 NJF12:NJF17 NTB12:NTB17 OCX12:OCX17 OMT12:OMT17 OWP12:OWP17 PGL12:PGL17 PQH12:PQH17 QAD12:QAD17 QJZ12:QJZ17 QTV12:QTV17 RDR12:RDR17 RNN12:RNN17 RXJ12:RXJ17 SHF12:SHF17 SRB12:SRB17 TAX12:TAX17 TKT12:TKT17 TUP12:TUP17 UEL12:UEL17 UOH12:UOH17 UYD12:UYD17 VHZ12:VHZ17 VRV12:VRV17 WBR12:WBR17 WLN12:WLN17 WVJ12:WVJ17 B65548:B65553 IX65548:IX65553 ST65548:ST65553 ACP65548:ACP65553 AML65548:AML65553 AWH65548:AWH65553 BGD65548:BGD65553 BPZ65548:BPZ65553 BZV65548:BZV65553 CJR65548:CJR65553 CTN65548:CTN65553 DDJ65548:DDJ65553 DNF65548:DNF65553 DXB65548:DXB65553 EGX65548:EGX65553 EQT65548:EQT65553 FAP65548:FAP65553 FKL65548:FKL65553 FUH65548:FUH65553 GED65548:GED65553 GNZ65548:GNZ65553 GXV65548:GXV65553 HHR65548:HHR65553 HRN65548:HRN65553 IBJ65548:IBJ65553 ILF65548:ILF65553 IVB65548:IVB65553 JEX65548:JEX65553 JOT65548:JOT65553 JYP65548:JYP65553 KIL65548:KIL65553 KSH65548:KSH65553 LCD65548:LCD65553 LLZ65548:LLZ65553 LVV65548:LVV65553 MFR65548:MFR65553 MPN65548:MPN65553 MZJ65548:MZJ65553 NJF65548:NJF65553 NTB65548:NTB65553 OCX65548:OCX65553 OMT65548:OMT65553 OWP65548:OWP65553 PGL65548:PGL65553 PQH65548:PQH65553 QAD65548:QAD65553 QJZ65548:QJZ65553 QTV65548:QTV65553 RDR65548:RDR65553 RNN65548:RNN65553 RXJ65548:RXJ65553 SHF65548:SHF65553 SRB65548:SRB65553 TAX65548:TAX65553 TKT65548:TKT65553 TUP65548:TUP65553 UEL65548:UEL65553 UOH65548:UOH65553 UYD65548:UYD65553 VHZ65548:VHZ65553 VRV65548:VRV65553 WBR65548:WBR65553 WLN65548:WLN65553 WVJ65548:WVJ65553 B131084:B131089 IX131084:IX131089 ST131084:ST131089 ACP131084:ACP131089 AML131084:AML131089 AWH131084:AWH131089 BGD131084:BGD131089 BPZ131084:BPZ131089 BZV131084:BZV131089 CJR131084:CJR131089 CTN131084:CTN131089 DDJ131084:DDJ131089 DNF131084:DNF131089 DXB131084:DXB131089 EGX131084:EGX131089 EQT131084:EQT131089 FAP131084:FAP131089 FKL131084:FKL131089 FUH131084:FUH131089 GED131084:GED131089 GNZ131084:GNZ131089 GXV131084:GXV131089 HHR131084:HHR131089 HRN131084:HRN131089 IBJ131084:IBJ131089 ILF131084:ILF131089 IVB131084:IVB131089 JEX131084:JEX131089 JOT131084:JOT131089 JYP131084:JYP131089 KIL131084:KIL131089 KSH131084:KSH131089 LCD131084:LCD131089 LLZ131084:LLZ131089 LVV131084:LVV131089 MFR131084:MFR131089 MPN131084:MPN131089 MZJ131084:MZJ131089 NJF131084:NJF131089 NTB131084:NTB131089 OCX131084:OCX131089 OMT131084:OMT131089 OWP131084:OWP131089 PGL131084:PGL131089 PQH131084:PQH131089 QAD131084:QAD131089 QJZ131084:QJZ131089 QTV131084:QTV131089 RDR131084:RDR131089 RNN131084:RNN131089 RXJ131084:RXJ131089 SHF131084:SHF131089 SRB131084:SRB131089 TAX131084:TAX131089 TKT131084:TKT131089 TUP131084:TUP131089 UEL131084:UEL131089 UOH131084:UOH131089 UYD131084:UYD131089 VHZ131084:VHZ131089 VRV131084:VRV131089 WBR131084:WBR131089 WLN131084:WLN131089 WVJ131084:WVJ131089 B196620:B196625 IX196620:IX196625 ST196620:ST196625 ACP196620:ACP196625 AML196620:AML196625 AWH196620:AWH196625 BGD196620:BGD196625 BPZ196620:BPZ196625 BZV196620:BZV196625 CJR196620:CJR196625 CTN196620:CTN196625 DDJ196620:DDJ196625 DNF196620:DNF196625 DXB196620:DXB196625 EGX196620:EGX196625 EQT196620:EQT196625 FAP196620:FAP196625 FKL196620:FKL196625 FUH196620:FUH196625 GED196620:GED196625 GNZ196620:GNZ196625 GXV196620:GXV196625 HHR196620:HHR196625 HRN196620:HRN196625 IBJ196620:IBJ196625 ILF196620:ILF196625 IVB196620:IVB196625 JEX196620:JEX196625 JOT196620:JOT196625 JYP196620:JYP196625 KIL196620:KIL196625 KSH196620:KSH196625 LCD196620:LCD196625 LLZ196620:LLZ196625 LVV196620:LVV196625 MFR196620:MFR196625 MPN196620:MPN196625 MZJ196620:MZJ196625 NJF196620:NJF196625 NTB196620:NTB196625 OCX196620:OCX196625 OMT196620:OMT196625 OWP196620:OWP196625 PGL196620:PGL196625 PQH196620:PQH196625 QAD196620:QAD196625 QJZ196620:QJZ196625 QTV196620:QTV196625 RDR196620:RDR196625 RNN196620:RNN196625 RXJ196620:RXJ196625 SHF196620:SHF196625 SRB196620:SRB196625 TAX196620:TAX196625 TKT196620:TKT196625 TUP196620:TUP196625 UEL196620:UEL196625 UOH196620:UOH196625 UYD196620:UYD196625 VHZ196620:VHZ196625 VRV196620:VRV196625 WBR196620:WBR196625 WLN196620:WLN196625 WVJ196620:WVJ196625 B262156:B262161 IX262156:IX262161 ST262156:ST262161 ACP262156:ACP262161 AML262156:AML262161 AWH262156:AWH262161 BGD262156:BGD262161 BPZ262156:BPZ262161 BZV262156:BZV262161 CJR262156:CJR262161 CTN262156:CTN262161 DDJ262156:DDJ262161 DNF262156:DNF262161 DXB262156:DXB262161 EGX262156:EGX262161 EQT262156:EQT262161 FAP262156:FAP262161 FKL262156:FKL262161 FUH262156:FUH262161 GED262156:GED262161 GNZ262156:GNZ262161 GXV262156:GXV262161 HHR262156:HHR262161 HRN262156:HRN262161 IBJ262156:IBJ262161 ILF262156:ILF262161 IVB262156:IVB262161 JEX262156:JEX262161 JOT262156:JOT262161 JYP262156:JYP262161 KIL262156:KIL262161 KSH262156:KSH262161 LCD262156:LCD262161 LLZ262156:LLZ262161 LVV262156:LVV262161 MFR262156:MFR262161 MPN262156:MPN262161 MZJ262156:MZJ262161 NJF262156:NJF262161 NTB262156:NTB262161 OCX262156:OCX262161 OMT262156:OMT262161 OWP262156:OWP262161 PGL262156:PGL262161 PQH262156:PQH262161 QAD262156:QAD262161 QJZ262156:QJZ262161 QTV262156:QTV262161 RDR262156:RDR262161 RNN262156:RNN262161 RXJ262156:RXJ262161 SHF262156:SHF262161 SRB262156:SRB262161 TAX262156:TAX262161 TKT262156:TKT262161 TUP262156:TUP262161 UEL262156:UEL262161 UOH262156:UOH262161 UYD262156:UYD262161 VHZ262156:VHZ262161 VRV262156:VRV262161 WBR262156:WBR262161 WLN262156:WLN262161 WVJ262156:WVJ262161 B327692:B327697 IX327692:IX327697 ST327692:ST327697 ACP327692:ACP327697 AML327692:AML327697 AWH327692:AWH327697 BGD327692:BGD327697 BPZ327692:BPZ327697 BZV327692:BZV327697 CJR327692:CJR327697 CTN327692:CTN327697 DDJ327692:DDJ327697 DNF327692:DNF327697 DXB327692:DXB327697 EGX327692:EGX327697 EQT327692:EQT327697 FAP327692:FAP327697 FKL327692:FKL327697 FUH327692:FUH327697 GED327692:GED327697 GNZ327692:GNZ327697 GXV327692:GXV327697 HHR327692:HHR327697 HRN327692:HRN327697 IBJ327692:IBJ327697 ILF327692:ILF327697 IVB327692:IVB327697 JEX327692:JEX327697 JOT327692:JOT327697 JYP327692:JYP327697 KIL327692:KIL327697 KSH327692:KSH327697 LCD327692:LCD327697 LLZ327692:LLZ327697 LVV327692:LVV327697 MFR327692:MFR327697 MPN327692:MPN327697 MZJ327692:MZJ327697 NJF327692:NJF327697 NTB327692:NTB327697 OCX327692:OCX327697 OMT327692:OMT327697 OWP327692:OWP327697 PGL327692:PGL327697 PQH327692:PQH327697 QAD327692:QAD327697 QJZ327692:QJZ327697 QTV327692:QTV327697 RDR327692:RDR327697 RNN327692:RNN327697 RXJ327692:RXJ327697 SHF327692:SHF327697 SRB327692:SRB327697 TAX327692:TAX327697 TKT327692:TKT327697 TUP327692:TUP327697 UEL327692:UEL327697 UOH327692:UOH327697 UYD327692:UYD327697 VHZ327692:VHZ327697 VRV327692:VRV327697 WBR327692:WBR327697 WLN327692:WLN327697 WVJ327692:WVJ327697 B393228:B393233 IX393228:IX393233 ST393228:ST393233 ACP393228:ACP393233 AML393228:AML393233 AWH393228:AWH393233 BGD393228:BGD393233 BPZ393228:BPZ393233 BZV393228:BZV393233 CJR393228:CJR393233 CTN393228:CTN393233 DDJ393228:DDJ393233 DNF393228:DNF393233 DXB393228:DXB393233 EGX393228:EGX393233 EQT393228:EQT393233 FAP393228:FAP393233 FKL393228:FKL393233 FUH393228:FUH393233 GED393228:GED393233 GNZ393228:GNZ393233 GXV393228:GXV393233 HHR393228:HHR393233 HRN393228:HRN393233 IBJ393228:IBJ393233 ILF393228:ILF393233 IVB393228:IVB393233 JEX393228:JEX393233 JOT393228:JOT393233 JYP393228:JYP393233 KIL393228:KIL393233 KSH393228:KSH393233 LCD393228:LCD393233 LLZ393228:LLZ393233 LVV393228:LVV393233 MFR393228:MFR393233 MPN393228:MPN393233 MZJ393228:MZJ393233 NJF393228:NJF393233 NTB393228:NTB393233 OCX393228:OCX393233 OMT393228:OMT393233 OWP393228:OWP393233 PGL393228:PGL393233 PQH393228:PQH393233 QAD393228:QAD393233 QJZ393228:QJZ393233 QTV393228:QTV393233 RDR393228:RDR393233 RNN393228:RNN393233 RXJ393228:RXJ393233 SHF393228:SHF393233 SRB393228:SRB393233 TAX393228:TAX393233 TKT393228:TKT393233 TUP393228:TUP393233 UEL393228:UEL393233 UOH393228:UOH393233 UYD393228:UYD393233 VHZ393228:VHZ393233 VRV393228:VRV393233 WBR393228:WBR393233 WLN393228:WLN393233 WVJ393228:WVJ393233 B458764:B458769 IX458764:IX458769 ST458764:ST458769 ACP458764:ACP458769 AML458764:AML458769 AWH458764:AWH458769 BGD458764:BGD458769 BPZ458764:BPZ458769 BZV458764:BZV458769 CJR458764:CJR458769 CTN458764:CTN458769 DDJ458764:DDJ458769 DNF458764:DNF458769 DXB458764:DXB458769 EGX458764:EGX458769 EQT458764:EQT458769 FAP458764:FAP458769 FKL458764:FKL458769 FUH458764:FUH458769 GED458764:GED458769 GNZ458764:GNZ458769 GXV458764:GXV458769 HHR458764:HHR458769 HRN458764:HRN458769 IBJ458764:IBJ458769 ILF458764:ILF458769 IVB458764:IVB458769 JEX458764:JEX458769 JOT458764:JOT458769 JYP458764:JYP458769 KIL458764:KIL458769 KSH458764:KSH458769 LCD458764:LCD458769 LLZ458764:LLZ458769 LVV458764:LVV458769 MFR458764:MFR458769 MPN458764:MPN458769 MZJ458764:MZJ458769 NJF458764:NJF458769 NTB458764:NTB458769 OCX458764:OCX458769 OMT458764:OMT458769 OWP458764:OWP458769 PGL458764:PGL458769 PQH458764:PQH458769 QAD458764:QAD458769 QJZ458764:QJZ458769 QTV458764:QTV458769 RDR458764:RDR458769 RNN458764:RNN458769 RXJ458764:RXJ458769 SHF458764:SHF458769 SRB458764:SRB458769 TAX458764:TAX458769 TKT458764:TKT458769 TUP458764:TUP458769 UEL458764:UEL458769 UOH458764:UOH458769 UYD458764:UYD458769 VHZ458764:VHZ458769 VRV458764:VRV458769 WBR458764:WBR458769 WLN458764:WLN458769 WVJ458764:WVJ458769 B524300:B524305 IX524300:IX524305 ST524300:ST524305 ACP524300:ACP524305 AML524300:AML524305 AWH524300:AWH524305 BGD524300:BGD524305 BPZ524300:BPZ524305 BZV524300:BZV524305 CJR524300:CJR524305 CTN524300:CTN524305 DDJ524300:DDJ524305 DNF524300:DNF524305 DXB524300:DXB524305 EGX524300:EGX524305 EQT524300:EQT524305 FAP524300:FAP524305 FKL524300:FKL524305 FUH524300:FUH524305 GED524300:GED524305 GNZ524300:GNZ524305 GXV524300:GXV524305 HHR524300:HHR524305 HRN524300:HRN524305 IBJ524300:IBJ524305 ILF524300:ILF524305 IVB524300:IVB524305 JEX524300:JEX524305 JOT524300:JOT524305 JYP524300:JYP524305 KIL524300:KIL524305 KSH524300:KSH524305 LCD524300:LCD524305 LLZ524300:LLZ524305 LVV524300:LVV524305 MFR524300:MFR524305 MPN524300:MPN524305 MZJ524300:MZJ524305 NJF524300:NJF524305 NTB524300:NTB524305 OCX524300:OCX524305 OMT524300:OMT524305 OWP524300:OWP524305 PGL524300:PGL524305 PQH524300:PQH524305 QAD524300:QAD524305 QJZ524300:QJZ524305 QTV524300:QTV524305 RDR524300:RDR524305 RNN524300:RNN524305 RXJ524300:RXJ524305 SHF524300:SHF524305 SRB524300:SRB524305 TAX524300:TAX524305 TKT524300:TKT524305 TUP524300:TUP524305 UEL524300:UEL524305 UOH524300:UOH524305 UYD524300:UYD524305 VHZ524300:VHZ524305 VRV524300:VRV524305 WBR524300:WBR524305 WLN524300:WLN524305 WVJ524300:WVJ524305 B589836:B589841 IX589836:IX589841 ST589836:ST589841 ACP589836:ACP589841 AML589836:AML589841 AWH589836:AWH589841 BGD589836:BGD589841 BPZ589836:BPZ589841 BZV589836:BZV589841 CJR589836:CJR589841 CTN589836:CTN589841 DDJ589836:DDJ589841 DNF589836:DNF589841 DXB589836:DXB589841 EGX589836:EGX589841 EQT589836:EQT589841 FAP589836:FAP589841 FKL589836:FKL589841 FUH589836:FUH589841 GED589836:GED589841 GNZ589836:GNZ589841 GXV589836:GXV589841 HHR589836:HHR589841 HRN589836:HRN589841 IBJ589836:IBJ589841 ILF589836:ILF589841 IVB589836:IVB589841 JEX589836:JEX589841 JOT589836:JOT589841 JYP589836:JYP589841 KIL589836:KIL589841 KSH589836:KSH589841 LCD589836:LCD589841 LLZ589836:LLZ589841 LVV589836:LVV589841 MFR589836:MFR589841 MPN589836:MPN589841 MZJ589836:MZJ589841 NJF589836:NJF589841 NTB589836:NTB589841 OCX589836:OCX589841 OMT589836:OMT589841 OWP589836:OWP589841 PGL589836:PGL589841 PQH589836:PQH589841 QAD589836:QAD589841 QJZ589836:QJZ589841 QTV589836:QTV589841 RDR589836:RDR589841 RNN589836:RNN589841 RXJ589836:RXJ589841 SHF589836:SHF589841 SRB589836:SRB589841 TAX589836:TAX589841 TKT589836:TKT589841 TUP589836:TUP589841 UEL589836:UEL589841 UOH589836:UOH589841 UYD589836:UYD589841 VHZ589836:VHZ589841 VRV589836:VRV589841 WBR589836:WBR589841 WLN589836:WLN589841 WVJ589836:WVJ589841 B655372:B655377 IX655372:IX655377 ST655372:ST655377 ACP655372:ACP655377 AML655372:AML655377 AWH655372:AWH655377 BGD655372:BGD655377 BPZ655372:BPZ655377 BZV655372:BZV655377 CJR655372:CJR655377 CTN655372:CTN655377 DDJ655372:DDJ655377 DNF655372:DNF655377 DXB655372:DXB655377 EGX655372:EGX655377 EQT655372:EQT655377 FAP655372:FAP655377 FKL655372:FKL655377 FUH655372:FUH655377 GED655372:GED655377 GNZ655372:GNZ655377 GXV655372:GXV655377 HHR655372:HHR655377 HRN655372:HRN655377 IBJ655372:IBJ655377 ILF655372:ILF655377 IVB655372:IVB655377 JEX655372:JEX655377 JOT655372:JOT655377 JYP655372:JYP655377 KIL655372:KIL655377 KSH655372:KSH655377 LCD655372:LCD655377 LLZ655372:LLZ655377 LVV655372:LVV655377 MFR655372:MFR655377 MPN655372:MPN655377 MZJ655372:MZJ655377 NJF655372:NJF655377 NTB655372:NTB655377 OCX655372:OCX655377 OMT655372:OMT655377 OWP655372:OWP655377 PGL655372:PGL655377 PQH655372:PQH655377 QAD655372:QAD655377 QJZ655372:QJZ655377 QTV655372:QTV655377 RDR655372:RDR655377 RNN655372:RNN655377 RXJ655372:RXJ655377 SHF655372:SHF655377 SRB655372:SRB655377 TAX655372:TAX655377 TKT655372:TKT655377 TUP655372:TUP655377 UEL655372:UEL655377 UOH655372:UOH655377 UYD655372:UYD655377 VHZ655372:VHZ655377 VRV655372:VRV655377 WBR655372:WBR655377 WLN655372:WLN655377 WVJ655372:WVJ655377 B720908:B720913 IX720908:IX720913 ST720908:ST720913 ACP720908:ACP720913 AML720908:AML720913 AWH720908:AWH720913 BGD720908:BGD720913 BPZ720908:BPZ720913 BZV720908:BZV720913 CJR720908:CJR720913 CTN720908:CTN720913 DDJ720908:DDJ720913 DNF720908:DNF720913 DXB720908:DXB720913 EGX720908:EGX720913 EQT720908:EQT720913 FAP720908:FAP720913 FKL720908:FKL720913 FUH720908:FUH720913 GED720908:GED720913 GNZ720908:GNZ720913 GXV720908:GXV720913 HHR720908:HHR720913 HRN720908:HRN720913 IBJ720908:IBJ720913 ILF720908:ILF720913 IVB720908:IVB720913 JEX720908:JEX720913 JOT720908:JOT720913 JYP720908:JYP720913 KIL720908:KIL720913 KSH720908:KSH720913 LCD720908:LCD720913 LLZ720908:LLZ720913 LVV720908:LVV720913 MFR720908:MFR720913 MPN720908:MPN720913 MZJ720908:MZJ720913 NJF720908:NJF720913 NTB720908:NTB720913 OCX720908:OCX720913 OMT720908:OMT720913 OWP720908:OWP720913 PGL720908:PGL720913 PQH720908:PQH720913 QAD720908:QAD720913 QJZ720908:QJZ720913 QTV720908:QTV720913 RDR720908:RDR720913 RNN720908:RNN720913 RXJ720908:RXJ720913 SHF720908:SHF720913 SRB720908:SRB720913 TAX720908:TAX720913 TKT720908:TKT720913 TUP720908:TUP720913 UEL720908:UEL720913 UOH720908:UOH720913 UYD720908:UYD720913 VHZ720908:VHZ720913 VRV720908:VRV720913 WBR720908:WBR720913 WLN720908:WLN720913 WVJ720908:WVJ720913 B786444:B786449 IX786444:IX786449 ST786444:ST786449 ACP786444:ACP786449 AML786444:AML786449 AWH786444:AWH786449 BGD786444:BGD786449 BPZ786444:BPZ786449 BZV786444:BZV786449 CJR786444:CJR786449 CTN786444:CTN786449 DDJ786444:DDJ786449 DNF786444:DNF786449 DXB786444:DXB786449 EGX786444:EGX786449 EQT786444:EQT786449 FAP786444:FAP786449 FKL786444:FKL786449 FUH786444:FUH786449 GED786444:GED786449 GNZ786444:GNZ786449 GXV786444:GXV786449 HHR786444:HHR786449 HRN786444:HRN786449 IBJ786444:IBJ786449 ILF786444:ILF786449 IVB786444:IVB786449 JEX786444:JEX786449 JOT786444:JOT786449 JYP786444:JYP786449 KIL786444:KIL786449 KSH786444:KSH786449 LCD786444:LCD786449 LLZ786444:LLZ786449 LVV786444:LVV786449 MFR786444:MFR786449 MPN786444:MPN786449 MZJ786444:MZJ786449 NJF786444:NJF786449 NTB786444:NTB786449 OCX786444:OCX786449 OMT786444:OMT786449 OWP786444:OWP786449 PGL786444:PGL786449 PQH786444:PQH786449 QAD786444:QAD786449 QJZ786444:QJZ786449 QTV786444:QTV786449 RDR786444:RDR786449 RNN786444:RNN786449 RXJ786444:RXJ786449 SHF786444:SHF786449 SRB786444:SRB786449 TAX786444:TAX786449 TKT786444:TKT786449 TUP786444:TUP786449 UEL786444:UEL786449 UOH786444:UOH786449 UYD786444:UYD786449 VHZ786444:VHZ786449 VRV786444:VRV786449 WBR786444:WBR786449 WLN786444:WLN786449 WVJ786444:WVJ786449 B851980:B851985 IX851980:IX851985 ST851980:ST851985 ACP851980:ACP851985 AML851980:AML851985 AWH851980:AWH851985 BGD851980:BGD851985 BPZ851980:BPZ851985 BZV851980:BZV851985 CJR851980:CJR851985 CTN851980:CTN851985 DDJ851980:DDJ851985 DNF851980:DNF851985 DXB851980:DXB851985 EGX851980:EGX851985 EQT851980:EQT851985 FAP851980:FAP851985 FKL851980:FKL851985 FUH851980:FUH851985 GED851980:GED851985 GNZ851980:GNZ851985 GXV851980:GXV851985 HHR851980:HHR851985 HRN851980:HRN851985 IBJ851980:IBJ851985 ILF851980:ILF851985 IVB851980:IVB851985 JEX851980:JEX851985 JOT851980:JOT851985 JYP851980:JYP851985 KIL851980:KIL851985 KSH851980:KSH851985 LCD851980:LCD851985 LLZ851980:LLZ851985 LVV851980:LVV851985 MFR851980:MFR851985 MPN851980:MPN851985 MZJ851980:MZJ851985 NJF851980:NJF851985 NTB851980:NTB851985 OCX851980:OCX851985 OMT851980:OMT851985 OWP851980:OWP851985 PGL851980:PGL851985 PQH851980:PQH851985 QAD851980:QAD851985 QJZ851980:QJZ851985 QTV851980:QTV851985 RDR851980:RDR851985 RNN851980:RNN851985 RXJ851980:RXJ851985 SHF851980:SHF851985 SRB851980:SRB851985 TAX851980:TAX851985 TKT851980:TKT851985 TUP851980:TUP851985 UEL851980:UEL851985 UOH851980:UOH851985 UYD851980:UYD851985 VHZ851980:VHZ851985 VRV851980:VRV851985 WBR851980:WBR851985 WLN851980:WLN851985 WVJ851980:WVJ851985 B917516:B917521 IX917516:IX917521 ST917516:ST917521 ACP917516:ACP917521 AML917516:AML917521 AWH917516:AWH917521 BGD917516:BGD917521 BPZ917516:BPZ917521 BZV917516:BZV917521 CJR917516:CJR917521 CTN917516:CTN917521 DDJ917516:DDJ917521 DNF917516:DNF917521 DXB917516:DXB917521 EGX917516:EGX917521 EQT917516:EQT917521 FAP917516:FAP917521 FKL917516:FKL917521 FUH917516:FUH917521 GED917516:GED917521 GNZ917516:GNZ917521 GXV917516:GXV917521 HHR917516:HHR917521 HRN917516:HRN917521 IBJ917516:IBJ917521 ILF917516:ILF917521 IVB917516:IVB917521 JEX917516:JEX917521 JOT917516:JOT917521 JYP917516:JYP917521 KIL917516:KIL917521 KSH917516:KSH917521 LCD917516:LCD917521 LLZ917516:LLZ917521 LVV917516:LVV917521 MFR917516:MFR917521 MPN917516:MPN917521 MZJ917516:MZJ917521 NJF917516:NJF917521 NTB917516:NTB917521 OCX917516:OCX917521 OMT917516:OMT917521 OWP917516:OWP917521 PGL917516:PGL917521 PQH917516:PQH917521 QAD917516:QAD917521 QJZ917516:QJZ917521 QTV917516:QTV917521 RDR917516:RDR917521 RNN917516:RNN917521 RXJ917516:RXJ917521 SHF917516:SHF917521 SRB917516:SRB917521 TAX917516:TAX917521 TKT917516:TKT917521 TUP917516:TUP917521 UEL917516:UEL917521 UOH917516:UOH917521 UYD917516:UYD917521 VHZ917516:VHZ917521 VRV917516:VRV917521 WBR917516:WBR917521 WLN917516:WLN917521 WVJ917516:WVJ917521 B983052:B983057 IX983052:IX983057 ST983052:ST983057 ACP983052:ACP983057 AML983052:AML983057 AWH983052:AWH983057 BGD983052:BGD983057 BPZ983052:BPZ983057 BZV983052:BZV983057 CJR983052:CJR983057 CTN983052:CTN983057 DDJ983052:DDJ983057 DNF983052:DNF983057 DXB983052:DXB983057 EGX983052:EGX983057 EQT983052:EQT983057 FAP983052:FAP983057 FKL983052:FKL983057 FUH983052:FUH983057 GED983052:GED983057 GNZ983052:GNZ983057 GXV983052:GXV983057 HHR983052:HHR983057 HRN983052:HRN983057 IBJ983052:IBJ983057 ILF983052:ILF983057 IVB983052:IVB983057 JEX983052:JEX983057 JOT983052:JOT983057 JYP983052:JYP983057 KIL983052:KIL983057 KSH983052:KSH983057 LCD983052:LCD983057 LLZ983052:LLZ983057 LVV983052:LVV983057 MFR983052:MFR983057 MPN983052:MPN983057 MZJ983052:MZJ983057 NJF983052:NJF983057 NTB983052:NTB983057 OCX983052:OCX983057 OMT983052:OMT983057 OWP983052:OWP983057 PGL983052:PGL983057 PQH983052:PQH983057 QAD983052:QAD983057 QJZ983052:QJZ983057 QTV983052:QTV983057 RDR983052:RDR983057 RNN983052:RNN983057 RXJ983052:RXJ983057 SHF983052:SHF983057 SRB983052:SRB983057 TAX983052:TAX983057 TKT983052:TKT983057 TUP983052:TUP983057 UEL983052:UEL983057 UOH983052:UOH983057 UYD983052:UYD983057 VHZ983052:VHZ983057 VRV983052:VRV983057 WBR983052:WBR983057 WLN983052:WLN983057 WVJ983052:WVJ983057 B25:B26 IX25:IX26 ST25:ST26 ACP25:ACP26 AML25:AML26 AWH25:AWH26 BGD25:BGD26 BPZ25:BPZ26 BZV25:BZV26 CJR25:CJR26 CTN25:CTN26 DDJ25:DDJ26 DNF25:DNF26 DXB25:DXB26 EGX25:EGX26 EQT25:EQT26 FAP25:FAP26 FKL25:FKL26 FUH25:FUH26 GED25:GED26 GNZ25:GNZ26 GXV25:GXV26 HHR25:HHR26 HRN25:HRN26 IBJ25:IBJ26 ILF25:ILF26 IVB25:IVB26 JEX25:JEX26 JOT25:JOT26 JYP25:JYP26 KIL25:KIL26 KSH25:KSH26 LCD25:LCD26 LLZ25:LLZ26 LVV25:LVV26 MFR25:MFR26 MPN25:MPN26 MZJ25:MZJ26 NJF25:NJF26 NTB25:NTB26 OCX25:OCX26 OMT25:OMT26 OWP25:OWP26 PGL25:PGL26 PQH25:PQH26 QAD25:QAD26 QJZ25:QJZ26 QTV25:QTV26 RDR25:RDR26 RNN25:RNN26 RXJ25:RXJ26 SHF25:SHF26 SRB25:SRB26 TAX25:TAX26 TKT25:TKT26 TUP25:TUP26 UEL25:UEL26 UOH25:UOH26 UYD25:UYD26 VHZ25:VHZ26 VRV25:VRV26 WBR25:WBR26 WLN25:WLN26 WVJ25:WVJ26 B65561:B65562 IX65561:IX65562 ST65561:ST65562 ACP65561:ACP65562 AML65561:AML65562 AWH65561:AWH65562 BGD65561:BGD65562 BPZ65561:BPZ65562 BZV65561:BZV65562 CJR65561:CJR65562 CTN65561:CTN65562 DDJ65561:DDJ65562 DNF65561:DNF65562 DXB65561:DXB65562 EGX65561:EGX65562 EQT65561:EQT65562 FAP65561:FAP65562 FKL65561:FKL65562 FUH65561:FUH65562 GED65561:GED65562 GNZ65561:GNZ65562 GXV65561:GXV65562 HHR65561:HHR65562 HRN65561:HRN65562 IBJ65561:IBJ65562 ILF65561:ILF65562 IVB65561:IVB65562 JEX65561:JEX65562 JOT65561:JOT65562 JYP65561:JYP65562 KIL65561:KIL65562 KSH65561:KSH65562 LCD65561:LCD65562 LLZ65561:LLZ65562 LVV65561:LVV65562 MFR65561:MFR65562 MPN65561:MPN65562 MZJ65561:MZJ65562 NJF65561:NJF65562 NTB65561:NTB65562 OCX65561:OCX65562 OMT65561:OMT65562 OWP65561:OWP65562 PGL65561:PGL65562 PQH65561:PQH65562 QAD65561:QAD65562 QJZ65561:QJZ65562 QTV65561:QTV65562 RDR65561:RDR65562 RNN65561:RNN65562 RXJ65561:RXJ65562 SHF65561:SHF65562 SRB65561:SRB65562 TAX65561:TAX65562 TKT65561:TKT65562 TUP65561:TUP65562 UEL65561:UEL65562 UOH65561:UOH65562 UYD65561:UYD65562 VHZ65561:VHZ65562 VRV65561:VRV65562 WBR65561:WBR65562 WLN65561:WLN65562 WVJ65561:WVJ65562 B131097:B131098 IX131097:IX131098 ST131097:ST131098 ACP131097:ACP131098 AML131097:AML131098 AWH131097:AWH131098 BGD131097:BGD131098 BPZ131097:BPZ131098 BZV131097:BZV131098 CJR131097:CJR131098 CTN131097:CTN131098 DDJ131097:DDJ131098 DNF131097:DNF131098 DXB131097:DXB131098 EGX131097:EGX131098 EQT131097:EQT131098 FAP131097:FAP131098 FKL131097:FKL131098 FUH131097:FUH131098 GED131097:GED131098 GNZ131097:GNZ131098 GXV131097:GXV131098 HHR131097:HHR131098 HRN131097:HRN131098 IBJ131097:IBJ131098 ILF131097:ILF131098 IVB131097:IVB131098 JEX131097:JEX131098 JOT131097:JOT131098 JYP131097:JYP131098 KIL131097:KIL131098 KSH131097:KSH131098 LCD131097:LCD131098 LLZ131097:LLZ131098 LVV131097:LVV131098 MFR131097:MFR131098 MPN131097:MPN131098 MZJ131097:MZJ131098 NJF131097:NJF131098 NTB131097:NTB131098 OCX131097:OCX131098 OMT131097:OMT131098 OWP131097:OWP131098 PGL131097:PGL131098 PQH131097:PQH131098 QAD131097:QAD131098 QJZ131097:QJZ131098 QTV131097:QTV131098 RDR131097:RDR131098 RNN131097:RNN131098 RXJ131097:RXJ131098 SHF131097:SHF131098 SRB131097:SRB131098 TAX131097:TAX131098 TKT131097:TKT131098 TUP131097:TUP131098 UEL131097:UEL131098 UOH131097:UOH131098 UYD131097:UYD131098 VHZ131097:VHZ131098 VRV131097:VRV131098 WBR131097:WBR131098 WLN131097:WLN131098 WVJ131097:WVJ131098 B196633:B196634 IX196633:IX196634 ST196633:ST196634 ACP196633:ACP196634 AML196633:AML196634 AWH196633:AWH196634 BGD196633:BGD196634 BPZ196633:BPZ196634 BZV196633:BZV196634 CJR196633:CJR196634 CTN196633:CTN196634 DDJ196633:DDJ196634 DNF196633:DNF196634 DXB196633:DXB196634 EGX196633:EGX196634 EQT196633:EQT196634 FAP196633:FAP196634 FKL196633:FKL196634 FUH196633:FUH196634 GED196633:GED196634 GNZ196633:GNZ196634 GXV196633:GXV196634 HHR196633:HHR196634 HRN196633:HRN196634 IBJ196633:IBJ196634 ILF196633:ILF196634 IVB196633:IVB196634 JEX196633:JEX196634 JOT196633:JOT196634 JYP196633:JYP196634 KIL196633:KIL196634 KSH196633:KSH196634 LCD196633:LCD196634 LLZ196633:LLZ196634 LVV196633:LVV196634 MFR196633:MFR196634 MPN196633:MPN196634 MZJ196633:MZJ196634 NJF196633:NJF196634 NTB196633:NTB196634 OCX196633:OCX196634 OMT196633:OMT196634 OWP196633:OWP196634 PGL196633:PGL196634 PQH196633:PQH196634 QAD196633:QAD196634 QJZ196633:QJZ196634 QTV196633:QTV196634 RDR196633:RDR196634 RNN196633:RNN196634 RXJ196633:RXJ196634 SHF196633:SHF196634 SRB196633:SRB196634 TAX196633:TAX196634 TKT196633:TKT196634 TUP196633:TUP196634 UEL196633:UEL196634 UOH196633:UOH196634 UYD196633:UYD196634 VHZ196633:VHZ196634 VRV196633:VRV196634 WBR196633:WBR196634 WLN196633:WLN196634 WVJ196633:WVJ196634 B262169:B262170 IX262169:IX262170 ST262169:ST262170 ACP262169:ACP262170 AML262169:AML262170 AWH262169:AWH262170 BGD262169:BGD262170 BPZ262169:BPZ262170 BZV262169:BZV262170 CJR262169:CJR262170 CTN262169:CTN262170 DDJ262169:DDJ262170 DNF262169:DNF262170 DXB262169:DXB262170 EGX262169:EGX262170 EQT262169:EQT262170 FAP262169:FAP262170 FKL262169:FKL262170 FUH262169:FUH262170 GED262169:GED262170 GNZ262169:GNZ262170 GXV262169:GXV262170 HHR262169:HHR262170 HRN262169:HRN262170 IBJ262169:IBJ262170 ILF262169:ILF262170 IVB262169:IVB262170 JEX262169:JEX262170 JOT262169:JOT262170 JYP262169:JYP262170 KIL262169:KIL262170 KSH262169:KSH262170 LCD262169:LCD262170 LLZ262169:LLZ262170 LVV262169:LVV262170 MFR262169:MFR262170 MPN262169:MPN262170 MZJ262169:MZJ262170 NJF262169:NJF262170 NTB262169:NTB262170 OCX262169:OCX262170 OMT262169:OMT262170 OWP262169:OWP262170 PGL262169:PGL262170 PQH262169:PQH262170 QAD262169:QAD262170 QJZ262169:QJZ262170 QTV262169:QTV262170 RDR262169:RDR262170 RNN262169:RNN262170 RXJ262169:RXJ262170 SHF262169:SHF262170 SRB262169:SRB262170 TAX262169:TAX262170 TKT262169:TKT262170 TUP262169:TUP262170 UEL262169:UEL262170 UOH262169:UOH262170 UYD262169:UYD262170 VHZ262169:VHZ262170 VRV262169:VRV262170 WBR262169:WBR262170 WLN262169:WLN262170 WVJ262169:WVJ262170 B327705:B327706 IX327705:IX327706 ST327705:ST327706 ACP327705:ACP327706 AML327705:AML327706 AWH327705:AWH327706 BGD327705:BGD327706 BPZ327705:BPZ327706 BZV327705:BZV327706 CJR327705:CJR327706 CTN327705:CTN327706 DDJ327705:DDJ327706 DNF327705:DNF327706 DXB327705:DXB327706 EGX327705:EGX327706 EQT327705:EQT327706 FAP327705:FAP327706 FKL327705:FKL327706 FUH327705:FUH327706 GED327705:GED327706 GNZ327705:GNZ327706 GXV327705:GXV327706 HHR327705:HHR327706 HRN327705:HRN327706 IBJ327705:IBJ327706 ILF327705:ILF327706 IVB327705:IVB327706 JEX327705:JEX327706 JOT327705:JOT327706 JYP327705:JYP327706 KIL327705:KIL327706 KSH327705:KSH327706 LCD327705:LCD327706 LLZ327705:LLZ327706 LVV327705:LVV327706 MFR327705:MFR327706 MPN327705:MPN327706 MZJ327705:MZJ327706 NJF327705:NJF327706 NTB327705:NTB327706 OCX327705:OCX327706 OMT327705:OMT327706 OWP327705:OWP327706 PGL327705:PGL327706 PQH327705:PQH327706 QAD327705:QAD327706 QJZ327705:QJZ327706 QTV327705:QTV327706 RDR327705:RDR327706 RNN327705:RNN327706 RXJ327705:RXJ327706 SHF327705:SHF327706 SRB327705:SRB327706 TAX327705:TAX327706 TKT327705:TKT327706 TUP327705:TUP327706 UEL327705:UEL327706 UOH327705:UOH327706 UYD327705:UYD327706 VHZ327705:VHZ327706 VRV327705:VRV327706 WBR327705:WBR327706 WLN327705:WLN327706 WVJ327705:WVJ327706 B393241:B393242 IX393241:IX393242 ST393241:ST393242 ACP393241:ACP393242 AML393241:AML393242 AWH393241:AWH393242 BGD393241:BGD393242 BPZ393241:BPZ393242 BZV393241:BZV393242 CJR393241:CJR393242 CTN393241:CTN393242 DDJ393241:DDJ393242 DNF393241:DNF393242 DXB393241:DXB393242 EGX393241:EGX393242 EQT393241:EQT393242 FAP393241:FAP393242 FKL393241:FKL393242 FUH393241:FUH393242 GED393241:GED393242 GNZ393241:GNZ393242 GXV393241:GXV393242 HHR393241:HHR393242 HRN393241:HRN393242 IBJ393241:IBJ393242 ILF393241:ILF393242 IVB393241:IVB393242 JEX393241:JEX393242 JOT393241:JOT393242 JYP393241:JYP393242 KIL393241:KIL393242 KSH393241:KSH393242 LCD393241:LCD393242 LLZ393241:LLZ393242 LVV393241:LVV393242 MFR393241:MFR393242 MPN393241:MPN393242 MZJ393241:MZJ393242 NJF393241:NJF393242 NTB393241:NTB393242 OCX393241:OCX393242 OMT393241:OMT393242 OWP393241:OWP393242 PGL393241:PGL393242 PQH393241:PQH393242 QAD393241:QAD393242 QJZ393241:QJZ393242 QTV393241:QTV393242 RDR393241:RDR393242 RNN393241:RNN393242 RXJ393241:RXJ393242 SHF393241:SHF393242 SRB393241:SRB393242 TAX393241:TAX393242 TKT393241:TKT393242 TUP393241:TUP393242 UEL393241:UEL393242 UOH393241:UOH393242 UYD393241:UYD393242 VHZ393241:VHZ393242 VRV393241:VRV393242 WBR393241:WBR393242 WLN393241:WLN393242 WVJ393241:WVJ393242 B458777:B458778 IX458777:IX458778 ST458777:ST458778 ACP458777:ACP458778 AML458777:AML458778 AWH458777:AWH458778 BGD458777:BGD458778 BPZ458777:BPZ458778 BZV458777:BZV458778 CJR458777:CJR458778 CTN458777:CTN458778 DDJ458777:DDJ458778 DNF458777:DNF458778 DXB458777:DXB458778 EGX458777:EGX458778 EQT458777:EQT458778 FAP458777:FAP458778 FKL458777:FKL458778 FUH458777:FUH458778 GED458777:GED458778 GNZ458777:GNZ458778 GXV458777:GXV458778 HHR458777:HHR458778 HRN458777:HRN458778 IBJ458777:IBJ458778 ILF458777:ILF458778 IVB458777:IVB458778 JEX458777:JEX458778 JOT458777:JOT458778 JYP458777:JYP458778 KIL458777:KIL458778 KSH458777:KSH458778 LCD458777:LCD458778 LLZ458777:LLZ458778 LVV458777:LVV458778 MFR458777:MFR458778 MPN458777:MPN458778 MZJ458777:MZJ458778 NJF458777:NJF458778 NTB458777:NTB458778 OCX458777:OCX458778 OMT458777:OMT458778 OWP458777:OWP458778 PGL458777:PGL458778 PQH458777:PQH458778 QAD458777:QAD458778 QJZ458777:QJZ458778 QTV458777:QTV458778 RDR458777:RDR458778 RNN458777:RNN458778 RXJ458777:RXJ458778 SHF458777:SHF458778 SRB458777:SRB458778 TAX458777:TAX458778 TKT458777:TKT458778 TUP458777:TUP458778 UEL458777:UEL458778 UOH458777:UOH458778 UYD458777:UYD458778 VHZ458777:VHZ458778 VRV458777:VRV458778 WBR458777:WBR458778 WLN458777:WLN458778 WVJ458777:WVJ458778 B524313:B524314 IX524313:IX524314 ST524313:ST524314 ACP524313:ACP524314 AML524313:AML524314 AWH524313:AWH524314 BGD524313:BGD524314 BPZ524313:BPZ524314 BZV524313:BZV524314 CJR524313:CJR524314 CTN524313:CTN524314 DDJ524313:DDJ524314 DNF524313:DNF524314 DXB524313:DXB524314 EGX524313:EGX524314 EQT524313:EQT524314 FAP524313:FAP524314 FKL524313:FKL524314 FUH524313:FUH524314 GED524313:GED524314 GNZ524313:GNZ524314 GXV524313:GXV524314 HHR524313:HHR524314 HRN524313:HRN524314 IBJ524313:IBJ524314 ILF524313:ILF524314 IVB524313:IVB524314 JEX524313:JEX524314 JOT524313:JOT524314 JYP524313:JYP524314 KIL524313:KIL524314 KSH524313:KSH524314 LCD524313:LCD524314 LLZ524313:LLZ524314 LVV524313:LVV524314 MFR524313:MFR524314 MPN524313:MPN524314 MZJ524313:MZJ524314 NJF524313:NJF524314 NTB524313:NTB524314 OCX524313:OCX524314 OMT524313:OMT524314 OWP524313:OWP524314 PGL524313:PGL524314 PQH524313:PQH524314 QAD524313:QAD524314 QJZ524313:QJZ524314 QTV524313:QTV524314 RDR524313:RDR524314 RNN524313:RNN524314 RXJ524313:RXJ524314 SHF524313:SHF524314 SRB524313:SRB524314 TAX524313:TAX524314 TKT524313:TKT524314 TUP524313:TUP524314 UEL524313:UEL524314 UOH524313:UOH524314 UYD524313:UYD524314 VHZ524313:VHZ524314 VRV524313:VRV524314 WBR524313:WBR524314 WLN524313:WLN524314 WVJ524313:WVJ524314 B589849:B589850 IX589849:IX589850 ST589849:ST589850 ACP589849:ACP589850 AML589849:AML589850 AWH589849:AWH589850 BGD589849:BGD589850 BPZ589849:BPZ589850 BZV589849:BZV589850 CJR589849:CJR589850 CTN589849:CTN589850 DDJ589849:DDJ589850 DNF589849:DNF589850 DXB589849:DXB589850 EGX589849:EGX589850 EQT589849:EQT589850 FAP589849:FAP589850 FKL589849:FKL589850 FUH589849:FUH589850 GED589849:GED589850 GNZ589849:GNZ589850 GXV589849:GXV589850 HHR589849:HHR589850 HRN589849:HRN589850 IBJ589849:IBJ589850 ILF589849:ILF589850 IVB589849:IVB589850 JEX589849:JEX589850 JOT589849:JOT589850 JYP589849:JYP589850 KIL589849:KIL589850 KSH589849:KSH589850 LCD589849:LCD589850 LLZ589849:LLZ589850 LVV589849:LVV589850 MFR589849:MFR589850 MPN589849:MPN589850 MZJ589849:MZJ589850 NJF589849:NJF589850 NTB589849:NTB589850 OCX589849:OCX589850 OMT589849:OMT589850 OWP589849:OWP589850 PGL589849:PGL589850 PQH589849:PQH589850 QAD589849:QAD589850 QJZ589849:QJZ589850 QTV589849:QTV589850 RDR589849:RDR589850 RNN589849:RNN589850 RXJ589849:RXJ589850 SHF589849:SHF589850 SRB589849:SRB589850 TAX589849:TAX589850 TKT589849:TKT589850 TUP589849:TUP589850 UEL589849:UEL589850 UOH589849:UOH589850 UYD589849:UYD589850 VHZ589849:VHZ589850 VRV589849:VRV589850 WBR589849:WBR589850 WLN589849:WLN589850 WVJ589849:WVJ589850 B655385:B655386 IX655385:IX655386 ST655385:ST655386 ACP655385:ACP655386 AML655385:AML655386 AWH655385:AWH655386 BGD655385:BGD655386 BPZ655385:BPZ655386 BZV655385:BZV655386 CJR655385:CJR655386 CTN655385:CTN655386 DDJ655385:DDJ655386 DNF655385:DNF655386 DXB655385:DXB655386 EGX655385:EGX655386 EQT655385:EQT655386 FAP655385:FAP655386 FKL655385:FKL655386 FUH655385:FUH655386 GED655385:GED655386 GNZ655385:GNZ655386 GXV655385:GXV655386 HHR655385:HHR655386 HRN655385:HRN655386 IBJ655385:IBJ655386 ILF655385:ILF655386 IVB655385:IVB655386 JEX655385:JEX655386 JOT655385:JOT655386 JYP655385:JYP655386 KIL655385:KIL655386 KSH655385:KSH655386 LCD655385:LCD655386 LLZ655385:LLZ655386 LVV655385:LVV655386 MFR655385:MFR655386 MPN655385:MPN655386 MZJ655385:MZJ655386 NJF655385:NJF655386 NTB655385:NTB655386 OCX655385:OCX655386 OMT655385:OMT655386 OWP655385:OWP655386 PGL655385:PGL655386 PQH655385:PQH655386 QAD655385:QAD655386 QJZ655385:QJZ655386 QTV655385:QTV655386 RDR655385:RDR655386 RNN655385:RNN655386 RXJ655385:RXJ655386 SHF655385:SHF655386 SRB655385:SRB655386 TAX655385:TAX655386 TKT655385:TKT655386 TUP655385:TUP655386 UEL655385:UEL655386 UOH655385:UOH655386 UYD655385:UYD655386 VHZ655385:VHZ655386 VRV655385:VRV655386 WBR655385:WBR655386 WLN655385:WLN655386 WVJ655385:WVJ655386 B720921:B720922 IX720921:IX720922 ST720921:ST720922 ACP720921:ACP720922 AML720921:AML720922 AWH720921:AWH720922 BGD720921:BGD720922 BPZ720921:BPZ720922 BZV720921:BZV720922 CJR720921:CJR720922 CTN720921:CTN720922 DDJ720921:DDJ720922 DNF720921:DNF720922 DXB720921:DXB720922 EGX720921:EGX720922 EQT720921:EQT720922 FAP720921:FAP720922 FKL720921:FKL720922 FUH720921:FUH720922 GED720921:GED720922 GNZ720921:GNZ720922 GXV720921:GXV720922 HHR720921:HHR720922 HRN720921:HRN720922 IBJ720921:IBJ720922 ILF720921:ILF720922 IVB720921:IVB720922 JEX720921:JEX720922 JOT720921:JOT720922 JYP720921:JYP720922 KIL720921:KIL720922 KSH720921:KSH720922 LCD720921:LCD720922 LLZ720921:LLZ720922 LVV720921:LVV720922 MFR720921:MFR720922 MPN720921:MPN720922 MZJ720921:MZJ720922 NJF720921:NJF720922 NTB720921:NTB720922 OCX720921:OCX720922 OMT720921:OMT720922 OWP720921:OWP720922 PGL720921:PGL720922 PQH720921:PQH720922 QAD720921:QAD720922 QJZ720921:QJZ720922 QTV720921:QTV720922 RDR720921:RDR720922 RNN720921:RNN720922 RXJ720921:RXJ720922 SHF720921:SHF720922 SRB720921:SRB720922 TAX720921:TAX720922 TKT720921:TKT720922 TUP720921:TUP720922 UEL720921:UEL720922 UOH720921:UOH720922 UYD720921:UYD720922 VHZ720921:VHZ720922 VRV720921:VRV720922 WBR720921:WBR720922 WLN720921:WLN720922 WVJ720921:WVJ720922 B786457:B786458 IX786457:IX786458 ST786457:ST786458 ACP786457:ACP786458 AML786457:AML786458 AWH786457:AWH786458 BGD786457:BGD786458 BPZ786457:BPZ786458 BZV786457:BZV786458 CJR786457:CJR786458 CTN786457:CTN786458 DDJ786457:DDJ786458 DNF786457:DNF786458 DXB786457:DXB786458 EGX786457:EGX786458 EQT786457:EQT786458 FAP786457:FAP786458 FKL786457:FKL786458 FUH786457:FUH786458 GED786457:GED786458 GNZ786457:GNZ786458 GXV786457:GXV786458 HHR786457:HHR786458 HRN786457:HRN786458 IBJ786457:IBJ786458 ILF786457:ILF786458 IVB786457:IVB786458 JEX786457:JEX786458 JOT786457:JOT786458 JYP786457:JYP786458 KIL786457:KIL786458 KSH786457:KSH786458 LCD786457:LCD786458 LLZ786457:LLZ786458 LVV786457:LVV786458 MFR786457:MFR786458 MPN786457:MPN786458 MZJ786457:MZJ786458 NJF786457:NJF786458 NTB786457:NTB786458 OCX786457:OCX786458 OMT786457:OMT786458 OWP786457:OWP786458 PGL786457:PGL786458 PQH786457:PQH786458 QAD786457:QAD786458 QJZ786457:QJZ786458 QTV786457:QTV786458 RDR786457:RDR786458 RNN786457:RNN786458 RXJ786457:RXJ786458 SHF786457:SHF786458 SRB786457:SRB786458 TAX786457:TAX786458 TKT786457:TKT786458 TUP786457:TUP786458 UEL786457:UEL786458 UOH786457:UOH786458 UYD786457:UYD786458 VHZ786457:VHZ786458 VRV786457:VRV786458 WBR786457:WBR786458 WLN786457:WLN786458 WVJ786457:WVJ786458 B851993:B851994 IX851993:IX851994 ST851993:ST851994 ACP851993:ACP851994 AML851993:AML851994 AWH851993:AWH851994 BGD851993:BGD851994 BPZ851993:BPZ851994 BZV851993:BZV851994 CJR851993:CJR851994 CTN851993:CTN851994 DDJ851993:DDJ851994 DNF851993:DNF851994 DXB851993:DXB851994 EGX851993:EGX851994 EQT851993:EQT851994 FAP851993:FAP851994 FKL851993:FKL851994 FUH851993:FUH851994 GED851993:GED851994 GNZ851993:GNZ851994 GXV851993:GXV851994 HHR851993:HHR851994 HRN851993:HRN851994 IBJ851993:IBJ851994 ILF851993:ILF851994 IVB851993:IVB851994 JEX851993:JEX851994 JOT851993:JOT851994 JYP851993:JYP851994 KIL851993:KIL851994 KSH851993:KSH851994 LCD851993:LCD851994 LLZ851993:LLZ851994 LVV851993:LVV851994 MFR851993:MFR851994 MPN851993:MPN851994 MZJ851993:MZJ851994 NJF851993:NJF851994 NTB851993:NTB851994 OCX851993:OCX851994 OMT851993:OMT851994 OWP851993:OWP851994 PGL851993:PGL851994 PQH851993:PQH851994 QAD851993:QAD851994 QJZ851993:QJZ851994 QTV851993:QTV851994 RDR851993:RDR851994 RNN851993:RNN851994 RXJ851993:RXJ851994 SHF851993:SHF851994 SRB851993:SRB851994 TAX851993:TAX851994 TKT851993:TKT851994 TUP851993:TUP851994 UEL851993:UEL851994 UOH851993:UOH851994 UYD851993:UYD851994 VHZ851993:VHZ851994 VRV851993:VRV851994 WBR851993:WBR851994 WLN851993:WLN851994 WVJ851993:WVJ851994 B917529:B917530 IX917529:IX917530 ST917529:ST917530 ACP917529:ACP917530 AML917529:AML917530 AWH917529:AWH917530 BGD917529:BGD917530 BPZ917529:BPZ917530 BZV917529:BZV917530 CJR917529:CJR917530 CTN917529:CTN917530 DDJ917529:DDJ917530 DNF917529:DNF917530 DXB917529:DXB917530 EGX917529:EGX917530 EQT917529:EQT917530 FAP917529:FAP917530 FKL917529:FKL917530 FUH917529:FUH917530 GED917529:GED917530 GNZ917529:GNZ917530 GXV917529:GXV917530 HHR917529:HHR917530 HRN917529:HRN917530 IBJ917529:IBJ917530 ILF917529:ILF917530 IVB917529:IVB917530 JEX917529:JEX917530 JOT917529:JOT917530 JYP917529:JYP917530 KIL917529:KIL917530 KSH917529:KSH917530 LCD917529:LCD917530 LLZ917529:LLZ917530 LVV917529:LVV917530 MFR917529:MFR917530 MPN917529:MPN917530 MZJ917529:MZJ917530 NJF917529:NJF917530 NTB917529:NTB917530 OCX917529:OCX917530 OMT917529:OMT917530 OWP917529:OWP917530 PGL917529:PGL917530 PQH917529:PQH917530 QAD917529:QAD917530 QJZ917529:QJZ917530 QTV917529:QTV917530 RDR917529:RDR917530 RNN917529:RNN917530 RXJ917529:RXJ917530 SHF917529:SHF917530 SRB917529:SRB917530 TAX917529:TAX917530 TKT917529:TKT917530 TUP917529:TUP917530 UEL917529:UEL917530 UOH917529:UOH917530 UYD917529:UYD917530 VHZ917529:VHZ917530 VRV917529:VRV917530 WBR917529:WBR917530 WLN917529:WLN917530 WVJ917529:WVJ917530 B983065:B983066 IX983065:IX983066 ST983065:ST983066 ACP983065:ACP983066 AML983065:AML983066 AWH983065:AWH983066 BGD983065:BGD983066 BPZ983065:BPZ983066 BZV983065:BZV983066 CJR983065:CJR983066 CTN983065:CTN983066 DDJ983065:DDJ983066 DNF983065:DNF983066 DXB983065:DXB983066 EGX983065:EGX983066 EQT983065:EQT983066 FAP983065:FAP983066 FKL983065:FKL983066 FUH983065:FUH983066 GED983065:GED983066 GNZ983065:GNZ983066 GXV983065:GXV983066 HHR983065:HHR983066 HRN983065:HRN983066 IBJ983065:IBJ983066 ILF983065:ILF983066 IVB983065:IVB983066 JEX983065:JEX983066 JOT983065:JOT983066 JYP983065:JYP983066 KIL983065:KIL983066 KSH983065:KSH983066 LCD983065:LCD983066 LLZ983065:LLZ983066 LVV983065:LVV983066 MFR983065:MFR983066 MPN983065:MPN983066 MZJ983065:MZJ983066 NJF983065:NJF983066 NTB983065:NTB983066 OCX983065:OCX983066 OMT983065:OMT983066 OWP983065:OWP983066 PGL983065:PGL983066 PQH983065:PQH983066 QAD983065:QAD983066 QJZ983065:QJZ983066 QTV983065:QTV983066 RDR983065:RDR983066 RNN983065:RNN983066 RXJ983065:RXJ983066 SHF983065:SHF983066 SRB983065:SRB983066 TAX983065:TAX983066 TKT983065:TKT983066 TUP983065:TUP983066 UEL983065:UEL983066 UOH983065:UOH983066 UYD983065:UYD983066 VHZ983065:VHZ983066 VRV983065:VRV983066 WBR983065:WBR983066 WLN983065:WLN983066 WVJ983065:WVJ983066 H25:H26 JD25:JD26 SZ25:SZ26 ACV25:ACV26 AMR25:AMR26 AWN25:AWN26 BGJ25:BGJ26 BQF25:BQF26 CAB25:CAB26 CJX25:CJX26 CTT25:CTT26 DDP25:DDP26 DNL25:DNL26 DXH25:DXH26 EHD25:EHD26 EQZ25:EQZ26 FAV25:FAV26 FKR25:FKR26 FUN25:FUN26 GEJ25:GEJ26 GOF25:GOF26 GYB25:GYB26 HHX25:HHX26 HRT25:HRT26 IBP25:IBP26 ILL25:ILL26 IVH25:IVH26 JFD25:JFD26 JOZ25:JOZ26 JYV25:JYV26 KIR25:KIR26 KSN25:KSN26 LCJ25:LCJ26 LMF25:LMF26 LWB25:LWB26 MFX25:MFX26 MPT25:MPT26 MZP25:MZP26 NJL25:NJL26 NTH25:NTH26 ODD25:ODD26 OMZ25:OMZ26 OWV25:OWV26 PGR25:PGR26 PQN25:PQN26 QAJ25:QAJ26 QKF25:QKF26 QUB25:QUB26 RDX25:RDX26 RNT25:RNT26 RXP25:RXP26 SHL25:SHL26 SRH25:SRH26 TBD25:TBD26 TKZ25:TKZ26 TUV25:TUV26 UER25:UER26 UON25:UON26 UYJ25:UYJ26 VIF25:VIF26 VSB25:VSB26 WBX25:WBX26 WLT25:WLT26 WVP25:WVP26 H65561:H65562 JD65561:JD65562 SZ65561:SZ65562 ACV65561:ACV65562 AMR65561:AMR65562 AWN65561:AWN65562 BGJ65561:BGJ65562 BQF65561:BQF65562 CAB65561:CAB65562 CJX65561:CJX65562 CTT65561:CTT65562 DDP65561:DDP65562 DNL65561:DNL65562 DXH65561:DXH65562 EHD65561:EHD65562 EQZ65561:EQZ65562 FAV65561:FAV65562 FKR65561:FKR65562 FUN65561:FUN65562 GEJ65561:GEJ65562 GOF65561:GOF65562 GYB65561:GYB65562 HHX65561:HHX65562 HRT65561:HRT65562 IBP65561:IBP65562 ILL65561:ILL65562 IVH65561:IVH65562 JFD65561:JFD65562 JOZ65561:JOZ65562 JYV65561:JYV65562 KIR65561:KIR65562 KSN65561:KSN65562 LCJ65561:LCJ65562 LMF65561:LMF65562 LWB65561:LWB65562 MFX65561:MFX65562 MPT65561:MPT65562 MZP65561:MZP65562 NJL65561:NJL65562 NTH65561:NTH65562 ODD65561:ODD65562 OMZ65561:OMZ65562 OWV65561:OWV65562 PGR65561:PGR65562 PQN65561:PQN65562 QAJ65561:QAJ65562 QKF65561:QKF65562 QUB65561:QUB65562 RDX65561:RDX65562 RNT65561:RNT65562 RXP65561:RXP65562 SHL65561:SHL65562 SRH65561:SRH65562 TBD65561:TBD65562 TKZ65561:TKZ65562 TUV65561:TUV65562 UER65561:UER65562 UON65561:UON65562 UYJ65561:UYJ65562 VIF65561:VIF65562 VSB65561:VSB65562 WBX65561:WBX65562 WLT65561:WLT65562 WVP65561:WVP65562 H131097:H131098 JD131097:JD131098 SZ131097:SZ131098 ACV131097:ACV131098 AMR131097:AMR131098 AWN131097:AWN131098 BGJ131097:BGJ131098 BQF131097:BQF131098 CAB131097:CAB131098 CJX131097:CJX131098 CTT131097:CTT131098 DDP131097:DDP131098 DNL131097:DNL131098 DXH131097:DXH131098 EHD131097:EHD131098 EQZ131097:EQZ131098 FAV131097:FAV131098 FKR131097:FKR131098 FUN131097:FUN131098 GEJ131097:GEJ131098 GOF131097:GOF131098 GYB131097:GYB131098 HHX131097:HHX131098 HRT131097:HRT131098 IBP131097:IBP131098 ILL131097:ILL131098 IVH131097:IVH131098 JFD131097:JFD131098 JOZ131097:JOZ131098 JYV131097:JYV131098 KIR131097:KIR131098 KSN131097:KSN131098 LCJ131097:LCJ131098 LMF131097:LMF131098 LWB131097:LWB131098 MFX131097:MFX131098 MPT131097:MPT131098 MZP131097:MZP131098 NJL131097:NJL131098 NTH131097:NTH131098 ODD131097:ODD131098 OMZ131097:OMZ131098 OWV131097:OWV131098 PGR131097:PGR131098 PQN131097:PQN131098 QAJ131097:QAJ131098 QKF131097:QKF131098 QUB131097:QUB131098 RDX131097:RDX131098 RNT131097:RNT131098 RXP131097:RXP131098 SHL131097:SHL131098 SRH131097:SRH131098 TBD131097:TBD131098 TKZ131097:TKZ131098 TUV131097:TUV131098 UER131097:UER131098 UON131097:UON131098 UYJ131097:UYJ131098 VIF131097:VIF131098 VSB131097:VSB131098 WBX131097:WBX131098 WLT131097:WLT131098 WVP131097:WVP131098 H196633:H196634 JD196633:JD196634 SZ196633:SZ196634 ACV196633:ACV196634 AMR196633:AMR196634 AWN196633:AWN196634 BGJ196633:BGJ196634 BQF196633:BQF196634 CAB196633:CAB196634 CJX196633:CJX196634 CTT196633:CTT196634 DDP196633:DDP196634 DNL196633:DNL196634 DXH196633:DXH196634 EHD196633:EHD196634 EQZ196633:EQZ196634 FAV196633:FAV196634 FKR196633:FKR196634 FUN196633:FUN196634 GEJ196633:GEJ196634 GOF196633:GOF196634 GYB196633:GYB196634 HHX196633:HHX196634 HRT196633:HRT196634 IBP196633:IBP196634 ILL196633:ILL196634 IVH196633:IVH196634 JFD196633:JFD196634 JOZ196633:JOZ196634 JYV196633:JYV196634 KIR196633:KIR196634 KSN196633:KSN196634 LCJ196633:LCJ196634 LMF196633:LMF196634 LWB196633:LWB196634 MFX196633:MFX196634 MPT196633:MPT196634 MZP196633:MZP196634 NJL196633:NJL196634 NTH196633:NTH196634 ODD196633:ODD196634 OMZ196633:OMZ196634 OWV196633:OWV196634 PGR196633:PGR196634 PQN196633:PQN196634 QAJ196633:QAJ196634 QKF196633:QKF196634 QUB196633:QUB196634 RDX196633:RDX196634 RNT196633:RNT196634 RXP196633:RXP196634 SHL196633:SHL196634 SRH196633:SRH196634 TBD196633:TBD196634 TKZ196633:TKZ196634 TUV196633:TUV196634 UER196633:UER196634 UON196633:UON196634 UYJ196633:UYJ196634 VIF196633:VIF196634 VSB196633:VSB196634 WBX196633:WBX196634 WLT196633:WLT196634 WVP196633:WVP196634 H262169:H262170 JD262169:JD262170 SZ262169:SZ262170 ACV262169:ACV262170 AMR262169:AMR262170 AWN262169:AWN262170 BGJ262169:BGJ262170 BQF262169:BQF262170 CAB262169:CAB262170 CJX262169:CJX262170 CTT262169:CTT262170 DDP262169:DDP262170 DNL262169:DNL262170 DXH262169:DXH262170 EHD262169:EHD262170 EQZ262169:EQZ262170 FAV262169:FAV262170 FKR262169:FKR262170 FUN262169:FUN262170 GEJ262169:GEJ262170 GOF262169:GOF262170 GYB262169:GYB262170 HHX262169:HHX262170 HRT262169:HRT262170 IBP262169:IBP262170 ILL262169:ILL262170 IVH262169:IVH262170 JFD262169:JFD262170 JOZ262169:JOZ262170 JYV262169:JYV262170 KIR262169:KIR262170 KSN262169:KSN262170 LCJ262169:LCJ262170 LMF262169:LMF262170 LWB262169:LWB262170 MFX262169:MFX262170 MPT262169:MPT262170 MZP262169:MZP262170 NJL262169:NJL262170 NTH262169:NTH262170 ODD262169:ODD262170 OMZ262169:OMZ262170 OWV262169:OWV262170 PGR262169:PGR262170 PQN262169:PQN262170 QAJ262169:QAJ262170 QKF262169:QKF262170 QUB262169:QUB262170 RDX262169:RDX262170 RNT262169:RNT262170 RXP262169:RXP262170 SHL262169:SHL262170 SRH262169:SRH262170 TBD262169:TBD262170 TKZ262169:TKZ262170 TUV262169:TUV262170 UER262169:UER262170 UON262169:UON262170 UYJ262169:UYJ262170 VIF262169:VIF262170 VSB262169:VSB262170 WBX262169:WBX262170 WLT262169:WLT262170 WVP262169:WVP262170 H327705:H327706 JD327705:JD327706 SZ327705:SZ327706 ACV327705:ACV327706 AMR327705:AMR327706 AWN327705:AWN327706 BGJ327705:BGJ327706 BQF327705:BQF327706 CAB327705:CAB327706 CJX327705:CJX327706 CTT327705:CTT327706 DDP327705:DDP327706 DNL327705:DNL327706 DXH327705:DXH327706 EHD327705:EHD327706 EQZ327705:EQZ327706 FAV327705:FAV327706 FKR327705:FKR327706 FUN327705:FUN327706 GEJ327705:GEJ327706 GOF327705:GOF327706 GYB327705:GYB327706 HHX327705:HHX327706 HRT327705:HRT327706 IBP327705:IBP327706 ILL327705:ILL327706 IVH327705:IVH327706 JFD327705:JFD327706 JOZ327705:JOZ327706 JYV327705:JYV327706 KIR327705:KIR327706 KSN327705:KSN327706 LCJ327705:LCJ327706 LMF327705:LMF327706 LWB327705:LWB327706 MFX327705:MFX327706 MPT327705:MPT327706 MZP327705:MZP327706 NJL327705:NJL327706 NTH327705:NTH327706 ODD327705:ODD327706 OMZ327705:OMZ327706 OWV327705:OWV327706 PGR327705:PGR327706 PQN327705:PQN327706 QAJ327705:QAJ327706 QKF327705:QKF327706 QUB327705:QUB327706 RDX327705:RDX327706 RNT327705:RNT327706 RXP327705:RXP327706 SHL327705:SHL327706 SRH327705:SRH327706 TBD327705:TBD327706 TKZ327705:TKZ327706 TUV327705:TUV327706 UER327705:UER327706 UON327705:UON327706 UYJ327705:UYJ327706 VIF327705:VIF327706 VSB327705:VSB327706 WBX327705:WBX327706 WLT327705:WLT327706 WVP327705:WVP327706 H393241:H393242 JD393241:JD393242 SZ393241:SZ393242 ACV393241:ACV393242 AMR393241:AMR393242 AWN393241:AWN393242 BGJ393241:BGJ393242 BQF393241:BQF393242 CAB393241:CAB393242 CJX393241:CJX393242 CTT393241:CTT393242 DDP393241:DDP393242 DNL393241:DNL393242 DXH393241:DXH393242 EHD393241:EHD393242 EQZ393241:EQZ393242 FAV393241:FAV393242 FKR393241:FKR393242 FUN393241:FUN393242 GEJ393241:GEJ393242 GOF393241:GOF393242 GYB393241:GYB393242 HHX393241:HHX393242 HRT393241:HRT393242 IBP393241:IBP393242 ILL393241:ILL393242 IVH393241:IVH393242 JFD393241:JFD393242 JOZ393241:JOZ393242 JYV393241:JYV393242 KIR393241:KIR393242 KSN393241:KSN393242 LCJ393241:LCJ393242 LMF393241:LMF393242 LWB393241:LWB393242 MFX393241:MFX393242 MPT393241:MPT393242 MZP393241:MZP393242 NJL393241:NJL393242 NTH393241:NTH393242 ODD393241:ODD393242 OMZ393241:OMZ393242 OWV393241:OWV393242 PGR393241:PGR393242 PQN393241:PQN393242 QAJ393241:QAJ393242 QKF393241:QKF393242 QUB393241:QUB393242 RDX393241:RDX393242 RNT393241:RNT393242 RXP393241:RXP393242 SHL393241:SHL393242 SRH393241:SRH393242 TBD393241:TBD393242 TKZ393241:TKZ393242 TUV393241:TUV393242 UER393241:UER393242 UON393241:UON393242 UYJ393241:UYJ393242 VIF393241:VIF393242 VSB393241:VSB393242 WBX393241:WBX393242 WLT393241:WLT393242 WVP393241:WVP393242 H458777:H458778 JD458777:JD458778 SZ458777:SZ458778 ACV458777:ACV458778 AMR458777:AMR458778 AWN458777:AWN458778 BGJ458777:BGJ458778 BQF458777:BQF458778 CAB458777:CAB458778 CJX458777:CJX458778 CTT458777:CTT458778 DDP458777:DDP458778 DNL458777:DNL458778 DXH458777:DXH458778 EHD458777:EHD458778 EQZ458777:EQZ458778 FAV458777:FAV458778 FKR458777:FKR458778 FUN458777:FUN458778 GEJ458777:GEJ458778 GOF458777:GOF458778 GYB458777:GYB458778 HHX458777:HHX458778 HRT458777:HRT458778 IBP458777:IBP458778 ILL458777:ILL458778 IVH458777:IVH458778 JFD458777:JFD458778 JOZ458777:JOZ458778 JYV458777:JYV458778 KIR458777:KIR458778 KSN458777:KSN458778 LCJ458777:LCJ458778 LMF458777:LMF458778 LWB458777:LWB458778 MFX458777:MFX458778 MPT458777:MPT458778 MZP458777:MZP458778 NJL458777:NJL458778 NTH458777:NTH458778 ODD458777:ODD458778 OMZ458777:OMZ458778 OWV458777:OWV458778 PGR458777:PGR458778 PQN458777:PQN458778 QAJ458777:QAJ458778 QKF458777:QKF458778 QUB458777:QUB458778 RDX458777:RDX458778 RNT458777:RNT458778 RXP458777:RXP458778 SHL458777:SHL458778 SRH458777:SRH458778 TBD458777:TBD458778 TKZ458777:TKZ458778 TUV458777:TUV458778 UER458777:UER458778 UON458777:UON458778 UYJ458777:UYJ458778 VIF458777:VIF458778 VSB458777:VSB458778 WBX458777:WBX458778 WLT458777:WLT458778 WVP458777:WVP458778 H524313:H524314 JD524313:JD524314 SZ524313:SZ524314 ACV524313:ACV524314 AMR524313:AMR524314 AWN524313:AWN524314 BGJ524313:BGJ524314 BQF524313:BQF524314 CAB524313:CAB524314 CJX524313:CJX524314 CTT524313:CTT524314 DDP524313:DDP524314 DNL524313:DNL524314 DXH524313:DXH524314 EHD524313:EHD524314 EQZ524313:EQZ524314 FAV524313:FAV524314 FKR524313:FKR524314 FUN524313:FUN524314 GEJ524313:GEJ524314 GOF524313:GOF524314 GYB524313:GYB524314 HHX524313:HHX524314 HRT524313:HRT524314 IBP524313:IBP524314 ILL524313:ILL524314 IVH524313:IVH524314 JFD524313:JFD524314 JOZ524313:JOZ524314 JYV524313:JYV524314 KIR524313:KIR524314 KSN524313:KSN524314 LCJ524313:LCJ524314 LMF524313:LMF524314 LWB524313:LWB524314 MFX524313:MFX524314 MPT524313:MPT524314 MZP524313:MZP524314 NJL524313:NJL524314 NTH524313:NTH524314 ODD524313:ODD524314 OMZ524313:OMZ524314 OWV524313:OWV524314 PGR524313:PGR524314 PQN524313:PQN524314 QAJ524313:QAJ524314 QKF524313:QKF524314 QUB524313:QUB524314 RDX524313:RDX524314 RNT524313:RNT524314 RXP524313:RXP524314 SHL524313:SHL524314 SRH524313:SRH524314 TBD524313:TBD524314 TKZ524313:TKZ524314 TUV524313:TUV524314 UER524313:UER524314 UON524313:UON524314 UYJ524313:UYJ524314 VIF524313:VIF524314 VSB524313:VSB524314 WBX524313:WBX524314 WLT524313:WLT524314 WVP524313:WVP524314 H589849:H589850 JD589849:JD589850 SZ589849:SZ589850 ACV589849:ACV589850 AMR589849:AMR589850 AWN589849:AWN589850 BGJ589849:BGJ589850 BQF589849:BQF589850 CAB589849:CAB589850 CJX589849:CJX589850 CTT589849:CTT589850 DDP589849:DDP589850 DNL589849:DNL589850 DXH589849:DXH589850 EHD589849:EHD589850 EQZ589849:EQZ589850 FAV589849:FAV589850 FKR589849:FKR589850 FUN589849:FUN589850 GEJ589849:GEJ589850 GOF589849:GOF589850 GYB589849:GYB589850 HHX589849:HHX589850 HRT589849:HRT589850 IBP589849:IBP589850 ILL589849:ILL589850 IVH589849:IVH589850 JFD589849:JFD589850 JOZ589849:JOZ589850 JYV589849:JYV589850 KIR589849:KIR589850 KSN589849:KSN589850 LCJ589849:LCJ589850 LMF589849:LMF589850 LWB589849:LWB589850 MFX589849:MFX589850 MPT589849:MPT589850 MZP589849:MZP589850 NJL589849:NJL589850 NTH589849:NTH589850 ODD589849:ODD589850 OMZ589849:OMZ589850 OWV589849:OWV589850 PGR589849:PGR589850 PQN589849:PQN589850 QAJ589849:QAJ589850 QKF589849:QKF589850 QUB589849:QUB589850 RDX589849:RDX589850 RNT589849:RNT589850 RXP589849:RXP589850 SHL589849:SHL589850 SRH589849:SRH589850 TBD589849:TBD589850 TKZ589849:TKZ589850 TUV589849:TUV589850 UER589849:UER589850 UON589849:UON589850 UYJ589849:UYJ589850 VIF589849:VIF589850 VSB589849:VSB589850 WBX589849:WBX589850 WLT589849:WLT589850 WVP589849:WVP589850 H655385:H655386 JD655385:JD655386 SZ655385:SZ655386 ACV655385:ACV655386 AMR655385:AMR655386 AWN655385:AWN655386 BGJ655385:BGJ655386 BQF655385:BQF655386 CAB655385:CAB655386 CJX655385:CJX655386 CTT655385:CTT655386 DDP655385:DDP655386 DNL655385:DNL655386 DXH655385:DXH655386 EHD655385:EHD655386 EQZ655385:EQZ655386 FAV655385:FAV655386 FKR655385:FKR655386 FUN655385:FUN655386 GEJ655385:GEJ655386 GOF655385:GOF655386 GYB655385:GYB655386 HHX655385:HHX655386 HRT655385:HRT655386 IBP655385:IBP655386 ILL655385:ILL655386 IVH655385:IVH655386 JFD655385:JFD655386 JOZ655385:JOZ655386 JYV655385:JYV655386 KIR655385:KIR655386 KSN655385:KSN655386 LCJ655385:LCJ655386 LMF655385:LMF655386 LWB655385:LWB655386 MFX655385:MFX655386 MPT655385:MPT655386 MZP655385:MZP655386 NJL655385:NJL655386 NTH655385:NTH655386 ODD655385:ODD655386 OMZ655385:OMZ655386 OWV655385:OWV655386 PGR655385:PGR655386 PQN655385:PQN655386 QAJ655385:QAJ655386 QKF655385:QKF655386 QUB655385:QUB655386 RDX655385:RDX655386 RNT655385:RNT655386 RXP655385:RXP655386 SHL655385:SHL655386 SRH655385:SRH655386 TBD655385:TBD655386 TKZ655385:TKZ655386 TUV655385:TUV655386 UER655385:UER655386 UON655385:UON655386 UYJ655385:UYJ655386 VIF655385:VIF655386 VSB655385:VSB655386 WBX655385:WBX655386 WLT655385:WLT655386 WVP655385:WVP655386 H720921:H720922 JD720921:JD720922 SZ720921:SZ720922 ACV720921:ACV720922 AMR720921:AMR720922 AWN720921:AWN720922 BGJ720921:BGJ720922 BQF720921:BQF720922 CAB720921:CAB720922 CJX720921:CJX720922 CTT720921:CTT720922 DDP720921:DDP720922 DNL720921:DNL720922 DXH720921:DXH720922 EHD720921:EHD720922 EQZ720921:EQZ720922 FAV720921:FAV720922 FKR720921:FKR720922 FUN720921:FUN720922 GEJ720921:GEJ720922 GOF720921:GOF720922 GYB720921:GYB720922 HHX720921:HHX720922 HRT720921:HRT720922 IBP720921:IBP720922 ILL720921:ILL720922 IVH720921:IVH720922 JFD720921:JFD720922 JOZ720921:JOZ720922 JYV720921:JYV720922 KIR720921:KIR720922 KSN720921:KSN720922 LCJ720921:LCJ720922 LMF720921:LMF720922 LWB720921:LWB720922 MFX720921:MFX720922 MPT720921:MPT720922 MZP720921:MZP720922 NJL720921:NJL720922 NTH720921:NTH720922 ODD720921:ODD720922 OMZ720921:OMZ720922 OWV720921:OWV720922 PGR720921:PGR720922 PQN720921:PQN720922 QAJ720921:QAJ720922 QKF720921:QKF720922 QUB720921:QUB720922 RDX720921:RDX720922 RNT720921:RNT720922 RXP720921:RXP720922 SHL720921:SHL720922 SRH720921:SRH720922 TBD720921:TBD720922 TKZ720921:TKZ720922 TUV720921:TUV720922 UER720921:UER720922 UON720921:UON720922 UYJ720921:UYJ720922 VIF720921:VIF720922 VSB720921:VSB720922 WBX720921:WBX720922 WLT720921:WLT720922 WVP720921:WVP720922 H786457:H786458 JD786457:JD786458 SZ786457:SZ786458 ACV786457:ACV786458 AMR786457:AMR786458 AWN786457:AWN786458 BGJ786457:BGJ786458 BQF786457:BQF786458 CAB786457:CAB786458 CJX786457:CJX786458 CTT786457:CTT786458 DDP786457:DDP786458 DNL786457:DNL786458 DXH786457:DXH786458 EHD786457:EHD786458 EQZ786457:EQZ786458 FAV786457:FAV786458 FKR786457:FKR786458 FUN786457:FUN786458 GEJ786457:GEJ786458 GOF786457:GOF786458 GYB786457:GYB786458 HHX786457:HHX786458 HRT786457:HRT786458 IBP786457:IBP786458 ILL786457:ILL786458 IVH786457:IVH786458 JFD786457:JFD786458 JOZ786457:JOZ786458 JYV786457:JYV786458 KIR786457:KIR786458 KSN786457:KSN786458 LCJ786457:LCJ786458 LMF786457:LMF786458 LWB786457:LWB786458 MFX786457:MFX786458 MPT786457:MPT786458 MZP786457:MZP786458 NJL786457:NJL786458 NTH786457:NTH786458 ODD786457:ODD786458 OMZ786457:OMZ786458 OWV786457:OWV786458 PGR786457:PGR786458 PQN786457:PQN786458 QAJ786457:QAJ786458 QKF786457:QKF786458 QUB786457:QUB786458 RDX786457:RDX786458 RNT786457:RNT786458 RXP786457:RXP786458 SHL786457:SHL786458 SRH786457:SRH786458 TBD786457:TBD786458 TKZ786457:TKZ786458 TUV786457:TUV786458 UER786457:UER786458 UON786457:UON786458 UYJ786457:UYJ786458 VIF786457:VIF786458 VSB786457:VSB786458 WBX786457:WBX786458 WLT786457:WLT786458 WVP786457:WVP786458 H851993:H851994 JD851993:JD851994 SZ851993:SZ851994 ACV851993:ACV851994 AMR851993:AMR851994 AWN851993:AWN851994 BGJ851993:BGJ851994 BQF851993:BQF851994 CAB851993:CAB851994 CJX851993:CJX851994 CTT851993:CTT851994 DDP851993:DDP851994 DNL851993:DNL851994 DXH851993:DXH851994 EHD851993:EHD851994 EQZ851993:EQZ851994 FAV851993:FAV851994 FKR851993:FKR851994 FUN851993:FUN851994 GEJ851993:GEJ851994 GOF851993:GOF851994 GYB851993:GYB851994 HHX851993:HHX851994 HRT851993:HRT851994 IBP851993:IBP851994 ILL851993:ILL851994 IVH851993:IVH851994 JFD851993:JFD851994 JOZ851993:JOZ851994 JYV851993:JYV851994 KIR851993:KIR851994 KSN851993:KSN851994 LCJ851993:LCJ851994 LMF851993:LMF851994 LWB851993:LWB851994 MFX851993:MFX851994 MPT851993:MPT851994 MZP851993:MZP851994 NJL851993:NJL851994 NTH851993:NTH851994 ODD851993:ODD851994 OMZ851993:OMZ851994 OWV851993:OWV851994 PGR851993:PGR851994 PQN851993:PQN851994 QAJ851993:QAJ851994 QKF851993:QKF851994 QUB851993:QUB851994 RDX851993:RDX851994 RNT851993:RNT851994 RXP851993:RXP851994 SHL851993:SHL851994 SRH851993:SRH851994 TBD851993:TBD851994 TKZ851993:TKZ851994 TUV851993:TUV851994 UER851993:UER851994 UON851993:UON851994 UYJ851993:UYJ851994 VIF851993:VIF851994 VSB851993:VSB851994 WBX851993:WBX851994 WLT851993:WLT851994 WVP851993:WVP851994 H917529:H917530 JD917529:JD917530 SZ917529:SZ917530 ACV917529:ACV917530 AMR917529:AMR917530 AWN917529:AWN917530 BGJ917529:BGJ917530 BQF917529:BQF917530 CAB917529:CAB917530 CJX917529:CJX917530 CTT917529:CTT917530 DDP917529:DDP917530 DNL917529:DNL917530 DXH917529:DXH917530 EHD917529:EHD917530 EQZ917529:EQZ917530 FAV917529:FAV917530 FKR917529:FKR917530 FUN917529:FUN917530 GEJ917529:GEJ917530 GOF917529:GOF917530 GYB917529:GYB917530 HHX917529:HHX917530 HRT917529:HRT917530 IBP917529:IBP917530 ILL917529:ILL917530 IVH917529:IVH917530 JFD917529:JFD917530 JOZ917529:JOZ917530 JYV917529:JYV917530 KIR917529:KIR917530 KSN917529:KSN917530 LCJ917529:LCJ917530 LMF917529:LMF917530 LWB917529:LWB917530 MFX917529:MFX917530 MPT917529:MPT917530 MZP917529:MZP917530 NJL917529:NJL917530 NTH917529:NTH917530 ODD917529:ODD917530 OMZ917529:OMZ917530 OWV917529:OWV917530 PGR917529:PGR917530 PQN917529:PQN917530 QAJ917529:QAJ917530 QKF917529:QKF917530 QUB917529:QUB917530 RDX917529:RDX917530 RNT917529:RNT917530 RXP917529:RXP917530 SHL917529:SHL917530 SRH917529:SRH917530 TBD917529:TBD917530 TKZ917529:TKZ917530 TUV917529:TUV917530 UER917529:UER917530 UON917529:UON917530 UYJ917529:UYJ917530 VIF917529:VIF917530 VSB917529:VSB917530 WBX917529:WBX917530 WLT917529:WLT917530 WVP917529:WVP917530 H983065:H983066 JD983065:JD983066 SZ983065:SZ983066 ACV983065:ACV983066 AMR983065:AMR983066 AWN983065:AWN983066 BGJ983065:BGJ983066 BQF983065:BQF983066 CAB983065:CAB983066 CJX983065:CJX983066 CTT983065:CTT983066 DDP983065:DDP983066 DNL983065:DNL983066 DXH983065:DXH983066 EHD983065:EHD983066 EQZ983065:EQZ983066 FAV983065:FAV983066 FKR983065:FKR983066 FUN983065:FUN983066 GEJ983065:GEJ983066 GOF983065:GOF983066 GYB983065:GYB983066 HHX983065:HHX983066 HRT983065:HRT983066 IBP983065:IBP983066 ILL983065:ILL983066 IVH983065:IVH983066 JFD983065:JFD983066 JOZ983065:JOZ983066 JYV983065:JYV983066 KIR983065:KIR983066 KSN983065:KSN983066 LCJ983065:LCJ983066 LMF983065:LMF983066 LWB983065:LWB983066 MFX983065:MFX983066 MPT983065:MPT983066 MZP983065:MZP983066 NJL983065:NJL983066 NTH983065:NTH983066 ODD983065:ODD983066 OMZ983065:OMZ983066 OWV983065:OWV983066 PGR983065:PGR983066 PQN983065:PQN983066 QAJ983065:QAJ983066 QKF983065:QKF983066 QUB983065:QUB983066 RDX983065:RDX983066 RNT983065:RNT983066 RXP983065:RXP983066 SHL983065:SHL983066 SRH983065:SRH983066 TBD983065:TBD983066 TKZ983065:TKZ983066 TUV983065:TUV983066 UER983065:UER983066 UON983065:UON983066 UYJ983065:UYJ983066 VIF983065:VIF983066 VSB983065:VSB983066 WBX983065:WBX983066 WLT983065:WLT983066 WVP983065:WVP983066 H23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N25:N26 JJ25:JJ26 TF25:TF26 ADB25:ADB26 AMX25:AMX26 AWT25:AWT26 BGP25:BGP26 BQL25:BQL26 CAH25:CAH26 CKD25:CKD26 CTZ25:CTZ26 DDV25:DDV26 DNR25:DNR26 DXN25:DXN26 EHJ25:EHJ26 ERF25:ERF26 FBB25:FBB26 FKX25:FKX26 FUT25:FUT26 GEP25:GEP26 GOL25:GOL26 GYH25:GYH26 HID25:HID26 HRZ25:HRZ26 IBV25:IBV26 ILR25:ILR26 IVN25:IVN26 JFJ25:JFJ26 JPF25:JPF26 JZB25:JZB26 KIX25:KIX26 KST25:KST26 LCP25:LCP26 LML25:LML26 LWH25:LWH26 MGD25:MGD26 MPZ25:MPZ26 MZV25:MZV26 NJR25:NJR26 NTN25:NTN26 ODJ25:ODJ26 ONF25:ONF26 OXB25:OXB26 PGX25:PGX26 PQT25:PQT26 QAP25:QAP26 QKL25:QKL26 QUH25:QUH26 RED25:RED26 RNZ25:RNZ26 RXV25:RXV26 SHR25:SHR26 SRN25:SRN26 TBJ25:TBJ26 TLF25:TLF26 TVB25:TVB26 UEX25:UEX26 UOT25:UOT26 UYP25:UYP26 VIL25:VIL26 VSH25:VSH26 WCD25:WCD26 WLZ25:WLZ26 WVV25:WVV26 N65561:N65562 JJ65561:JJ65562 TF65561:TF65562 ADB65561:ADB65562 AMX65561:AMX65562 AWT65561:AWT65562 BGP65561:BGP65562 BQL65561:BQL65562 CAH65561:CAH65562 CKD65561:CKD65562 CTZ65561:CTZ65562 DDV65561:DDV65562 DNR65561:DNR65562 DXN65561:DXN65562 EHJ65561:EHJ65562 ERF65561:ERF65562 FBB65561:FBB65562 FKX65561:FKX65562 FUT65561:FUT65562 GEP65561:GEP65562 GOL65561:GOL65562 GYH65561:GYH65562 HID65561:HID65562 HRZ65561:HRZ65562 IBV65561:IBV65562 ILR65561:ILR65562 IVN65561:IVN65562 JFJ65561:JFJ65562 JPF65561:JPF65562 JZB65561:JZB65562 KIX65561:KIX65562 KST65561:KST65562 LCP65561:LCP65562 LML65561:LML65562 LWH65561:LWH65562 MGD65561:MGD65562 MPZ65561:MPZ65562 MZV65561:MZV65562 NJR65561:NJR65562 NTN65561:NTN65562 ODJ65561:ODJ65562 ONF65561:ONF65562 OXB65561:OXB65562 PGX65561:PGX65562 PQT65561:PQT65562 QAP65561:QAP65562 QKL65561:QKL65562 QUH65561:QUH65562 RED65561:RED65562 RNZ65561:RNZ65562 RXV65561:RXV65562 SHR65561:SHR65562 SRN65561:SRN65562 TBJ65561:TBJ65562 TLF65561:TLF65562 TVB65561:TVB65562 UEX65561:UEX65562 UOT65561:UOT65562 UYP65561:UYP65562 VIL65561:VIL65562 VSH65561:VSH65562 WCD65561:WCD65562 WLZ65561:WLZ65562 WVV65561:WVV65562 N131097:N131098 JJ131097:JJ131098 TF131097:TF131098 ADB131097:ADB131098 AMX131097:AMX131098 AWT131097:AWT131098 BGP131097:BGP131098 BQL131097:BQL131098 CAH131097:CAH131098 CKD131097:CKD131098 CTZ131097:CTZ131098 DDV131097:DDV131098 DNR131097:DNR131098 DXN131097:DXN131098 EHJ131097:EHJ131098 ERF131097:ERF131098 FBB131097:FBB131098 FKX131097:FKX131098 FUT131097:FUT131098 GEP131097:GEP131098 GOL131097:GOL131098 GYH131097:GYH131098 HID131097:HID131098 HRZ131097:HRZ131098 IBV131097:IBV131098 ILR131097:ILR131098 IVN131097:IVN131098 JFJ131097:JFJ131098 JPF131097:JPF131098 JZB131097:JZB131098 KIX131097:KIX131098 KST131097:KST131098 LCP131097:LCP131098 LML131097:LML131098 LWH131097:LWH131098 MGD131097:MGD131098 MPZ131097:MPZ131098 MZV131097:MZV131098 NJR131097:NJR131098 NTN131097:NTN131098 ODJ131097:ODJ131098 ONF131097:ONF131098 OXB131097:OXB131098 PGX131097:PGX131098 PQT131097:PQT131098 QAP131097:QAP131098 QKL131097:QKL131098 QUH131097:QUH131098 RED131097:RED131098 RNZ131097:RNZ131098 RXV131097:RXV131098 SHR131097:SHR131098 SRN131097:SRN131098 TBJ131097:TBJ131098 TLF131097:TLF131098 TVB131097:TVB131098 UEX131097:UEX131098 UOT131097:UOT131098 UYP131097:UYP131098 VIL131097:VIL131098 VSH131097:VSH131098 WCD131097:WCD131098 WLZ131097:WLZ131098 WVV131097:WVV131098 N196633:N196634 JJ196633:JJ196634 TF196633:TF196634 ADB196633:ADB196634 AMX196633:AMX196634 AWT196633:AWT196634 BGP196633:BGP196634 BQL196633:BQL196634 CAH196633:CAH196634 CKD196633:CKD196634 CTZ196633:CTZ196634 DDV196633:DDV196634 DNR196633:DNR196634 DXN196633:DXN196634 EHJ196633:EHJ196634 ERF196633:ERF196634 FBB196633:FBB196634 FKX196633:FKX196634 FUT196633:FUT196634 GEP196633:GEP196634 GOL196633:GOL196634 GYH196633:GYH196634 HID196633:HID196634 HRZ196633:HRZ196634 IBV196633:IBV196634 ILR196633:ILR196634 IVN196633:IVN196634 JFJ196633:JFJ196634 JPF196633:JPF196634 JZB196633:JZB196634 KIX196633:KIX196634 KST196633:KST196634 LCP196633:LCP196634 LML196633:LML196634 LWH196633:LWH196634 MGD196633:MGD196634 MPZ196633:MPZ196634 MZV196633:MZV196634 NJR196633:NJR196634 NTN196633:NTN196634 ODJ196633:ODJ196634 ONF196633:ONF196634 OXB196633:OXB196634 PGX196633:PGX196634 PQT196633:PQT196634 QAP196633:QAP196634 QKL196633:QKL196634 QUH196633:QUH196634 RED196633:RED196634 RNZ196633:RNZ196634 RXV196633:RXV196634 SHR196633:SHR196634 SRN196633:SRN196634 TBJ196633:TBJ196634 TLF196633:TLF196634 TVB196633:TVB196634 UEX196633:UEX196634 UOT196633:UOT196634 UYP196633:UYP196634 VIL196633:VIL196634 VSH196633:VSH196634 WCD196633:WCD196634 WLZ196633:WLZ196634 WVV196633:WVV196634 N262169:N262170 JJ262169:JJ262170 TF262169:TF262170 ADB262169:ADB262170 AMX262169:AMX262170 AWT262169:AWT262170 BGP262169:BGP262170 BQL262169:BQL262170 CAH262169:CAH262170 CKD262169:CKD262170 CTZ262169:CTZ262170 DDV262169:DDV262170 DNR262169:DNR262170 DXN262169:DXN262170 EHJ262169:EHJ262170 ERF262169:ERF262170 FBB262169:FBB262170 FKX262169:FKX262170 FUT262169:FUT262170 GEP262169:GEP262170 GOL262169:GOL262170 GYH262169:GYH262170 HID262169:HID262170 HRZ262169:HRZ262170 IBV262169:IBV262170 ILR262169:ILR262170 IVN262169:IVN262170 JFJ262169:JFJ262170 JPF262169:JPF262170 JZB262169:JZB262170 KIX262169:KIX262170 KST262169:KST262170 LCP262169:LCP262170 LML262169:LML262170 LWH262169:LWH262170 MGD262169:MGD262170 MPZ262169:MPZ262170 MZV262169:MZV262170 NJR262169:NJR262170 NTN262169:NTN262170 ODJ262169:ODJ262170 ONF262169:ONF262170 OXB262169:OXB262170 PGX262169:PGX262170 PQT262169:PQT262170 QAP262169:QAP262170 QKL262169:QKL262170 QUH262169:QUH262170 RED262169:RED262170 RNZ262169:RNZ262170 RXV262169:RXV262170 SHR262169:SHR262170 SRN262169:SRN262170 TBJ262169:TBJ262170 TLF262169:TLF262170 TVB262169:TVB262170 UEX262169:UEX262170 UOT262169:UOT262170 UYP262169:UYP262170 VIL262169:VIL262170 VSH262169:VSH262170 WCD262169:WCD262170 WLZ262169:WLZ262170 WVV262169:WVV262170 N327705:N327706 JJ327705:JJ327706 TF327705:TF327706 ADB327705:ADB327706 AMX327705:AMX327706 AWT327705:AWT327706 BGP327705:BGP327706 BQL327705:BQL327706 CAH327705:CAH327706 CKD327705:CKD327706 CTZ327705:CTZ327706 DDV327705:DDV327706 DNR327705:DNR327706 DXN327705:DXN327706 EHJ327705:EHJ327706 ERF327705:ERF327706 FBB327705:FBB327706 FKX327705:FKX327706 FUT327705:FUT327706 GEP327705:GEP327706 GOL327705:GOL327706 GYH327705:GYH327706 HID327705:HID327706 HRZ327705:HRZ327706 IBV327705:IBV327706 ILR327705:ILR327706 IVN327705:IVN327706 JFJ327705:JFJ327706 JPF327705:JPF327706 JZB327705:JZB327706 KIX327705:KIX327706 KST327705:KST327706 LCP327705:LCP327706 LML327705:LML327706 LWH327705:LWH327706 MGD327705:MGD327706 MPZ327705:MPZ327706 MZV327705:MZV327706 NJR327705:NJR327706 NTN327705:NTN327706 ODJ327705:ODJ327706 ONF327705:ONF327706 OXB327705:OXB327706 PGX327705:PGX327706 PQT327705:PQT327706 QAP327705:QAP327706 QKL327705:QKL327706 QUH327705:QUH327706 RED327705:RED327706 RNZ327705:RNZ327706 RXV327705:RXV327706 SHR327705:SHR327706 SRN327705:SRN327706 TBJ327705:TBJ327706 TLF327705:TLF327706 TVB327705:TVB327706 UEX327705:UEX327706 UOT327705:UOT327706 UYP327705:UYP327706 VIL327705:VIL327706 VSH327705:VSH327706 WCD327705:WCD327706 WLZ327705:WLZ327706 WVV327705:WVV327706 N393241:N393242 JJ393241:JJ393242 TF393241:TF393242 ADB393241:ADB393242 AMX393241:AMX393242 AWT393241:AWT393242 BGP393241:BGP393242 BQL393241:BQL393242 CAH393241:CAH393242 CKD393241:CKD393242 CTZ393241:CTZ393242 DDV393241:DDV393242 DNR393241:DNR393242 DXN393241:DXN393242 EHJ393241:EHJ393242 ERF393241:ERF393242 FBB393241:FBB393242 FKX393241:FKX393242 FUT393241:FUT393242 GEP393241:GEP393242 GOL393241:GOL393242 GYH393241:GYH393242 HID393241:HID393242 HRZ393241:HRZ393242 IBV393241:IBV393242 ILR393241:ILR393242 IVN393241:IVN393242 JFJ393241:JFJ393242 JPF393241:JPF393242 JZB393241:JZB393242 KIX393241:KIX393242 KST393241:KST393242 LCP393241:LCP393242 LML393241:LML393242 LWH393241:LWH393242 MGD393241:MGD393242 MPZ393241:MPZ393242 MZV393241:MZV393242 NJR393241:NJR393242 NTN393241:NTN393242 ODJ393241:ODJ393242 ONF393241:ONF393242 OXB393241:OXB393242 PGX393241:PGX393242 PQT393241:PQT393242 QAP393241:QAP393242 QKL393241:QKL393242 QUH393241:QUH393242 RED393241:RED393242 RNZ393241:RNZ393242 RXV393241:RXV393242 SHR393241:SHR393242 SRN393241:SRN393242 TBJ393241:TBJ393242 TLF393241:TLF393242 TVB393241:TVB393242 UEX393241:UEX393242 UOT393241:UOT393242 UYP393241:UYP393242 VIL393241:VIL393242 VSH393241:VSH393242 WCD393241:WCD393242 WLZ393241:WLZ393242 WVV393241:WVV393242 N458777:N458778 JJ458777:JJ458778 TF458777:TF458778 ADB458777:ADB458778 AMX458777:AMX458778 AWT458777:AWT458778 BGP458777:BGP458778 BQL458777:BQL458778 CAH458777:CAH458778 CKD458777:CKD458778 CTZ458777:CTZ458778 DDV458777:DDV458778 DNR458777:DNR458778 DXN458777:DXN458778 EHJ458777:EHJ458778 ERF458777:ERF458778 FBB458777:FBB458778 FKX458777:FKX458778 FUT458777:FUT458778 GEP458777:GEP458778 GOL458777:GOL458778 GYH458777:GYH458778 HID458777:HID458778 HRZ458777:HRZ458778 IBV458777:IBV458778 ILR458777:ILR458778 IVN458777:IVN458778 JFJ458777:JFJ458778 JPF458777:JPF458778 JZB458777:JZB458778 KIX458777:KIX458778 KST458777:KST458778 LCP458777:LCP458778 LML458777:LML458778 LWH458777:LWH458778 MGD458777:MGD458778 MPZ458777:MPZ458778 MZV458777:MZV458778 NJR458777:NJR458778 NTN458777:NTN458778 ODJ458777:ODJ458778 ONF458777:ONF458778 OXB458777:OXB458778 PGX458777:PGX458778 PQT458777:PQT458778 QAP458777:QAP458778 QKL458777:QKL458778 QUH458777:QUH458778 RED458777:RED458778 RNZ458777:RNZ458778 RXV458777:RXV458778 SHR458777:SHR458778 SRN458777:SRN458778 TBJ458777:TBJ458778 TLF458777:TLF458778 TVB458777:TVB458778 UEX458777:UEX458778 UOT458777:UOT458778 UYP458777:UYP458778 VIL458777:VIL458778 VSH458777:VSH458778 WCD458777:WCD458778 WLZ458777:WLZ458778 WVV458777:WVV458778 N524313:N524314 JJ524313:JJ524314 TF524313:TF524314 ADB524313:ADB524314 AMX524313:AMX524314 AWT524313:AWT524314 BGP524313:BGP524314 BQL524313:BQL524314 CAH524313:CAH524314 CKD524313:CKD524314 CTZ524313:CTZ524314 DDV524313:DDV524314 DNR524313:DNR524314 DXN524313:DXN524314 EHJ524313:EHJ524314 ERF524313:ERF524314 FBB524313:FBB524314 FKX524313:FKX524314 FUT524313:FUT524314 GEP524313:GEP524314 GOL524313:GOL524314 GYH524313:GYH524314 HID524313:HID524314 HRZ524313:HRZ524314 IBV524313:IBV524314 ILR524313:ILR524314 IVN524313:IVN524314 JFJ524313:JFJ524314 JPF524313:JPF524314 JZB524313:JZB524314 KIX524313:KIX524314 KST524313:KST524314 LCP524313:LCP524314 LML524313:LML524314 LWH524313:LWH524314 MGD524313:MGD524314 MPZ524313:MPZ524314 MZV524313:MZV524314 NJR524313:NJR524314 NTN524313:NTN524314 ODJ524313:ODJ524314 ONF524313:ONF524314 OXB524313:OXB524314 PGX524313:PGX524314 PQT524313:PQT524314 QAP524313:QAP524314 QKL524313:QKL524314 QUH524313:QUH524314 RED524313:RED524314 RNZ524313:RNZ524314 RXV524313:RXV524314 SHR524313:SHR524314 SRN524313:SRN524314 TBJ524313:TBJ524314 TLF524313:TLF524314 TVB524313:TVB524314 UEX524313:UEX524314 UOT524313:UOT524314 UYP524313:UYP524314 VIL524313:VIL524314 VSH524313:VSH524314 WCD524313:WCD524314 WLZ524313:WLZ524314 WVV524313:WVV524314 N589849:N589850 JJ589849:JJ589850 TF589849:TF589850 ADB589849:ADB589850 AMX589849:AMX589850 AWT589849:AWT589850 BGP589849:BGP589850 BQL589849:BQL589850 CAH589849:CAH589850 CKD589849:CKD589850 CTZ589849:CTZ589850 DDV589849:DDV589850 DNR589849:DNR589850 DXN589849:DXN589850 EHJ589849:EHJ589850 ERF589849:ERF589850 FBB589849:FBB589850 FKX589849:FKX589850 FUT589849:FUT589850 GEP589849:GEP589850 GOL589849:GOL589850 GYH589849:GYH589850 HID589849:HID589850 HRZ589849:HRZ589850 IBV589849:IBV589850 ILR589849:ILR589850 IVN589849:IVN589850 JFJ589849:JFJ589850 JPF589849:JPF589850 JZB589849:JZB589850 KIX589849:KIX589850 KST589849:KST589850 LCP589849:LCP589850 LML589849:LML589850 LWH589849:LWH589850 MGD589849:MGD589850 MPZ589849:MPZ589850 MZV589849:MZV589850 NJR589849:NJR589850 NTN589849:NTN589850 ODJ589849:ODJ589850 ONF589849:ONF589850 OXB589849:OXB589850 PGX589849:PGX589850 PQT589849:PQT589850 QAP589849:QAP589850 QKL589849:QKL589850 QUH589849:QUH589850 RED589849:RED589850 RNZ589849:RNZ589850 RXV589849:RXV589850 SHR589849:SHR589850 SRN589849:SRN589850 TBJ589849:TBJ589850 TLF589849:TLF589850 TVB589849:TVB589850 UEX589849:UEX589850 UOT589849:UOT589850 UYP589849:UYP589850 VIL589849:VIL589850 VSH589849:VSH589850 WCD589849:WCD589850 WLZ589849:WLZ589850 WVV589849:WVV589850 N655385:N655386 JJ655385:JJ655386 TF655385:TF655386 ADB655385:ADB655386 AMX655385:AMX655386 AWT655385:AWT655386 BGP655385:BGP655386 BQL655385:BQL655386 CAH655385:CAH655386 CKD655385:CKD655386 CTZ655385:CTZ655386 DDV655385:DDV655386 DNR655385:DNR655386 DXN655385:DXN655386 EHJ655385:EHJ655386 ERF655385:ERF655386 FBB655385:FBB655386 FKX655385:FKX655386 FUT655385:FUT655386 GEP655385:GEP655386 GOL655385:GOL655386 GYH655385:GYH655386 HID655385:HID655386 HRZ655385:HRZ655386 IBV655385:IBV655386 ILR655385:ILR655386 IVN655385:IVN655386 JFJ655385:JFJ655386 JPF655385:JPF655386 JZB655385:JZB655386 KIX655385:KIX655386 KST655385:KST655386 LCP655385:LCP655386 LML655385:LML655386 LWH655385:LWH655386 MGD655385:MGD655386 MPZ655385:MPZ655386 MZV655385:MZV655386 NJR655385:NJR655386 NTN655385:NTN655386 ODJ655385:ODJ655386 ONF655385:ONF655386 OXB655385:OXB655386 PGX655385:PGX655386 PQT655385:PQT655386 QAP655385:QAP655386 QKL655385:QKL655386 QUH655385:QUH655386 RED655385:RED655386 RNZ655385:RNZ655386 RXV655385:RXV655386 SHR655385:SHR655386 SRN655385:SRN655386 TBJ655385:TBJ655386 TLF655385:TLF655386 TVB655385:TVB655386 UEX655385:UEX655386 UOT655385:UOT655386 UYP655385:UYP655386 VIL655385:VIL655386 VSH655385:VSH655386 WCD655385:WCD655386 WLZ655385:WLZ655386 WVV655385:WVV655386 N720921:N720922 JJ720921:JJ720922 TF720921:TF720922 ADB720921:ADB720922 AMX720921:AMX720922 AWT720921:AWT720922 BGP720921:BGP720922 BQL720921:BQL720922 CAH720921:CAH720922 CKD720921:CKD720922 CTZ720921:CTZ720922 DDV720921:DDV720922 DNR720921:DNR720922 DXN720921:DXN720922 EHJ720921:EHJ720922 ERF720921:ERF720922 FBB720921:FBB720922 FKX720921:FKX720922 FUT720921:FUT720922 GEP720921:GEP720922 GOL720921:GOL720922 GYH720921:GYH720922 HID720921:HID720922 HRZ720921:HRZ720922 IBV720921:IBV720922 ILR720921:ILR720922 IVN720921:IVN720922 JFJ720921:JFJ720922 JPF720921:JPF720922 JZB720921:JZB720922 KIX720921:KIX720922 KST720921:KST720922 LCP720921:LCP720922 LML720921:LML720922 LWH720921:LWH720922 MGD720921:MGD720922 MPZ720921:MPZ720922 MZV720921:MZV720922 NJR720921:NJR720922 NTN720921:NTN720922 ODJ720921:ODJ720922 ONF720921:ONF720922 OXB720921:OXB720922 PGX720921:PGX720922 PQT720921:PQT720922 QAP720921:QAP720922 QKL720921:QKL720922 QUH720921:QUH720922 RED720921:RED720922 RNZ720921:RNZ720922 RXV720921:RXV720922 SHR720921:SHR720922 SRN720921:SRN720922 TBJ720921:TBJ720922 TLF720921:TLF720922 TVB720921:TVB720922 UEX720921:UEX720922 UOT720921:UOT720922 UYP720921:UYP720922 VIL720921:VIL720922 VSH720921:VSH720922 WCD720921:WCD720922 WLZ720921:WLZ720922 WVV720921:WVV720922 N786457:N786458 JJ786457:JJ786458 TF786457:TF786458 ADB786457:ADB786458 AMX786457:AMX786458 AWT786457:AWT786458 BGP786457:BGP786458 BQL786457:BQL786458 CAH786457:CAH786458 CKD786457:CKD786458 CTZ786457:CTZ786458 DDV786457:DDV786458 DNR786457:DNR786458 DXN786457:DXN786458 EHJ786457:EHJ786458 ERF786457:ERF786458 FBB786457:FBB786458 FKX786457:FKX786458 FUT786457:FUT786458 GEP786457:GEP786458 GOL786457:GOL786458 GYH786457:GYH786458 HID786457:HID786458 HRZ786457:HRZ786458 IBV786457:IBV786458 ILR786457:ILR786458 IVN786457:IVN786458 JFJ786457:JFJ786458 JPF786457:JPF786458 JZB786457:JZB786458 KIX786457:KIX786458 KST786457:KST786458 LCP786457:LCP786458 LML786457:LML786458 LWH786457:LWH786458 MGD786457:MGD786458 MPZ786457:MPZ786458 MZV786457:MZV786458 NJR786457:NJR786458 NTN786457:NTN786458 ODJ786457:ODJ786458 ONF786457:ONF786458 OXB786457:OXB786458 PGX786457:PGX786458 PQT786457:PQT786458 QAP786457:QAP786458 QKL786457:QKL786458 QUH786457:QUH786458 RED786457:RED786458 RNZ786457:RNZ786458 RXV786457:RXV786458 SHR786457:SHR786458 SRN786457:SRN786458 TBJ786457:TBJ786458 TLF786457:TLF786458 TVB786457:TVB786458 UEX786457:UEX786458 UOT786457:UOT786458 UYP786457:UYP786458 VIL786457:VIL786458 VSH786457:VSH786458 WCD786457:WCD786458 WLZ786457:WLZ786458 WVV786457:WVV786458 N851993:N851994 JJ851993:JJ851994 TF851993:TF851994 ADB851993:ADB851994 AMX851993:AMX851994 AWT851993:AWT851994 BGP851993:BGP851994 BQL851993:BQL851994 CAH851993:CAH851994 CKD851993:CKD851994 CTZ851993:CTZ851994 DDV851993:DDV851994 DNR851993:DNR851994 DXN851993:DXN851994 EHJ851993:EHJ851994 ERF851993:ERF851994 FBB851993:FBB851994 FKX851993:FKX851994 FUT851993:FUT851994 GEP851993:GEP851994 GOL851993:GOL851994 GYH851993:GYH851994 HID851993:HID851994 HRZ851993:HRZ851994 IBV851993:IBV851994 ILR851993:ILR851994 IVN851993:IVN851994 JFJ851993:JFJ851994 JPF851993:JPF851994 JZB851993:JZB851994 KIX851993:KIX851994 KST851993:KST851994 LCP851993:LCP851994 LML851993:LML851994 LWH851993:LWH851994 MGD851993:MGD851994 MPZ851993:MPZ851994 MZV851993:MZV851994 NJR851993:NJR851994 NTN851993:NTN851994 ODJ851993:ODJ851994 ONF851993:ONF851994 OXB851993:OXB851994 PGX851993:PGX851994 PQT851993:PQT851994 QAP851993:QAP851994 QKL851993:QKL851994 QUH851993:QUH851994 RED851993:RED851994 RNZ851993:RNZ851994 RXV851993:RXV851994 SHR851993:SHR851994 SRN851993:SRN851994 TBJ851993:TBJ851994 TLF851993:TLF851994 TVB851993:TVB851994 UEX851993:UEX851994 UOT851993:UOT851994 UYP851993:UYP851994 VIL851993:VIL851994 VSH851993:VSH851994 WCD851993:WCD851994 WLZ851993:WLZ851994 WVV851993:WVV851994 N917529:N917530 JJ917529:JJ917530 TF917529:TF917530 ADB917529:ADB917530 AMX917529:AMX917530 AWT917529:AWT917530 BGP917529:BGP917530 BQL917529:BQL917530 CAH917529:CAH917530 CKD917529:CKD917530 CTZ917529:CTZ917530 DDV917529:DDV917530 DNR917529:DNR917530 DXN917529:DXN917530 EHJ917529:EHJ917530 ERF917529:ERF917530 FBB917529:FBB917530 FKX917529:FKX917530 FUT917529:FUT917530 GEP917529:GEP917530 GOL917529:GOL917530 GYH917529:GYH917530 HID917529:HID917530 HRZ917529:HRZ917530 IBV917529:IBV917530 ILR917529:ILR917530 IVN917529:IVN917530 JFJ917529:JFJ917530 JPF917529:JPF917530 JZB917529:JZB917530 KIX917529:KIX917530 KST917529:KST917530 LCP917529:LCP917530 LML917529:LML917530 LWH917529:LWH917530 MGD917529:MGD917530 MPZ917529:MPZ917530 MZV917529:MZV917530 NJR917529:NJR917530 NTN917529:NTN917530 ODJ917529:ODJ917530 ONF917529:ONF917530 OXB917529:OXB917530 PGX917529:PGX917530 PQT917529:PQT917530 QAP917529:QAP917530 QKL917529:QKL917530 QUH917529:QUH917530 RED917529:RED917530 RNZ917529:RNZ917530 RXV917529:RXV917530 SHR917529:SHR917530 SRN917529:SRN917530 TBJ917529:TBJ917530 TLF917529:TLF917530 TVB917529:TVB917530 UEX917529:UEX917530 UOT917529:UOT917530 UYP917529:UYP917530 VIL917529:VIL917530 VSH917529:VSH917530 WCD917529:WCD917530 WLZ917529:WLZ917530 WVV917529:WVV917530 N983065:N983066 JJ983065:JJ983066 TF983065:TF983066 ADB983065:ADB983066 AMX983065:AMX983066 AWT983065:AWT983066 BGP983065:BGP983066 BQL983065:BQL983066 CAH983065:CAH983066 CKD983065:CKD983066 CTZ983065:CTZ983066 DDV983065:DDV983066 DNR983065:DNR983066 DXN983065:DXN983066 EHJ983065:EHJ983066 ERF983065:ERF983066 FBB983065:FBB983066 FKX983065:FKX983066 FUT983065:FUT983066 GEP983065:GEP983066 GOL983065:GOL983066 GYH983065:GYH983066 HID983065:HID983066 HRZ983065:HRZ983066 IBV983065:IBV983066 ILR983065:ILR983066 IVN983065:IVN983066 JFJ983065:JFJ983066 JPF983065:JPF983066 JZB983065:JZB983066 KIX983065:KIX983066 KST983065:KST983066 LCP983065:LCP983066 LML983065:LML983066 LWH983065:LWH983066 MGD983065:MGD983066 MPZ983065:MPZ983066 MZV983065:MZV983066 NJR983065:NJR983066 NTN983065:NTN983066 ODJ983065:ODJ983066 ONF983065:ONF983066 OXB983065:OXB983066 PGX983065:PGX983066 PQT983065:PQT983066 QAP983065:QAP983066 QKL983065:QKL983066 QUH983065:QUH983066 RED983065:RED983066 RNZ983065:RNZ983066 RXV983065:RXV983066 SHR983065:SHR983066 SRN983065:SRN983066 TBJ983065:TBJ983066 TLF983065:TLF983066 TVB983065:TVB983066 UEX983065:UEX983066 UOT983065:UOT983066 UYP983065:UYP983066 VIL983065:VIL983066 VSH983065:VSH983066 WCD983065:WCD983066 WLZ983065:WLZ983066 WVV983065:WVV983066 B19:B23 IX19:IX23 ST19:ST23 ACP19:ACP23 AML19:AML23 AWH19:AWH23 BGD19:BGD23 BPZ19:BPZ23 BZV19:BZV23 CJR19:CJR23 CTN19:CTN23 DDJ19:DDJ23 DNF19:DNF23 DXB19:DXB23 EGX19:EGX23 EQT19:EQT23 FAP19:FAP23 FKL19:FKL23 FUH19:FUH23 GED19:GED23 GNZ19:GNZ23 GXV19:GXV23 HHR19:HHR23 HRN19:HRN23 IBJ19:IBJ23 ILF19:ILF23 IVB19:IVB23 JEX19:JEX23 JOT19:JOT23 JYP19:JYP23 KIL19:KIL23 KSH19:KSH23 LCD19:LCD23 LLZ19:LLZ23 LVV19:LVV23 MFR19:MFR23 MPN19:MPN23 MZJ19:MZJ23 NJF19:NJF23 NTB19:NTB23 OCX19:OCX23 OMT19:OMT23 OWP19:OWP23 PGL19:PGL23 PQH19:PQH23 QAD19:QAD23 QJZ19:QJZ23 QTV19:QTV23 RDR19:RDR23 RNN19:RNN23 RXJ19:RXJ23 SHF19:SHF23 SRB19:SRB23 TAX19:TAX23 TKT19:TKT23 TUP19:TUP23 UEL19:UEL23 UOH19:UOH23 UYD19:UYD23 VHZ19:VHZ23 VRV19:VRV23 WBR19:WBR23 WLN19:WLN23 WVJ19:WVJ23 B65555:B65559 IX65555:IX65559 ST65555:ST65559 ACP65555:ACP65559 AML65555:AML65559 AWH65555:AWH65559 BGD65555:BGD65559 BPZ65555:BPZ65559 BZV65555:BZV65559 CJR65555:CJR65559 CTN65555:CTN65559 DDJ65555:DDJ65559 DNF65555:DNF65559 DXB65555:DXB65559 EGX65555:EGX65559 EQT65555:EQT65559 FAP65555:FAP65559 FKL65555:FKL65559 FUH65555:FUH65559 GED65555:GED65559 GNZ65555:GNZ65559 GXV65555:GXV65559 HHR65555:HHR65559 HRN65555:HRN65559 IBJ65555:IBJ65559 ILF65555:ILF65559 IVB65555:IVB65559 JEX65555:JEX65559 JOT65555:JOT65559 JYP65555:JYP65559 KIL65555:KIL65559 KSH65555:KSH65559 LCD65555:LCD65559 LLZ65555:LLZ65559 LVV65555:LVV65559 MFR65555:MFR65559 MPN65555:MPN65559 MZJ65555:MZJ65559 NJF65555:NJF65559 NTB65555:NTB65559 OCX65555:OCX65559 OMT65555:OMT65559 OWP65555:OWP65559 PGL65555:PGL65559 PQH65555:PQH65559 QAD65555:QAD65559 QJZ65555:QJZ65559 QTV65555:QTV65559 RDR65555:RDR65559 RNN65555:RNN65559 RXJ65555:RXJ65559 SHF65555:SHF65559 SRB65555:SRB65559 TAX65555:TAX65559 TKT65555:TKT65559 TUP65555:TUP65559 UEL65555:UEL65559 UOH65555:UOH65559 UYD65555:UYD65559 VHZ65555:VHZ65559 VRV65555:VRV65559 WBR65555:WBR65559 WLN65555:WLN65559 WVJ65555:WVJ65559 B131091:B131095 IX131091:IX131095 ST131091:ST131095 ACP131091:ACP131095 AML131091:AML131095 AWH131091:AWH131095 BGD131091:BGD131095 BPZ131091:BPZ131095 BZV131091:BZV131095 CJR131091:CJR131095 CTN131091:CTN131095 DDJ131091:DDJ131095 DNF131091:DNF131095 DXB131091:DXB131095 EGX131091:EGX131095 EQT131091:EQT131095 FAP131091:FAP131095 FKL131091:FKL131095 FUH131091:FUH131095 GED131091:GED131095 GNZ131091:GNZ131095 GXV131091:GXV131095 HHR131091:HHR131095 HRN131091:HRN131095 IBJ131091:IBJ131095 ILF131091:ILF131095 IVB131091:IVB131095 JEX131091:JEX131095 JOT131091:JOT131095 JYP131091:JYP131095 KIL131091:KIL131095 KSH131091:KSH131095 LCD131091:LCD131095 LLZ131091:LLZ131095 LVV131091:LVV131095 MFR131091:MFR131095 MPN131091:MPN131095 MZJ131091:MZJ131095 NJF131091:NJF131095 NTB131091:NTB131095 OCX131091:OCX131095 OMT131091:OMT131095 OWP131091:OWP131095 PGL131091:PGL131095 PQH131091:PQH131095 QAD131091:QAD131095 QJZ131091:QJZ131095 QTV131091:QTV131095 RDR131091:RDR131095 RNN131091:RNN131095 RXJ131091:RXJ131095 SHF131091:SHF131095 SRB131091:SRB131095 TAX131091:TAX131095 TKT131091:TKT131095 TUP131091:TUP131095 UEL131091:UEL131095 UOH131091:UOH131095 UYD131091:UYD131095 VHZ131091:VHZ131095 VRV131091:VRV131095 WBR131091:WBR131095 WLN131091:WLN131095 WVJ131091:WVJ131095 B196627:B196631 IX196627:IX196631 ST196627:ST196631 ACP196627:ACP196631 AML196627:AML196631 AWH196627:AWH196631 BGD196627:BGD196631 BPZ196627:BPZ196631 BZV196627:BZV196631 CJR196627:CJR196631 CTN196627:CTN196631 DDJ196627:DDJ196631 DNF196627:DNF196631 DXB196627:DXB196631 EGX196627:EGX196631 EQT196627:EQT196631 FAP196627:FAP196631 FKL196627:FKL196631 FUH196627:FUH196631 GED196627:GED196631 GNZ196627:GNZ196631 GXV196627:GXV196631 HHR196627:HHR196631 HRN196627:HRN196631 IBJ196627:IBJ196631 ILF196627:ILF196631 IVB196627:IVB196631 JEX196627:JEX196631 JOT196627:JOT196631 JYP196627:JYP196631 KIL196627:KIL196631 KSH196627:KSH196631 LCD196627:LCD196631 LLZ196627:LLZ196631 LVV196627:LVV196631 MFR196627:MFR196631 MPN196627:MPN196631 MZJ196627:MZJ196631 NJF196627:NJF196631 NTB196627:NTB196631 OCX196627:OCX196631 OMT196627:OMT196631 OWP196627:OWP196631 PGL196627:PGL196631 PQH196627:PQH196631 QAD196627:QAD196631 QJZ196627:QJZ196631 QTV196627:QTV196631 RDR196627:RDR196631 RNN196627:RNN196631 RXJ196627:RXJ196631 SHF196627:SHF196631 SRB196627:SRB196631 TAX196627:TAX196631 TKT196627:TKT196631 TUP196627:TUP196631 UEL196627:UEL196631 UOH196627:UOH196631 UYD196627:UYD196631 VHZ196627:VHZ196631 VRV196627:VRV196631 WBR196627:WBR196631 WLN196627:WLN196631 WVJ196627:WVJ196631 B262163:B262167 IX262163:IX262167 ST262163:ST262167 ACP262163:ACP262167 AML262163:AML262167 AWH262163:AWH262167 BGD262163:BGD262167 BPZ262163:BPZ262167 BZV262163:BZV262167 CJR262163:CJR262167 CTN262163:CTN262167 DDJ262163:DDJ262167 DNF262163:DNF262167 DXB262163:DXB262167 EGX262163:EGX262167 EQT262163:EQT262167 FAP262163:FAP262167 FKL262163:FKL262167 FUH262163:FUH262167 GED262163:GED262167 GNZ262163:GNZ262167 GXV262163:GXV262167 HHR262163:HHR262167 HRN262163:HRN262167 IBJ262163:IBJ262167 ILF262163:ILF262167 IVB262163:IVB262167 JEX262163:JEX262167 JOT262163:JOT262167 JYP262163:JYP262167 KIL262163:KIL262167 KSH262163:KSH262167 LCD262163:LCD262167 LLZ262163:LLZ262167 LVV262163:LVV262167 MFR262163:MFR262167 MPN262163:MPN262167 MZJ262163:MZJ262167 NJF262163:NJF262167 NTB262163:NTB262167 OCX262163:OCX262167 OMT262163:OMT262167 OWP262163:OWP262167 PGL262163:PGL262167 PQH262163:PQH262167 QAD262163:QAD262167 QJZ262163:QJZ262167 QTV262163:QTV262167 RDR262163:RDR262167 RNN262163:RNN262167 RXJ262163:RXJ262167 SHF262163:SHF262167 SRB262163:SRB262167 TAX262163:TAX262167 TKT262163:TKT262167 TUP262163:TUP262167 UEL262163:UEL262167 UOH262163:UOH262167 UYD262163:UYD262167 VHZ262163:VHZ262167 VRV262163:VRV262167 WBR262163:WBR262167 WLN262163:WLN262167 WVJ262163:WVJ262167 B327699:B327703 IX327699:IX327703 ST327699:ST327703 ACP327699:ACP327703 AML327699:AML327703 AWH327699:AWH327703 BGD327699:BGD327703 BPZ327699:BPZ327703 BZV327699:BZV327703 CJR327699:CJR327703 CTN327699:CTN327703 DDJ327699:DDJ327703 DNF327699:DNF327703 DXB327699:DXB327703 EGX327699:EGX327703 EQT327699:EQT327703 FAP327699:FAP327703 FKL327699:FKL327703 FUH327699:FUH327703 GED327699:GED327703 GNZ327699:GNZ327703 GXV327699:GXV327703 HHR327699:HHR327703 HRN327699:HRN327703 IBJ327699:IBJ327703 ILF327699:ILF327703 IVB327699:IVB327703 JEX327699:JEX327703 JOT327699:JOT327703 JYP327699:JYP327703 KIL327699:KIL327703 KSH327699:KSH327703 LCD327699:LCD327703 LLZ327699:LLZ327703 LVV327699:LVV327703 MFR327699:MFR327703 MPN327699:MPN327703 MZJ327699:MZJ327703 NJF327699:NJF327703 NTB327699:NTB327703 OCX327699:OCX327703 OMT327699:OMT327703 OWP327699:OWP327703 PGL327699:PGL327703 PQH327699:PQH327703 QAD327699:QAD327703 QJZ327699:QJZ327703 QTV327699:QTV327703 RDR327699:RDR327703 RNN327699:RNN327703 RXJ327699:RXJ327703 SHF327699:SHF327703 SRB327699:SRB327703 TAX327699:TAX327703 TKT327699:TKT327703 TUP327699:TUP327703 UEL327699:UEL327703 UOH327699:UOH327703 UYD327699:UYD327703 VHZ327699:VHZ327703 VRV327699:VRV327703 WBR327699:WBR327703 WLN327699:WLN327703 WVJ327699:WVJ327703 B393235:B393239 IX393235:IX393239 ST393235:ST393239 ACP393235:ACP393239 AML393235:AML393239 AWH393235:AWH393239 BGD393235:BGD393239 BPZ393235:BPZ393239 BZV393235:BZV393239 CJR393235:CJR393239 CTN393235:CTN393239 DDJ393235:DDJ393239 DNF393235:DNF393239 DXB393235:DXB393239 EGX393235:EGX393239 EQT393235:EQT393239 FAP393235:FAP393239 FKL393235:FKL393239 FUH393235:FUH393239 GED393235:GED393239 GNZ393235:GNZ393239 GXV393235:GXV393239 HHR393235:HHR393239 HRN393235:HRN393239 IBJ393235:IBJ393239 ILF393235:ILF393239 IVB393235:IVB393239 JEX393235:JEX393239 JOT393235:JOT393239 JYP393235:JYP393239 KIL393235:KIL393239 KSH393235:KSH393239 LCD393235:LCD393239 LLZ393235:LLZ393239 LVV393235:LVV393239 MFR393235:MFR393239 MPN393235:MPN393239 MZJ393235:MZJ393239 NJF393235:NJF393239 NTB393235:NTB393239 OCX393235:OCX393239 OMT393235:OMT393239 OWP393235:OWP393239 PGL393235:PGL393239 PQH393235:PQH393239 QAD393235:QAD393239 QJZ393235:QJZ393239 QTV393235:QTV393239 RDR393235:RDR393239 RNN393235:RNN393239 RXJ393235:RXJ393239 SHF393235:SHF393239 SRB393235:SRB393239 TAX393235:TAX393239 TKT393235:TKT393239 TUP393235:TUP393239 UEL393235:UEL393239 UOH393235:UOH393239 UYD393235:UYD393239 VHZ393235:VHZ393239 VRV393235:VRV393239 WBR393235:WBR393239 WLN393235:WLN393239 WVJ393235:WVJ393239 B458771:B458775 IX458771:IX458775 ST458771:ST458775 ACP458771:ACP458775 AML458771:AML458775 AWH458771:AWH458775 BGD458771:BGD458775 BPZ458771:BPZ458775 BZV458771:BZV458775 CJR458771:CJR458775 CTN458771:CTN458775 DDJ458771:DDJ458775 DNF458771:DNF458775 DXB458771:DXB458775 EGX458771:EGX458775 EQT458771:EQT458775 FAP458771:FAP458775 FKL458771:FKL458775 FUH458771:FUH458775 GED458771:GED458775 GNZ458771:GNZ458775 GXV458771:GXV458775 HHR458771:HHR458775 HRN458771:HRN458775 IBJ458771:IBJ458775 ILF458771:ILF458775 IVB458771:IVB458775 JEX458771:JEX458775 JOT458771:JOT458775 JYP458771:JYP458775 KIL458771:KIL458775 KSH458771:KSH458775 LCD458771:LCD458775 LLZ458771:LLZ458775 LVV458771:LVV458775 MFR458771:MFR458775 MPN458771:MPN458775 MZJ458771:MZJ458775 NJF458771:NJF458775 NTB458771:NTB458775 OCX458771:OCX458775 OMT458771:OMT458775 OWP458771:OWP458775 PGL458771:PGL458775 PQH458771:PQH458775 QAD458771:QAD458775 QJZ458771:QJZ458775 QTV458771:QTV458775 RDR458771:RDR458775 RNN458771:RNN458775 RXJ458771:RXJ458775 SHF458771:SHF458775 SRB458771:SRB458775 TAX458771:TAX458775 TKT458771:TKT458775 TUP458771:TUP458775 UEL458771:UEL458775 UOH458771:UOH458775 UYD458771:UYD458775 VHZ458771:VHZ458775 VRV458771:VRV458775 WBR458771:WBR458775 WLN458771:WLN458775 WVJ458771:WVJ458775 B524307:B524311 IX524307:IX524311 ST524307:ST524311 ACP524307:ACP524311 AML524307:AML524311 AWH524307:AWH524311 BGD524307:BGD524311 BPZ524307:BPZ524311 BZV524307:BZV524311 CJR524307:CJR524311 CTN524307:CTN524311 DDJ524307:DDJ524311 DNF524307:DNF524311 DXB524307:DXB524311 EGX524307:EGX524311 EQT524307:EQT524311 FAP524307:FAP524311 FKL524307:FKL524311 FUH524307:FUH524311 GED524307:GED524311 GNZ524307:GNZ524311 GXV524307:GXV524311 HHR524307:HHR524311 HRN524307:HRN524311 IBJ524307:IBJ524311 ILF524307:ILF524311 IVB524307:IVB524311 JEX524307:JEX524311 JOT524307:JOT524311 JYP524307:JYP524311 KIL524307:KIL524311 KSH524307:KSH524311 LCD524307:LCD524311 LLZ524307:LLZ524311 LVV524307:LVV524311 MFR524307:MFR524311 MPN524307:MPN524311 MZJ524307:MZJ524311 NJF524307:NJF524311 NTB524307:NTB524311 OCX524307:OCX524311 OMT524307:OMT524311 OWP524307:OWP524311 PGL524307:PGL524311 PQH524307:PQH524311 QAD524307:QAD524311 QJZ524307:QJZ524311 QTV524307:QTV524311 RDR524307:RDR524311 RNN524307:RNN524311 RXJ524307:RXJ524311 SHF524307:SHF524311 SRB524307:SRB524311 TAX524307:TAX524311 TKT524307:TKT524311 TUP524307:TUP524311 UEL524307:UEL524311 UOH524307:UOH524311 UYD524307:UYD524311 VHZ524307:VHZ524311 VRV524307:VRV524311 WBR524307:WBR524311 WLN524307:WLN524311 WVJ524307:WVJ524311 B589843:B589847 IX589843:IX589847 ST589843:ST589847 ACP589843:ACP589847 AML589843:AML589847 AWH589843:AWH589847 BGD589843:BGD589847 BPZ589843:BPZ589847 BZV589843:BZV589847 CJR589843:CJR589847 CTN589843:CTN589847 DDJ589843:DDJ589847 DNF589843:DNF589847 DXB589843:DXB589847 EGX589843:EGX589847 EQT589843:EQT589847 FAP589843:FAP589847 FKL589843:FKL589847 FUH589843:FUH589847 GED589843:GED589847 GNZ589843:GNZ589847 GXV589843:GXV589847 HHR589843:HHR589847 HRN589843:HRN589847 IBJ589843:IBJ589847 ILF589843:ILF589847 IVB589843:IVB589847 JEX589843:JEX589847 JOT589843:JOT589847 JYP589843:JYP589847 KIL589843:KIL589847 KSH589843:KSH589847 LCD589843:LCD589847 LLZ589843:LLZ589847 LVV589843:LVV589847 MFR589843:MFR589847 MPN589843:MPN589847 MZJ589843:MZJ589847 NJF589843:NJF589847 NTB589843:NTB589847 OCX589843:OCX589847 OMT589843:OMT589847 OWP589843:OWP589847 PGL589843:PGL589847 PQH589843:PQH589847 QAD589843:QAD589847 QJZ589843:QJZ589847 QTV589843:QTV589847 RDR589843:RDR589847 RNN589843:RNN589847 RXJ589843:RXJ589847 SHF589843:SHF589847 SRB589843:SRB589847 TAX589843:TAX589847 TKT589843:TKT589847 TUP589843:TUP589847 UEL589843:UEL589847 UOH589843:UOH589847 UYD589843:UYD589847 VHZ589843:VHZ589847 VRV589843:VRV589847 WBR589843:WBR589847 WLN589843:WLN589847 WVJ589843:WVJ589847 B655379:B655383 IX655379:IX655383 ST655379:ST655383 ACP655379:ACP655383 AML655379:AML655383 AWH655379:AWH655383 BGD655379:BGD655383 BPZ655379:BPZ655383 BZV655379:BZV655383 CJR655379:CJR655383 CTN655379:CTN655383 DDJ655379:DDJ655383 DNF655379:DNF655383 DXB655379:DXB655383 EGX655379:EGX655383 EQT655379:EQT655383 FAP655379:FAP655383 FKL655379:FKL655383 FUH655379:FUH655383 GED655379:GED655383 GNZ655379:GNZ655383 GXV655379:GXV655383 HHR655379:HHR655383 HRN655379:HRN655383 IBJ655379:IBJ655383 ILF655379:ILF655383 IVB655379:IVB655383 JEX655379:JEX655383 JOT655379:JOT655383 JYP655379:JYP655383 KIL655379:KIL655383 KSH655379:KSH655383 LCD655379:LCD655383 LLZ655379:LLZ655383 LVV655379:LVV655383 MFR655379:MFR655383 MPN655379:MPN655383 MZJ655379:MZJ655383 NJF655379:NJF655383 NTB655379:NTB655383 OCX655379:OCX655383 OMT655379:OMT655383 OWP655379:OWP655383 PGL655379:PGL655383 PQH655379:PQH655383 QAD655379:QAD655383 QJZ655379:QJZ655383 QTV655379:QTV655383 RDR655379:RDR655383 RNN655379:RNN655383 RXJ655379:RXJ655383 SHF655379:SHF655383 SRB655379:SRB655383 TAX655379:TAX655383 TKT655379:TKT655383 TUP655379:TUP655383 UEL655379:UEL655383 UOH655379:UOH655383 UYD655379:UYD655383 VHZ655379:VHZ655383 VRV655379:VRV655383 WBR655379:WBR655383 WLN655379:WLN655383 WVJ655379:WVJ655383 B720915:B720919 IX720915:IX720919 ST720915:ST720919 ACP720915:ACP720919 AML720915:AML720919 AWH720915:AWH720919 BGD720915:BGD720919 BPZ720915:BPZ720919 BZV720915:BZV720919 CJR720915:CJR720919 CTN720915:CTN720919 DDJ720915:DDJ720919 DNF720915:DNF720919 DXB720915:DXB720919 EGX720915:EGX720919 EQT720915:EQT720919 FAP720915:FAP720919 FKL720915:FKL720919 FUH720915:FUH720919 GED720915:GED720919 GNZ720915:GNZ720919 GXV720915:GXV720919 HHR720915:HHR720919 HRN720915:HRN720919 IBJ720915:IBJ720919 ILF720915:ILF720919 IVB720915:IVB720919 JEX720915:JEX720919 JOT720915:JOT720919 JYP720915:JYP720919 KIL720915:KIL720919 KSH720915:KSH720919 LCD720915:LCD720919 LLZ720915:LLZ720919 LVV720915:LVV720919 MFR720915:MFR720919 MPN720915:MPN720919 MZJ720915:MZJ720919 NJF720915:NJF720919 NTB720915:NTB720919 OCX720915:OCX720919 OMT720915:OMT720919 OWP720915:OWP720919 PGL720915:PGL720919 PQH720915:PQH720919 QAD720915:QAD720919 QJZ720915:QJZ720919 QTV720915:QTV720919 RDR720915:RDR720919 RNN720915:RNN720919 RXJ720915:RXJ720919 SHF720915:SHF720919 SRB720915:SRB720919 TAX720915:TAX720919 TKT720915:TKT720919 TUP720915:TUP720919 UEL720915:UEL720919 UOH720915:UOH720919 UYD720915:UYD720919 VHZ720915:VHZ720919 VRV720915:VRV720919 WBR720915:WBR720919 WLN720915:WLN720919 WVJ720915:WVJ720919 B786451:B786455 IX786451:IX786455 ST786451:ST786455 ACP786451:ACP786455 AML786451:AML786455 AWH786451:AWH786455 BGD786451:BGD786455 BPZ786451:BPZ786455 BZV786451:BZV786455 CJR786451:CJR786455 CTN786451:CTN786455 DDJ786451:DDJ786455 DNF786451:DNF786455 DXB786451:DXB786455 EGX786451:EGX786455 EQT786451:EQT786455 FAP786451:FAP786455 FKL786451:FKL786455 FUH786451:FUH786455 GED786451:GED786455 GNZ786451:GNZ786455 GXV786451:GXV786455 HHR786451:HHR786455 HRN786451:HRN786455 IBJ786451:IBJ786455 ILF786451:ILF786455 IVB786451:IVB786455 JEX786451:JEX786455 JOT786451:JOT786455 JYP786451:JYP786455 KIL786451:KIL786455 KSH786451:KSH786455 LCD786451:LCD786455 LLZ786451:LLZ786455 LVV786451:LVV786455 MFR786451:MFR786455 MPN786451:MPN786455 MZJ786451:MZJ786455 NJF786451:NJF786455 NTB786451:NTB786455 OCX786451:OCX786455 OMT786451:OMT786455 OWP786451:OWP786455 PGL786451:PGL786455 PQH786451:PQH786455 QAD786451:QAD786455 QJZ786451:QJZ786455 QTV786451:QTV786455 RDR786451:RDR786455 RNN786451:RNN786455 RXJ786451:RXJ786455 SHF786451:SHF786455 SRB786451:SRB786455 TAX786451:TAX786455 TKT786451:TKT786455 TUP786451:TUP786455 UEL786451:UEL786455 UOH786451:UOH786455 UYD786451:UYD786455 VHZ786451:VHZ786455 VRV786451:VRV786455 WBR786451:WBR786455 WLN786451:WLN786455 WVJ786451:WVJ786455 B851987:B851991 IX851987:IX851991 ST851987:ST851991 ACP851987:ACP851991 AML851987:AML851991 AWH851987:AWH851991 BGD851987:BGD851991 BPZ851987:BPZ851991 BZV851987:BZV851991 CJR851987:CJR851991 CTN851987:CTN851991 DDJ851987:DDJ851991 DNF851987:DNF851991 DXB851987:DXB851991 EGX851987:EGX851991 EQT851987:EQT851991 FAP851987:FAP851991 FKL851987:FKL851991 FUH851987:FUH851991 GED851987:GED851991 GNZ851987:GNZ851991 GXV851987:GXV851991 HHR851987:HHR851991 HRN851987:HRN851991 IBJ851987:IBJ851991 ILF851987:ILF851991 IVB851987:IVB851991 JEX851987:JEX851991 JOT851987:JOT851991 JYP851987:JYP851991 KIL851987:KIL851991 KSH851987:KSH851991 LCD851987:LCD851991 LLZ851987:LLZ851991 LVV851987:LVV851991 MFR851987:MFR851991 MPN851987:MPN851991 MZJ851987:MZJ851991 NJF851987:NJF851991 NTB851987:NTB851991 OCX851987:OCX851991 OMT851987:OMT851991 OWP851987:OWP851991 PGL851987:PGL851991 PQH851987:PQH851991 QAD851987:QAD851991 QJZ851987:QJZ851991 QTV851987:QTV851991 RDR851987:RDR851991 RNN851987:RNN851991 RXJ851987:RXJ851991 SHF851987:SHF851991 SRB851987:SRB851991 TAX851987:TAX851991 TKT851987:TKT851991 TUP851987:TUP851991 UEL851987:UEL851991 UOH851987:UOH851991 UYD851987:UYD851991 VHZ851987:VHZ851991 VRV851987:VRV851991 WBR851987:WBR851991 WLN851987:WLN851991 WVJ851987:WVJ851991 B917523:B917527 IX917523:IX917527 ST917523:ST917527 ACP917523:ACP917527 AML917523:AML917527 AWH917523:AWH917527 BGD917523:BGD917527 BPZ917523:BPZ917527 BZV917523:BZV917527 CJR917523:CJR917527 CTN917523:CTN917527 DDJ917523:DDJ917527 DNF917523:DNF917527 DXB917523:DXB917527 EGX917523:EGX917527 EQT917523:EQT917527 FAP917523:FAP917527 FKL917523:FKL917527 FUH917523:FUH917527 GED917523:GED917527 GNZ917523:GNZ917527 GXV917523:GXV917527 HHR917523:HHR917527 HRN917523:HRN917527 IBJ917523:IBJ917527 ILF917523:ILF917527 IVB917523:IVB917527 JEX917523:JEX917527 JOT917523:JOT917527 JYP917523:JYP917527 KIL917523:KIL917527 KSH917523:KSH917527 LCD917523:LCD917527 LLZ917523:LLZ917527 LVV917523:LVV917527 MFR917523:MFR917527 MPN917523:MPN917527 MZJ917523:MZJ917527 NJF917523:NJF917527 NTB917523:NTB917527 OCX917523:OCX917527 OMT917523:OMT917527 OWP917523:OWP917527 PGL917523:PGL917527 PQH917523:PQH917527 QAD917523:QAD917527 QJZ917523:QJZ917527 QTV917523:QTV917527 RDR917523:RDR917527 RNN917523:RNN917527 RXJ917523:RXJ917527 SHF917523:SHF917527 SRB917523:SRB917527 TAX917523:TAX917527 TKT917523:TKT917527 TUP917523:TUP917527 UEL917523:UEL917527 UOH917523:UOH917527 UYD917523:UYD917527 VHZ917523:VHZ917527 VRV917523:VRV917527 WBR917523:WBR917527 WLN917523:WLN917527 WVJ917523:WVJ917527 B983059:B983063 IX983059:IX983063 ST983059:ST983063 ACP983059:ACP983063 AML983059:AML983063 AWH983059:AWH983063 BGD983059:BGD983063 BPZ983059:BPZ983063 BZV983059:BZV983063 CJR983059:CJR983063 CTN983059:CTN983063 DDJ983059:DDJ983063 DNF983059:DNF983063 DXB983059:DXB983063 EGX983059:EGX983063 EQT983059:EQT983063 FAP983059:FAP983063 FKL983059:FKL983063 FUH983059:FUH983063 GED983059:GED983063 GNZ983059:GNZ983063 GXV983059:GXV983063 HHR983059:HHR983063 HRN983059:HRN983063 IBJ983059:IBJ983063 ILF983059:ILF983063 IVB983059:IVB983063 JEX983059:JEX983063 JOT983059:JOT983063 JYP983059:JYP983063 KIL983059:KIL983063 KSH983059:KSH983063 LCD983059:LCD983063 LLZ983059:LLZ983063 LVV983059:LVV983063 MFR983059:MFR983063 MPN983059:MPN983063 MZJ983059:MZJ983063 NJF983059:NJF983063 NTB983059:NTB983063 OCX983059:OCX983063 OMT983059:OMT983063 OWP983059:OWP983063 PGL983059:PGL983063 PQH983059:PQH983063 QAD983059:QAD983063 QJZ983059:QJZ983063 QTV983059:QTV983063 RDR983059:RDR983063 RNN983059:RNN983063 RXJ983059:RXJ983063 SHF983059:SHF983063 SRB983059:SRB983063 TAX983059:TAX983063 TKT983059:TKT983063 TUP983059:TUP983063 UEL983059:UEL983063 UOH983059:UOH983063 UYD983059:UYD983063 VHZ983059:VHZ983063 VRV983059:VRV983063 WBR983059:WBR983063 WLN983059:WLN983063 WVJ983059:WVJ983063 V41:V42 JR41:JR42 TN41:TN42 ADJ41:ADJ42 ANF41:ANF42 AXB41:AXB42 BGX41:BGX42 BQT41:BQT42 CAP41:CAP42 CKL41:CKL42 CUH41:CUH42 DED41:DED42 DNZ41:DNZ42 DXV41:DXV42 EHR41:EHR42 ERN41:ERN42 FBJ41:FBJ42 FLF41:FLF42 FVB41:FVB42 GEX41:GEX42 GOT41:GOT42 GYP41:GYP42 HIL41:HIL42 HSH41:HSH42 ICD41:ICD42 ILZ41:ILZ42 IVV41:IVV42 JFR41:JFR42 JPN41:JPN42 JZJ41:JZJ42 KJF41:KJF42 KTB41:KTB42 LCX41:LCX42 LMT41:LMT42 LWP41:LWP42 MGL41:MGL42 MQH41:MQH42 NAD41:NAD42 NJZ41:NJZ42 NTV41:NTV42 ODR41:ODR42 ONN41:ONN42 OXJ41:OXJ42 PHF41:PHF42 PRB41:PRB42 QAX41:QAX42 QKT41:QKT42 QUP41:QUP42 REL41:REL42 ROH41:ROH42 RYD41:RYD42 SHZ41:SHZ42 SRV41:SRV42 TBR41:TBR42 TLN41:TLN42 TVJ41:TVJ42 UFF41:UFF42 UPB41:UPB42 UYX41:UYX42 VIT41:VIT42 VSP41:VSP42 WCL41:WCL42 WMH41:WMH42 WWD41:WWD42 V65577:V65578 JR65577:JR65578 TN65577:TN65578 ADJ65577:ADJ65578 ANF65577:ANF65578 AXB65577:AXB65578 BGX65577:BGX65578 BQT65577:BQT65578 CAP65577:CAP65578 CKL65577:CKL65578 CUH65577:CUH65578 DED65577:DED65578 DNZ65577:DNZ65578 DXV65577:DXV65578 EHR65577:EHR65578 ERN65577:ERN65578 FBJ65577:FBJ65578 FLF65577:FLF65578 FVB65577:FVB65578 GEX65577:GEX65578 GOT65577:GOT65578 GYP65577:GYP65578 HIL65577:HIL65578 HSH65577:HSH65578 ICD65577:ICD65578 ILZ65577:ILZ65578 IVV65577:IVV65578 JFR65577:JFR65578 JPN65577:JPN65578 JZJ65577:JZJ65578 KJF65577:KJF65578 KTB65577:KTB65578 LCX65577:LCX65578 LMT65577:LMT65578 LWP65577:LWP65578 MGL65577:MGL65578 MQH65577:MQH65578 NAD65577:NAD65578 NJZ65577:NJZ65578 NTV65577:NTV65578 ODR65577:ODR65578 ONN65577:ONN65578 OXJ65577:OXJ65578 PHF65577:PHF65578 PRB65577:PRB65578 QAX65577:QAX65578 QKT65577:QKT65578 QUP65577:QUP65578 REL65577:REL65578 ROH65577:ROH65578 RYD65577:RYD65578 SHZ65577:SHZ65578 SRV65577:SRV65578 TBR65577:TBR65578 TLN65577:TLN65578 TVJ65577:TVJ65578 UFF65577:UFF65578 UPB65577:UPB65578 UYX65577:UYX65578 VIT65577:VIT65578 VSP65577:VSP65578 WCL65577:WCL65578 WMH65577:WMH65578 WWD65577:WWD65578 V131113:V131114 JR131113:JR131114 TN131113:TN131114 ADJ131113:ADJ131114 ANF131113:ANF131114 AXB131113:AXB131114 BGX131113:BGX131114 BQT131113:BQT131114 CAP131113:CAP131114 CKL131113:CKL131114 CUH131113:CUH131114 DED131113:DED131114 DNZ131113:DNZ131114 DXV131113:DXV131114 EHR131113:EHR131114 ERN131113:ERN131114 FBJ131113:FBJ131114 FLF131113:FLF131114 FVB131113:FVB131114 GEX131113:GEX131114 GOT131113:GOT131114 GYP131113:GYP131114 HIL131113:HIL131114 HSH131113:HSH131114 ICD131113:ICD131114 ILZ131113:ILZ131114 IVV131113:IVV131114 JFR131113:JFR131114 JPN131113:JPN131114 JZJ131113:JZJ131114 KJF131113:KJF131114 KTB131113:KTB131114 LCX131113:LCX131114 LMT131113:LMT131114 LWP131113:LWP131114 MGL131113:MGL131114 MQH131113:MQH131114 NAD131113:NAD131114 NJZ131113:NJZ131114 NTV131113:NTV131114 ODR131113:ODR131114 ONN131113:ONN131114 OXJ131113:OXJ131114 PHF131113:PHF131114 PRB131113:PRB131114 QAX131113:QAX131114 QKT131113:QKT131114 QUP131113:QUP131114 REL131113:REL131114 ROH131113:ROH131114 RYD131113:RYD131114 SHZ131113:SHZ131114 SRV131113:SRV131114 TBR131113:TBR131114 TLN131113:TLN131114 TVJ131113:TVJ131114 UFF131113:UFF131114 UPB131113:UPB131114 UYX131113:UYX131114 VIT131113:VIT131114 VSP131113:VSP131114 WCL131113:WCL131114 WMH131113:WMH131114 WWD131113:WWD131114 V196649:V196650 JR196649:JR196650 TN196649:TN196650 ADJ196649:ADJ196650 ANF196649:ANF196650 AXB196649:AXB196650 BGX196649:BGX196650 BQT196649:BQT196650 CAP196649:CAP196650 CKL196649:CKL196650 CUH196649:CUH196650 DED196649:DED196650 DNZ196649:DNZ196650 DXV196649:DXV196650 EHR196649:EHR196650 ERN196649:ERN196650 FBJ196649:FBJ196650 FLF196649:FLF196650 FVB196649:FVB196650 GEX196649:GEX196650 GOT196649:GOT196650 GYP196649:GYP196650 HIL196649:HIL196650 HSH196649:HSH196650 ICD196649:ICD196650 ILZ196649:ILZ196650 IVV196649:IVV196650 JFR196649:JFR196650 JPN196649:JPN196650 JZJ196649:JZJ196650 KJF196649:KJF196650 KTB196649:KTB196650 LCX196649:LCX196650 LMT196649:LMT196650 LWP196649:LWP196650 MGL196649:MGL196650 MQH196649:MQH196650 NAD196649:NAD196650 NJZ196649:NJZ196650 NTV196649:NTV196650 ODR196649:ODR196650 ONN196649:ONN196650 OXJ196649:OXJ196650 PHF196649:PHF196650 PRB196649:PRB196650 QAX196649:QAX196650 QKT196649:QKT196650 QUP196649:QUP196650 REL196649:REL196650 ROH196649:ROH196650 RYD196649:RYD196650 SHZ196649:SHZ196650 SRV196649:SRV196650 TBR196649:TBR196650 TLN196649:TLN196650 TVJ196649:TVJ196650 UFF196649:UFF196650 UPB196649:UPB196650 UYX196649:UYX196650 VIT196649:VIT196650 VSP196649:VSP196650 WCL196649:WCL196650 WMH196649:WMH196650 WWD196649:WWD196650 V262185:V262186 JR262185:JR262186 TN262185:TN262186 ADJ262185:ADJ262186 ANF262185:ANF262186 AXB262185:AXB262186 BGX262185:BGX262186 BQT262185:BQT262186 CAP262185:CAP262186 CKL262185:CKL262186 CUH262185:CUH262186 DED262185:DED262186 DNZ262185:DNZ262186 DXV262185:DXV262186 EHR262185:EHR262186 ERN262185:ERN262186 FBJ262185:FBJ262186 FLF262185:FLF262186 FVB262185:FVB262186 GEX262185:GEX262186 GOT262185:GOT262186 GYP262185:GYP262186 HIL262185:HIL262186 HSH262185:HSH262186 ICD262185:ICD262186 ILZ262185:ILZ262186 IVV262185:IVV262186 JFR262185:JFR262186 JPN262185:JPN262186 JZJ262185:JZJ262186 KJF262185:KJF262186 KTB262185:KTB262186 LCX262185:LCX262186 LMT262185:LMT262186 LWP262185:LWP262186 MGL262185:MGL262186 MQH262185:MQH262186 NAD262185:NAD262186 NJZ262185:NJZ262186 NTV262185:NTV262186 ODR262185:ODR262186 ONN262185:ONN262186 OXJ262185:OXJ262186 PHF262185:PHF262186 PRB262185:PRB262186 QAX262185:QAX262186 QKT262185:QKT262186 QUP262185:QUP262186 REL262185:REL262186 ROH262185:ROH262186 RYD262185:RYD262186 SHZ262185:SHZ262186 SRV262185:SRV262186 TBR262185:TBR262186 TLN262185:TLN262186 TVJ262185:TVJ262186 UFF262185:UFF262186 UPB262185:UPB262186 UYX262185:UYX262186 VIT262185:VIT262186 VSP262185:VSP262186 WCL262185:WCL262186 WMH262185:WMH262186 WWD262185:WWD262186 V327721:V327722 JR327721:JR327722 TN327721:TN327722 ADJ327721:ADJ327722 ANF327721:ANF327722 AXB327721:AXB327722 BGX327721:BGX327722 BQT327721:BQT327722 CAP327721:CAP327722 CKL327721:CKL327722 CUH327721:CUH327722 DED327721:DED327722 DNZ327721:DNZ327722 DXV327721:DXV327722 EHR327721:EHR327722 ERN327721:ERN327722 FBJ327721:FBJ327722 FLF327721:FLF327722 FVB327721:FVB327722 GEX327721:GEX327722 GOT327721:GOT327722 GYP327721:GYP327722 HIL327721:HIL327722 HSH327721:HSH327722 ICD327721:ICD327722 ILZ327721:ILZ327722 IVV327721:IVV327722 JFR327721:JFR327722 JPN327721:JPN327722 JZJ327721:JZJ327722 KJF327721:KJF327722 KTB327721:KTB327722 LCX327721:LCX327722 LMT327721:LMT327722 LWP327721:LWP327722 MGL327721:MGL327722 MQH327721:MQH327722 NAD327721:NAD327722 NJZ327721:NJZ327722 NTV327721:NTV327722 ODR327721:ODR327722 ONN327721:ONN327722 OXJ327721:OXJ327722 PHF327721:PHF327722 PRB327721:PRB327722 QAX327721:QAX327722 QKT327721:QKT327722 QUP327721:QUP327722 REL327721:REL327722 ROH327721:ROH327722 RYD327721:RYD327722 SHZ327721:SHZ327722 SRV327721:SRV327722 TBR327721:TBR327722 TLN327721:TLN327722 TVJ327721:TVJ327722 UFF327721:UFF327722 UPB327721:UPB327722 UYX327721:UYX327722 VIT327721:VIT327722 VSP327721:VSP327722 WCL327721:WCL327722 WMH327721:WMH327722 WWD327721:WWD327722 V393257:V393258 JR393257:JR393258 TN393257:TN393258 ADJ393257:ADJ393258 ANF393257:ANF393258 AXB393257:AXB393258 BGX393257:BGX393258 BQT393257:BQT393258 CAP393257:CAP393258 CKL393257:CKL393258 CUH393257:CUH393258 DED393257:DED393258 DNZ393257:DNZ393258 DXV393257:DXV393258 EHR393257:EHR393258 ERN393257:ERN393258 FBJ393257:FBJ393258 FLF393257:FLF393258 FVB393257:FVB393258 GEX393257:GEX393258 GOT393257:GOT393258 GYP393257:GYP393258 HIL393257:HIL393258 HSH393257:HSH393258 ICD393257:ICD393258 ILZ393257:ILZ393258 IVV393257:IVV393258 JFR393257:JFR393258 JPN393257:JPN393258 JZJ393257:JZJ393258 KJF393257:KJF393258 KTB393257:KTB393258 LCX393257:LCX393258 LMT393257:LMT393258 LWP393257:LWP393258 MGL393257:MGL393258 MQH393257:MQH393258 NAD393257:NAD393258 NJZ393257:NJZ393258 NTV393257:NTV393258 ODR393257:ODR393258 ONN393257:ONN393258 OXJ393257:OXJ393258 PHF393257:PHF393258 PRB393257:PRB393258 QAX393257:QAX393258 QKT393257:QKT393258 QUP393257:QUP393258 REL393257:REL393258 ROH393257:ROH393258 RYD393257:RYD393258 SHZ393257:SHZ393258 SRV393257:SRV393258 TBR393257:TBR393258 TLN393257:TLN393258 TVJ393257:TVJ393258 UFF393257:UFF393258 UPB393257:UPB393258 UYX393257:UYX393258 VIT393257:VIT393258 VSP393257:VSP393258 WCL393257:WCL393258 WMH393257:WMH393258 WWD393257:WWD393258 V458793:V458794 JR458793:JR458794 TN458793:TN458794 ADJ458793:ADJ458794 ANF458793:ANF458794 AXB458793:AXB458794 BGX458793:BGX458794 BQT458793:BQT458794 CAP458793:CAP458794 CKL458793:CKL458794 CUH458793:CUH458794 DED458793:DED458794 DNZ458793:DNZ458794 DXV458793:DXV458794 EHR458793:EHR458794 ERN458793:ERN458794 FBJ458793:FBJ458794 FLF458793:FLF458794 FVB458793:FVB458794 GEX458793:GEX458794 GOT458793:GOT458794 GYP458793:GYP458794 HIL458793:HIL458794 HSH458793:HSH458794 ICD458793:ICD458794 ILZ458793:ILZ458794 IVV458793:IVV458794 JFR458793:JFR458794 JPN458793:JPN458794 JZJ458793:JZJ458794 KJF458793:KJF458794 KTB458793:KTB458794 LCX458793:LCX458794 LMT458793:LMT458794 LWP458793:LWP458794 MGL458793:MGL458794 MQH458793:MQH458794 NAD458793:NAD458794 NJZ458793:NJZ458794 NTV458793:NTV458794 ODR458793:ODR458794 ONN458793:ONN458794 OXJ458793:OXJ458794 PHF458793:PHF458794 PRB458793:PRB458794 QAX458793:QAX458794 QKT458793:QKT458794 QUP458793:QUP458794 REL458793:REL458794 ROH458793:ROH458794 RYD458793:RYD458794 SHZ458793:SHZ458794 SRV458793:SRV458794 TBR458793:TBR458794 TLN458793:TLN458794 TVJ458793:TVJ458794 UFF458793:UFF458794 UPB458793:UPB458794 UYX458793:UYX458794 VIT458793:VIT458794 VSP458793:VSP458794 WCL458793:WCL458794 WMH458793:WMH458794 WWD458793:WWD458794 V524329:V524330 JR524329:JR524330 TN524329:TN524330 ADJ524329:ADJ524330 ANF524329:ANF524330 AXB524329:AXB524330 BGX524329:BGX524330 BQT524329:BQT524330 CAP524329:CAP524330 CKL524329:CKL524330 CUH524329:CUH524330 DED524329:DED524330 DNZ524329:DNZ524330 DXV524329:DXV524330 EHR524329:EHR524330 ERN524329:ERN524330 FBJ524329:FBJ524330 FLF524329:FLF524330 FVB524329:FVB524330 GEX524329:GEX524330 GOT524329:GOT524330 GYP524329:GYP524330 HIL524329:HIL524330 HSH524329:HSH524330 ICD524329:ICD524330 ILZ524329:ILZ524330 IVV524329:IVV524330 JFR524329:JFR524330 JPN524329:JPN524330 JZJ524329:JZJ524330 KJF524329:KJF524330 KTB524329:KTB524330 LCX524329:LCX524330 LMT524329:LMT524330 LWP524329:LWP524330 MGL524329:MGL524330 MQH524329:MQH524330 NAD524329:NAD524330 NJZ524329:NJZ524330 NTV524329:NTV524330 ODR524329:ODR524330 ONN524329:ONN524330 OXJ524329:OXJ524330 PHF524329:PHF524330 PRB524329:PRB524330 QAX524329:QAX524330 QKT524329:QKT524330 QUP524329:QUP524330 REL524329:REL524330 ROH524329:ROH524330 RYD524329:RYD524330 SHZ524329:SHZ524330 SRV524329:SRV524330 TBR524329:TBR524330 TLN524329:TLN524330 TVJ524329:TVJ524330 UFF524329:UFF524330 UPB524329:UPB524330 UYX524329:UYX524330 VIT524329:VIT524330 VSP524329:VSP524330 WCL524329:WCL524330 WMH524329:WMH524330 WWD524329:WWD524330 V589865:V589866 JR589865:JR589866 TN589865:TN589866 ADJ589865:ADJ589866 ANF589865:ANF589866 AXB589865:AXB589866 BGX589865:BGX589866 BQT589865:BQT589866 CAP589865:CAP589866 CKL589865:CKL589866 CUH589865:CUH589866 DED589865:DED589866 DNZ589865:DNZ589866 DXV589865:DXV589866 EHR589865:EHR589866 ERN589865:ERN589866 FBJ589865:FBJ589866 FLF589865:FLF589866 FVB589865:FVB589866 GEX589865:GEX589866 GOT589865:GOT589866 GYP589865:GYP589866 HIL589865:HIL589866 HSH589865:HSH589866 ICD589865:ICD589866 ILZ589865:ILZ589866 IVV589865:IVV589866 JFR589865:JFR589866 JPN589865:JPN589866 JZJ589865:JZJ589866 KJF589865:KJF589866 KTB589865:KTB589866 LCX589865:LCX589866 LMT589865:LMT589866 LWP589865:LWP589866 MGL589865:MGL589866 MQH589865:MQH589866 NAD589865:NAD589866 NJZ589865:NJZ589866 NTV589865:NTV589866 ODR589865:ODR589866 ONN589865:ONN589866 OXJ589865:OXJ589866 PHF589865:PHF589866 PRB589865:PRB589866 QAX589865:QAX589866 QKT589865:QKT589866 QUP589865:QUP589866 REL589865:REL589866 ROH589865:ROH589866 RYD589865:RYD589866 SHZ589865:SHZ589866 SRV589865:SRV589866 TBR589865:TBR589866 TLN589865:TLN589866 TVJ589865:TVJ589866 UFF589865:UFF589866 UPB589865:UPB589866 UYX589865:UYX589866 VIT589865:VIT589866 VSP589865:VSP589866 WCL589865:WCL589866 WMH589865:WMH589866 WWD589865:WWD589866 V655401:V655402 JR655401:JR655402 TN655401:TN655402 ADJ655401:ADJ655402 ANF655401:ANF655402 AXB655401:AXB655402 BGX655401:BGX655402 BQT655401:BQT655402 CAP655401:CAP655402 CKL655401:CKL655402 CUH655401:CUH655402 DED655401:DED655402 DNZ655401:DNZ655402 DXV655401:DXV655402 EHR655401:EHR655402 ERN655401:ERN655402 FBJ655401:FBJ655402 FLF655401:FLF655402 FVB655401:FVB655402 GEX655401:GEX655402 GOT655401:GOT655402 GYP655401:GYP655402 HIL655401:HIL655402 HSH655401:HSH655402 ICD655401:ICD655402 ILZ655401:ILZ655402 IVV655401:IVV655402 JFR655401:JFR655402 JPN655401:JPN655402 JZJ655401:JZJ655402 KJF655401:KJF655402 KTB655401:KTB655402 LCX655401:LCX655402 LMT655401:LMT655402 LWP655401:LWP655402 MGL655401:MGL655402 MQH655401:MQH655402 NAD655401:NAD655402 NJZ655401:NJZ655402 NTV655401:NTV655402 ODR655401:ODR655402 ONN655401:ONN655402 OXJ655401:OXJ655402 PHF655401:PHF655402 PRB655401:PRB655402 QAX655401:QAX655402 QKT655401:QKT655402 QUP655401:QUP655402 REL655401:REL655402 ROH655401:ROH655402 RYD655401:RYD655402 SHZ655401:SHZ655402 SRV655401:SRV655402 TBR655401:TBR655402 TLN655401:TLN655402 TVJ655401:TVJ655402 UFF655401:UFF655402 UPB655401:UPB655402 UYX655401:UYX655402 VIT655401:VIT655402 VSP655401:VSP655402 WCL655401:WCL655402 WMH655401:WMH655402 WWD655401:WWD655402 V720937:V720938 JR720937:JR720938 TN720937:TN720938 ADJ720937:ADJ720938 ANF720937:ANF720938 AXB720937:AXB720938 BGX720937:BGX720938 BQT720937:BQT720938 CAP720937:CAP720938 CKL720937:CKL720938 CUH720937:CUH720938 DED720937:DED720938 DNZ720937:DNZ720938 DXV720937:DXV720938 EHR720937:EHR720938 ERN720937:ERN720938 FBJ720937:FBJ720938 FLF720937:FLF720938 FVB720937:FVB720938 GEX720937:GEX720938 GOT720937:GOT720938 GYP720937:GYP720938 HIL720937:HIL720938 HSH720937:HSH720938 ICD720937:ICD720938 ILZ720937:ILZ720938 IVV720937:IVV720938 JFR720937:JFR720938 JPN720937:JPN720938 JZJ720937:JZJ720938 KJF720937:KJF720938 KTB720937:KTB720938 LCX720937:LCX720938 LMT720937:LMT720938 LWP720937:LWP720938 MGL720937:MGL720938 MQH720937:MQH720938 NAD720937:NAD720938 NJZ720937:NJZ720938 NTV720937:NTV720938 ODR720937:ODR720938 ONN720937:ONN720938 OXJ720937:OXJ720938 PHF720937:PHF720938 PRB720937:PRB720938 QAX720937:QAX720938 QKT720937:QKT720938 QUP720937:QUP720938 REL720937:REL720938 ROH720937:ROH720938 RYD720937:RYD720938 SHZ720937:SHZ720938 SRV720937:SRV720938 TBR720937:TBR720938 TLN720937:TLN720938 TVJ720937:TVJ720938 UFF720937:UFF720938 UPB720937:UPB720938 UYX720937:UYX720938 VIT720937:VIT720938 VSP720937:VSP720938 WCL720937:WCL720938 WMH720937:WMH720938 WWD720937:WWD720938 V786473:V786474 JR786473:JR786474 TN786473:TN786474 ADJ786473:ADJ786474 ANF786473:ANF786474 AXB786473:AXB786474 BGX786473:BGX786474 BQT786473:BQT786474 CAP786473:CAP786474 CKL786473:CKL786474 CUH786473:CUH786474 DED786473:DED786474 DNZ786473:DNZ786474 DXV786473:DXV786474 EHR786473:EHR786474 ERN786473:ERN786474 FBJ786473:FBJ786474 FLF786473:FLF786474 FVB786473:FVB786474 GEX786473:GEX786474 GOT786473:GOT786474 GYP786473:GYP786474 HIL786473:HIL786474 HSH786473:HSH786474 ICD786473:ICD786474 ILZ786473:ILZ786474 IVV786473:IVV786474 JFR786473:JFR786474 JPN786473:JPN786474 JZJ786473:JZJ786474 KJF786473:KJF786474 KTB786473:KTB786474 LCX786473:LCX786474 LMT786473:LMT786474 LWP786473:LWP786474 MGL786473:MGL786474 MQH786473:MQH786474 NAD786473:NAD786474 NJZ786473:NJZ786474 NTV786473:NTV786474 ODR786473:ODR786474 ONN786473:ONN786474 OXJ786473:OXJ786474 PHF786473:PHF786474 PRB786473:PRB786474 QAX786473:QAX786474 QKT786473:QKT786474 QUP786473:QUP786474 REL786473:REL786474 ROH786473:ROH786474 RYD786473:RYD786474 SHZ786473:SHZ786474 SRV786473:SRV786474 TBR786473:TBR786474 TLN786473:TLN786474 TVJ786473:TVJ786474 UFF786473:UFF786474 UPB786473:UPB786474 UYX786473:UYX786474 VIT786473:VIT786474 VSP786473:VSP786474 WCL786473:WCL786474 WMH786473:WMH786474 WWD786473:WWD786474 V852009:V852010 JR852009:JR852010 TN852009:TN852010 ADJ852009:ADJ852010 ANF852009:ANF852010 AXB852009:AXB852010 BGX852009:BGX852010 BQT852009:BQT852010 CAP852009:CAP852010 CKL852009:CKL852010 CUH852009:CUH852010 DED852009:DED852010 DNZ852009:DNZ852010 DXV852009:DXV852010 EHR852009:EHR852010 ERN852009:ERN852010 FBJ852009:FBJ852010 FLF852009:FLF852010 FVB852009:FVB852010 GEX852009:GEX852010 GOT852009:GOT852010 GYP852009:GYP852010 HIL852009:HIL852010 HSH852009:HSH852010 ICD852009:ICD852010 ILZ852009:ILZ852010 IVV852009:IVV852010 JFR852009:JFR852010 JPN852009:JPN852010 JZJ852009:JZJ852010 KJF852009:KJF852010 KTB852009:KTB852010 LCX852009:LCX852010 LMT852009:LMT852010 LWP852009:LWP852010 MGL852009:MGL852010 MQH852009:MQH852010 NAD852009:NAD852010 NJZ852009:NJZ852010 NTV852009:NTV852010 ODR852009:ODR852010 ONN852009:ONN852010 OXJ852009:OXJ852010 PHF852009:PHF852010 PRB852009:PRB852010 QAX852009:QAX852010 QKT852009:QKT852010 QUP852009:QUP852010 REL852009:REL852010 ROH852009:ROH852010 RYD852009:RYD852010 SHZ852009:SHZ852010 SRV852009:SRV852010 TBR852009:TBR852010 TLN852009:TLN852010 TVJ852009:TVJ852010 UFF852009:UFF852010 UPB852009:UPB852010 UYX852009:UYX852010 VIT852009:VIT852010 VSP852009:VSP852010 WCL852009:WCL852010 WMH852009:WMH852010 WWD852009:WWD852010 V917545:V917546 JR917545:JR917546 TN917545:TN917546 ADJ917545:ADJ917546 ANF917545:ANF917546 AXB917545:AXB917546 BGX917545:BGX917546 BQT917545:BQT917546 CAP917545:CAP917546 CKL917545:CKL917546 CUH917545:CUH917546 DED917545:DED917546 DNZ917545:DNZ917546 DXV917545:DXV917546 EHR917545:EHR917546 ERN917545:ERN917546 FBJ917545:FBJ917546 FLF917545:FLF917546 FVB917545:FVB917546 GEX917545:GEX917546 GOT917545:GOT917546 GYP917545:GYP917546 HIL917545:HIL917546 HSH917545:HSH917546 ICD917545:ICD917546 ILZ917545:ILZ917546 IVV917545:IVV917546 JFR917545:JFR917546 JPN917545:JPN917546 JZJ917545:JZJ917546 KJF917545:KJF917546 KTB917545:KTB917546 LCX917545:LCX917546 LMT917545:LMT917546 LWP917545:LWP917546 MGL917545:MGL917546 MQH917545:MQH917546 NAD917545:NAD917546 NJZ917545:NJZ917546 NTV917545:NTV917546 ODR917545:ODR917546 ONN917545:ONN917546 OXJ917545:OXJ917546 PHF917545:PHF917546 PRB917545:PRB917546 QAX917545:QAX917546 QKT917545:QKT917546 QUP917545:QUP917546 REL917545:REL917546 ROH917545:ROH917546 RYD917545:RYD917546 SHZ917545:SHZ917546 SRV917545:SRV917546 TBR917545:TBR917546 TLN917545:TLN917546 TVJ917545:TVJ917546 UFF917545:UFF917546 UPB917545:UPB917546 UYX917545:UYX917546 VIT917545:VIT917546 VSP917545:VSP917546 WCL917545:WCL917546 WMH917545:WMH917546 WWD917545:WWD917546 V983081:V983082 JR983081:JR983082 TN983081:TN983082 ADJ983081:ADJ983082 ANF983081:ANF983082 AXB983081:AXB983082 BGX983081:BGX983082 BQT983081:BQT983082 CAP983081:CAP983082 CKL983081:CKL983082 CUH983081:CUH983082 DED983081:DED983082 DNZ983081:DNZ983082 DXV983081:DXV983082 EHR983081:EHR983082 ERN983081:ERN983082 FBJ983081:FBJ983082 FLF983081:FLF983082 FVB983081:FVB983082 GEX983081:GEX983082 GOT983081:GOT983082 GYP983081:GYP983082 HIL983081:HIL983082 HSH983081:HSH983082 ICD983081:ICD983082 ILZ983081:ILZ983082 IVV983081:IVV983082 JFR983081:JFR983082 JPN983081:JPN983082 JZJ983081:JZJ983082 KJF983081:KJF983082 KTB983081:KTB983082 LCX983081:LCX983082 LMT983081:LMT983082 LWP983081:LWP983082 MGL983081:MGL983082 MQH983081:MQH983082 NAD983081:NAD983082 NJZ983081:NJZ983082 NTV983081:NTV983082 ODR983081:ODR983082 ONN983081:ONN983082 OXJ983081:OXJ983082 PHF983081:PHF983082 PRB983081:PRB983082 QAX983081:QAX983082 QKT983081:QKT983082 QUP983081:QUP983082 REL983081:REL983082 ROH983081:ROH983082 RYD983081:RYD983082 SHZ983081:SHZ983082 SRV983081:SRV983082 TBR983081:TBR983082 TLN983081:TLN983082 TVJ983081:TVJ983082 UFF983081:UFF983082 UPB983081:UPB983082 UYX983081:UYX983082 VIT983081:VIT983082 VSP983081:VSP983082 WCL983081:WCL983082 WMH983081:WMH983082 WWD983081:WWD983082 V45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V65581 JR65581 TN65581 ADJ65581 ANF65581 AXB65581 BGX65581 BQT65581 CAP65581 CKL65581 CUH65581 DED65581 DNZ65581 DXV65581 EHR65581 ERN65581 FBJ65581 FLF65581 FVB65581 GEX65581 GOT65581 GYP65581 HIL65581 HSH65581 ICD65581 ILZ65581 IVV65581 JFR65581 JPN65581 JZJ65581 KJF65581 KTB65581 LCX65581 LMT65581 LWP65581 MGL65581 MQH65581 NAD65581 NJZ65581 NTV65581 ODR65581 ONN65581 OXJ65581 PHF65581 PRB65581 QAX65581 QKT65581 QUP65581 REL65581 ROH65581 RYD65581 SHZ65581 SRV65581 TBR65581 TLN65581 TVJ65581 UFF65581 UPB65581 UYX65581 VIT65581 VSP65581 WCL65581 WMH65581 WWD65581 V131117 JR131117 TN131117 ADJ131117 ANF131117 AXB131117 BGX131117 BQT131117 CAP131117 CKL131117 CUH131117 DED131117 DNZ131117 DXV131117 EHR131117 ERN131117 FBJ131117 FLF131117 FVB131117 GEX131117 GOT131117 GYP131117 HIL131117 HSH131117 ICD131117 ILZ131117 IVV131117 JFR131117 JPN131117 JZJ131117 KJF131117 KTB131117 LCX131117 LMT131117 LWP131117 MGL131117 MQH131117 NAD131117 NJZ131117 NTV131117 ODR131117 ONN131117 OXJ131117 PHF131117 PRB131117 QAX131117 QKT131117 QUP131117 REL131117 ROH131117 RYD131117 SHZ131117 SRV131117 TBR131117 TLN131117 TVJ131117 UFF131117 UPB131117 UYX131117 VIT131117 VSP131117 WCL131117 WMH131117 WWD131117 V196653 JR196653 TN196653 ADJ196653 ANF196653 AXB196653 BGX196653 BQT196653 CAP196653 CKL196653 CUH196653 DED196653 DNZ196653 DXV196653 EHR196653 ERN196653 FBJ196653 FLF196653 FVB196653 GEX196653 GOT196653 GYP196653 HIL196653 HSH196653 ICD196653 ILZ196653 IVV196653 JFR196653 JPN196653 JZJ196653 KJF196653 KTB196653 LCX196653 LMT196653 LWP196653 MGL196653 MQH196653 NAD196653 NJZ196653 NTV196653 ODR196653 ONN196653 OXJ196653 PHF196653 PRB196653 QAX196653 QKT196653 QUP196653 REL196653 ROH196653 RYD196653 SHZ196653 SRV196653 TBR196653 TLN196653 TVJ196653 UFF196653 UPB196653 UYX196653 VIT196653 VSP196653 WCL196653 WMH196653 WWD196653 V262189 JR262189 TN262189 ADJ262189 ANF262189 AXB262189 BGX262189 BQT262189 CAP262189 CKL262189 CUH262189 DED262189 DNZ262189 DXV262189 EHR262189 ERN262189 FBJ262189 FLF262189 FVB262189 GEX262189 GOT262189 GYP262189 HIL262189 HSH262189 ICD262189 ILZ262189 IVV262189 JFR262189 JPN262189 JZJ262189 KJF262189 KTB262189 LCX262189 LMT262189 LWP262189 MGL262189 MQH262189 NAD262189 NJZ262189 NTV262189 ODR262189 ONN262189 OXJ262189 PHF262189 PRB262189 QAX262189 QKT262189 QUP262189 REL262189 ROH262189 RYD262189 SHZ262189 SRV262189 TBR262189 TLN262189 TVJ262189 UFF262189 UPB262189 UYX262189 VIT262189 VSP262189 WCL262189 WMH262189 WWD262189 V327725 JR327725 TN327725 ADJ327725 ANF327725 AXB327725 BGX327725 BQT327725 CAP327725 CKL327725 CUH327725 DED327725 DNZ327725 DXV327725 EHR327725 ERN327725 FBJ327725 FLF327725 FVB327725 GEX327725 GOT327725 GYP327725 HIL327725 HSH327725 ICD327725 ILZ327725 IVV327725 JFR327725 JPN327725 JZJ327725 KJF327725 KTB327725 LCX327725 LMT327725 LWP327725 MGL327725 MQH327725 NAD327725 NJZ327725 NTV327725 ODR327725 ONN327725 OXJ327725 PHF327725 PRB327725 QAX327725 QKT327725 QUP327725 REL327725 ROH327725 RYD327725 SHZ327725 SRV327725 TBR327725 TLN327725 TVJ327725 UFF327725 UPB327725 UYX327725 VIT327725 VSP327725 WCL327725 WMH327725 WWD327725 V393261 JR393261 TN393261 ADJ393261 ANF393261 AXB393261 BGX393261 BQT393261 CAP393261 CKL393261 CUH393261 DED393261 DNZ393261 DXV393261 EHR393261 ERN393261 FBJ393261 FLF393261 FVB393261 GEX393261 GOT393261 GYP393261 HIL393261 HSH393261 ICD393261 ILZ393261 IVV393261 JFR393261 JPN393261 JZJ393261 KJF393261 KTB393261 LCX393261 LMT393261 LWP393261 MGL393261 MQH393261 NAD393261 NJZ393261 NTV393261 ODR393261 ONN393261 OXJ393261 PHF393261 PRB393261 QAX393261 QKT393261 QUP393261 REL393261 ROH393261 RYD393261 SHZ393261 SRV393261 TBR393261 TLN393261 TVJ393261 UFF393261 UPB393261 UYX393261 VIT393261 VSP393261 WCL393261 WMH393261 WWD393261 V458797 JR458797 TN458797 ADJ458797 ANF458797 AXB458797 BGX458797 BQT458797 CAP458797 CKL458797 CUH458797 DED458797 DNZ458797 DXV458797 EHR458797 ERN458797 FBJ458797 FLF458797 FVB458797 GEX458797 GOT458797 GYP458797 HIL458797 HSH458797 ICD458797 ILZ458797 IVV458797 JFR458797 JPN458797 JZJ458797 KJF458797 KTB458797 LCX458797 LMT458797 LWP458797 MGL458797 MQH458797 NAD458797 NJZ458797 NTV458797 ODR458797 ONN458797 OXJ458797 PHF458797 PRB458797 QAX458797 QKT458797 QUP458797 REL458797 ROH458797 RYD458797 SHZ458797 SRV458797 TBR458797 TLN458797 TVJ458797 UFF458797 UPB458797 UYX458797 VIT458797 VSP458797 WCL458797 WMH458797 WWD458797 V524333 JR524333 TN524333 ADJ524333 ANF524333 AXB524333 BGX524333 BQT524333 CAP524333 CKL524333 CUH524333 DED524333 DNZ524333 DXV524333 EHR524333 ERN524333 FBJ524333 FLF524333 FVB524333 GEX524333 GOT524333 GYP524333 HIL524333 HSH524333 ICD524333 ILZ524333 IVV524333 JFR524333 JPN524333 JZJ524333 KJF524333 KTB524333 LCX524333 LMT524333 LWP524333 MGL524333 MQH524333 NAD524333 NJZ524333 NTV524333 ODR524333 ONN524333 OXJ524333 PHF524333 PRB524333 QAX524333 QKT524333 QUP524333 REL524333 ROH524333 RYD524333 SHZ524333 SRV524333 TBR524333 TLN524333 TVJ524333 UFF524333 UPB524333 UYX524333 VIT524333 VSP524333 WCL524333 WMH524333 WWD524333 V589869 JR589869 TN589869 ADJ589869 ANF589869 AXB589869 BGX589869 BQT589869 CAP589869 CKL589869 CUH589869 DED589869 DNZ589869 DXV589869 EHR589869 ERN589869 FBJ589869 FLF589869 FVB589869 GEX589869 GOT589869 GYP589869 HIL589869 HSH589869 ICD589869 ILZ589869 IVV589869 JFR589869 JPN589869 JZJ589869 KJF589869 KTB589869 LCX589869 LMT589869 LWP589869 MGL589869 MQH589869 NAD589869 NJZ589869 NTV589869 ODR589869 ONN589869 OXJ589869 PHF589869 PRB589869 QAX589869 QKT589869 QUP589869 REL589869 ROH589869 RYD589869 SHZ589869 SRV589869 TBR589869 TLN589869 TVJ589869 UFF589869 UPB589869 UYX589869 VIT589869 VSP589869 WCL589869 WMH589869 WWD589869 V655405 JR655405 TN655405 ADJ655405 ANF655405 AXB655405 BGX655405 BQT655405 CAP655405 CKL655405 CUH655405 DED655405 DNZ655405 DXV655405 EHR655405 ERN655405 FBJ655405 FLF655405 FVB655405 GEX655405 GOT655405 GYP655405 HIL655405 HSH655405 ICD655405 ILZ655405 IVV655405 JFR655405 JPN655405 JZJ655405 KJF655405 KTB655405 LCX655405 LMT655405 LWP655405 MGL655405 MQH655405 NAD655405 NJZ655405 NTV655405 ODR655405 ONN655405 OXJ655405 PHF655405 PRB655405 QAX655405 QKT655405 QUP655405 REL655405 ROH655405 RYD655405 SHZ655405 SRV655405 TBR655405 TLN655405 TVJ655405 UFF655405 UPB655405 UYX655405 VIT655405 VSP655405 WCL655405 WMH655405 WWD655405 V720941 JR720941 TN720941 ADJ720941 ANF720941 AXB720941 BGX720941 BQT720941 CAP720941 CKL720941 CUH720941 DED720941 DNZ720941 DXV720941 EHR720941 ERN720941 FBJ720941 FLF720941 FVB720941 GEX720941 GOT720941 GYP720941 HIL720941 HSH720941 ICD720941 ILZ720941 IVV720941 JFR720941 JPN720941 JZJ720941 KJF720941 KTB720941 LCX720941 LMT720941 LWP720941 MGL720941 MQH720941 NAD720941 NJZ720941 NTV720941 ODR720941 ONN720941 OXJ720941 PHF720941 PRB720941 QAX720941 QKT720941 QUP720941 REL720941 ROH720941 RYD720941 SHZ720941 SRV720941 TBR720941 TLN720941 TVJ720941 UFF720941 UPB720941 UYX720941 VIT720941 VSP720941 WCL720941 WMH720941 WWD720941 V786477 JR786477 TN786477 ADJ786477 ANF786477 AXB786477 BGX786477 BQT786477 CAP786477 CKL786477 CUH786477 DED786477 DNZ786477 DXV786477 EHR786477 ERN786477 FBJ786477 FLF786477 FVB786477 GEX786477 GOT786477 GYP786477 HIL786477 HSH786477 ICD786477 ILZ786477 IVV786477 JFR786477 JPN786477 JZJ786477 KJF786477 KTB786477 LCX786477 LMT786477 LWP786477 MGL786477 MQH786477 NAD786477 NJZ786477 NTV786477 ODR786477 ONN786477 OXJ786477 PHF786477 PRB786477 QAX786477 QKT786477 QUP786477 REL786477 ROH786477 RYD786477 SHZ786477 SRV786477 TBR786477 TLN786477 TVJ786477 UFF786477 UPB786477 UYX786477 VIT786477 VSP786477 WCL786477 WMH786477 WWD786477 V852013 JR852013 TN852013 ADJ852013 ANF852013 AXB852013 BGX852013 BQT852013 CAP852013 CKL852013 CUH852013 DED852013 DNZ852013 DXV852013 EHR852013 ERN852013 FBJ852013 FLF852013 FVB852013 GEX852013 GOT852013 GYP852013 HIL852013 HSH852013 ICD852013 ILZ852013 IVV852013 JFR852013 JPN852013 JZJ852013 KJF852013 KTB852013 LCX852013 LMT852013 LWP852013 MGL852013 MQH852013 NAD852013 NJZ852013 NTV852013 ODR852013 ONN852013 OXJ852013 PHF852013 PRB852013 QAX852013 QKT852013 QUP852013 REL852013 ROH852013 RYD852013 SHZ852013 SRV852013 TBR852013 TLN852013 TVJ852013 UFF852013 UPB852013 UYX852013 VIT852013 VSP852013 WCL852013 WMH852013 WWD852013 V917549 JR917549 TN917549 ADJ917549 ANF917549 AXB917549 BGX917549 BQT917549 CAP917549 CKL917549 CUH917549 DED917549 DNZ917549 DXV917549 EHR917549 ERN917549 FBJ917549 FLF917549 FVB917549 GEX917549 GOT917549 GYP917549 HIL917549 HSH917549 ICD917549 ILZ917549 IVV917549 JFR917549 JPN917549 JZJ917549 KJF917549 KTB917549 LCX917549 LMT917549 LWP917549 MGL917549 MQH917549 NAD917549 NJZ917549 NTV917549 ODR917549 ONN917549 OXJ917549 PHF917549 PRB917549 QAX917549 QKT917549 QUP917549 REL917549 ROH917549 RYD917549 SHZ917549 SRV917549 TBR917549 TLN917549 TVJ917549 UFF917549 UPB917549 UYX917549 VIT917549 VSP917549 WCL917549 WMH917549 WWD917549 V983085 JR983085 TN983085 ADJ983085 ANF983085 AXB983085 BGX983085 BQT983085 CAP983085 CKL983085 CUH983085 DED983085 DNZ983085 DXV983085 EHR983085 ERN983085 FBJ983085 FLF983085 FVB983085 GEX983085 GOT983085 GYP983085 HIL983085 HSH983085 ICD983085 ILZ983085 IVV983085 JFR983085 JPN983085 JZJ983085 KJF983085 KTB983085 LCX983085 LMT983085 LWP983085 MGL983085 MQH983085 NAD983085 NJZ983085 NTV983085 ODR983085 ONN983085 OXJ983085 PHF983085 PRB983085 QAX983085 QKT983085 QUP983085 REL983085 ROH983085 RYD983085 SHZ983085 SRV983085 TBR983085 TLN983085 TVJ983085 UFF983085 UPB983085 UYX983085 VIT983085 VSP983085 WCL983085 WMH983085 WWD983085 T37:T38 JP37:JP38 TL37:TL38 ADH37:ADH38 AND37:AND38 AWZ37:AWZ38 BGV37:BGV38 BQR37:BQR38 CAN37:CAN38 CKJ37:CKJ38 CUF37:CUF38 DEB37:DEB38 DNX37:DNX38 DXT37:DXT38 EHP37:EHP38 ERL37:ERL38 FBH37:FBH38 FLD37:FLD38 FUZ37:FUZ38 GEV37:GEV38 GOR37:GOR38 GYN37:GYN38 HIJ37:HIJ38 HSF37:HSF38 ICB37:ICB38 ILX37:ILX38 IVT37:IVT38 JFP37:JFP38 JPL37:JPL38 JZH37:JZH38 KJD37:KJD38 KSZ37:KSZ38 LCV37:LCV38 LMR37:LMR38 LWN37:LWN38 MGJ37:MGJ38 MQF37:MQF38 NAB37:NAB38 NJX37:NJX38 NTT37:NTT38 ODP37:ODP38 ONL37:ONL38 OXH37:OXH38 PHD37:PHD38 PQZ37:PQZ38 QAV37:QAV38 QKR37:QKR38 QUN37:QUN38 REJ37:REJ38 ROF37:ROF38 RYB37:RYB38 SHX37:SHX38 SRT37:SRT38 TBP37:TBP38 TLL37:TLL38 TVH37:TVH38 UFD37:UFD38 UOZ37:UOZ38 UYV37:UYV38 VIR37:VIR38 VSN37:VSN38 WCJ37:WCJ38 WMF37:WMF38 WWB37:WWB38 T65573:T65574 JP65573:JP65574 TL65573:TL65574 ADH65573:ADH65574 AND65573:AND65574 AWZ65573:AWZ65574 BGV65573:BGV65574 BQR65573:BQR65574 CAN65573:CAN65574 CKJ65573:CKJ65574 CUF65573:CUF65574 DEB65573:DEB65574 DNX65573:DNX65574 DXT65573:DXT65574 EHP65573:EHP65574 ERL65573:ERL65574 FBH65573:FBH65574 FLD65573:FLD65574 FUZ65573:FUZ65574 GEV65573:GEV65574 GOR65573:GOR65574 GYN65573:GYN65574 HIJ65573:HIJ65574 HSF65573:HSF65574 ICB65573:ICB65574 ILX65573:ILX65574 IVT65573:IVT65574 JFP65573:JFP65574 JPL65573:JPL65574 JZH65573:JZH65574 KJD65573:KJD65574 KSZ65573:KSZ65574 LCV65573:LCV65574 LMR65573:LMR65574 LWN65573:LWN65574 MGJ65573:MGJ65574 MQF65573:MQF65574 NAB65573:NAB65574 NJX65573:NJX65574 NTT65573:NTT65574 ODP65573:ODP65574 ONL65573:ONL65574 OXH65573:OXH65574 PHD65573:PHD65574 PQZ65573:PQZ65574 QAV65573:QAV65574 QKR65573:QKR65574 QUN65573:QUN65574 REJ65573:REJ65574 ROF65573:ROF65574 RYB65573:RYB65574 SHX65573:SHX65574 SRT65573:SRT65574 TBP65573:TBP65574 TLL65573:TLL65574 TVH65573:TVH65574 UFD65573:UFD65574 UOZ65573:UOZ65574 UYV65573:UYV65574 VIR65573:VIR65574 VSN65573:VSN65574 WCJ65573:WCJ65574 WMF65573:WMF65574 WWB65573:WWB65574 T131109:T131110 JP131109:JP131110 TL131109:TL131110 ADH131109:ADH131110 AND131109:AND131110 AWZ131109:AWZ131110 BGV131109:BGV131110 BQR131109:BQR131110 CAN131109:CAN131110 CKJ131109:CKJ131110 CUF131109:CUF131110 DEB131109:DEB131110 DNX131109:DNX131110 DXT131109:DXT131110 EHP131109:EHP131110 ERL131109:ERL131110 FBH131109:FBH131110 FLD131109:FLD131110 FUZ131109:FUZ131110 GEV131109:GEV131110 GOR131109:GOR131110 GYN131109:GYN131110 HIJ131109:HIJ131110 HSF131109:HSF131110 ICB131109:ICB131110 ILX131109:ILX131110 IVT131109:IVT131110 JFP131109:JFP131110 JPL131109:JPL131110 JZH131109:JZH131110 KJD131109:KJD131110 KSZ131109:KSZ131110 LCV131109:LCV131110 LMR131109:LMR131110 LWN131109:LWN131110 MGJ131109:MGJ131110 MQF131109:MQF131110 NAB131109:NAB131110 NJX131109:NJX131110 NTT131109:NTT131110 ODP131109:ODP131110 ONL131109:ONL131110 OXH131109:OXH131110 PHD131109:PHD131110 PQZ131109:PQZ131110 QAV131109:QAV131110 QKR131109:QKR131110 QUN131109:QUN131110 REJ131109:REJ131110 ROF131109:ROF131110 RYB131109:RYB131110 SHX131109:SHX131110 SRT131109:SRT131110 TBP131109:TBP131110 TLL131109:TLL131110 TVH131109:TVH131110 UFD131109:UFD131110 UOZ131109:UOZ131110 UYV131109:UYV131110 VIR131109:VIR131110 VSN131109:VSN131110 WCJ131109:WCJ131110 WMF131109:WMF131110 WWB131109:WWB131110 T196645:T196646 JP196645:JP196646 TL196645:TL196646 ADH196645:ADH196646 AND196645:AND196646 AWZ196645:AWZ196646 BGV196645:BGV196646 BQR196645:BQR196646 CAN196645:CAN196646 CKJ196645:CKJ196646 CUF196645:CUF196646 DEB196645:DEB196646 DNX196645:DNX196646 DXT196645:DXT196646 EHP196645:EHP196646 ERL196645:ERL196646 FBH196645:FBH196646 FLD196645:FLD196646 FUZ196645:FUZ196646 GEV196645:GEV196646 GOR196645:GOR196646 GYN196645:GYN196646 HIJ196645:HIJ196646 HSF196645:HSF196646 ICB196645:ICB196646 ILX196645:ILX196646 IVT196645:IVT196646 JFP196645:JFP196646 JPL196645:JPL196646 JZH196645:JZH196646 KJD196645:KJD196646 KSZ196645:KSZ196646 LCV196645:LCV196646 LMR196645:LMR196646 LWN196645:LWN196646 MGJ196645:MGJ196646 MQF196645:MQF196646 NAB196645:NAB196646 NJX196645:NJX196646 NTT196645:NTT196646 ODP196645:ODP196646 ONL196645:ONL196646 OXH196645:OXH196646 PHD196645:PHD196646 PQZ196645:PQZ196646 QAV196645:QAV196646 QKR196645:QKR196646 QUN196645:QUN196646 REJ196645:REJ196646 ROF196645:ROF196646 RYB196645:RYB196646 SHX196645:SHX196646 SRT196645:SRT196646 TBP196645:TBP196646 TLL196645:TLL196646 TVH196645:TVH196646 UFD196645:UFD196646 UOZ196645:UOZ196646 UYV196645:UYV196646 VIR196645:VIR196646 VSN196645:VSN196646 WCJ196645:WCJ196646 WMF196645:WMF196646 WWB196645:WWB196646 T262181:T262182 JP262181:JP262182 TL262181:TL262182 ADH262181:ADH262182 AND262181:AND262182 AWZ262181:AWZ262182 BGV262181:BGV262182 BQR262181:BQR262182 CAN262181:CAN262182 CKJ262181:CKJ262182 CUF262181:CUF262182 DEB262181:DEB262182 DNX262181:DNX262182 DXT262181:DXT262182 EHP262181:EHP262182 ERL262181:ERL262182 FBH262181:FBH262182 FLD262181:FLD262182 FUZ262181:FUZ262182 GEV262181:GEV262182 GOR262181:GOR262182 GYN262181:GYN262182 HIJ262181:HIJ262182 HSF262181:HSF262182 ICB262181:ICB262182 ILX262181:ILX262182 IVT262181:IVT262182 JFP262181:JFP262182 JPL262181:JPL262182 JZH262181:JZH262182 KJD262181:KJD262182 KSZ262181:KSZ262182 LCV262181:LCV262182 LMR262181:LMR262182 LWN262181:LWN262182 MGJ262181:MGJ262182 MQF262181:MQF262182 NAB262181:NAB262182 NJX262181:NJX262182 NTT262181:NTT262182 ODP262181:ODP262182 ONL262181:ONL262182 OXH262181:OXH262182 PHD262181:PHD262182 PQZ262181:PQZ262182 QAV262181:QAV262182 QKR262181:QKR262182 QUN262181:QUN262182 REJ262181:REJ262182 ROF262181:ROF262182 RYB262181:RYB262182 SHX262181:SHX262182 SRT262181:SRT262182 TBP262181:TBP262182 TLL262181:TLL262182 TVH262181:TVH262182 UFD262181:UFD262182 UOZ262181:UOZ262182 UYV262181:UYV262182 VIR262181:VIR262182 VSN262181:VSN262182 WCJ262181:WCJ262182 WMF262181:WMF262182 WWB262181:WWB262182 T327717:T327718 JP327717:JP327718 TL327717:TL327718 ADH327717:ADH327718 AND327717:AND327718 AWZ327717:AWZ327718 BGV327717:BGV327718 BQR327717:BQR327718 CAN327717:CAN327718 CKJ327717:CKJ327718 CUF327717:CUF327718 DEB327717:DEB327718 DNX327717:DNX327718 DXT327717:DXT327718 EHP327717:EHP327718 ERL327717:ERL327718 FBH327717:FBH327718 FLD327717:FLD327718 FUZ327717:FUZ327718 GEV327717:GEV327718 GOR327717:GOR327718 GYN327717:GYN327718 HIJ327717:HIJ327718 HSF327717:HSF327718 ICB327717:ICB327718 ILX327717:ILX327718 IVT327717:IVT327718 JFP327717:JFP327718 JPL327717:JPL327718 JZH327717:JZH327718 KJD327717:KJD327718 KSZ327717:KSZ327718 LCV327717:LCV327718 LMR327717:LMR327718 LWN327717:LWN327718 MGJ327717:MGJ327718 MQF327717:MQF327718 NAB327717:NAB327718 NJX327717:NJX327718 NTT327717:NTT327718 ODP327717:ODP327718 ONL327717:ONL327718 OXH327717:OXH327718 PHD327717:PHD327718 PQZ327717:PQZ327718 QAV327717:QAV327718 QKR327717:QKR327718 QUN327717:QUN327718 REJ327717:REJ327718 ROF327717:ROF327718 RYB327717:RYB327718 SHX327717:SHX327718 SRT327717:SRT327718 TBP327717:TBP327718 TLL327717:TLL327718 TVH327717:TVH327718 UFD327717:UFD327718 UOZ327717:UOZ327718 UYV327717:UYV327718 VIR327717:VIR327718 VSN327717:VSN327718 WCJ327717:WCJ327718 WMF327717:WMF327718 WWB327717:WWB327718 T393253:T393254 JP393253:JP393254 TL393253:TL393254 ADH393253:ADH393254 AND393253:AND393254 AWZ393253:AWZ393254 BGV393253:BGV393254 BQR393253:BQR393254 CAN393253:CAN393254 CKJ393253:CKJ393254 CUF393253:CUF393254 DEB393253:DEB393254 DNX393253:DNX393254 DXT393253:DXT393254 EHP393253:EHP393254 ERL393253:ERL393254 FBH393253:FBH393254 FLD393253:FLD393254 FUZ393253:FUZ393254 GEV393253:GEV393254 GOR393253:GOR393254 GYN393253:GYN393254 HIJ393253:HIJ393254 HSF393253:HSF393254 ICB393253:ICB393254 ILX393253:ILX393254 IVT393253:IVT393254 JFP393253:JFP393254 JPL393253:JPL393254 JZH393253:JZH393254 KJD393253:KJD393254 KSZ393253:KSZ393254 LCV393253:LCV393254 LMR393253:LMR393254 LWN393253:LWN393254 MGJ393253:MGJ393254 MQF393253:MQF393254 NAB393253:NAB393254 NJX393253:NJX393254 NTT393253:NTT393254 ODP393253:ODP393254 ONL393253:ONL393254 OXH393253:OXH393254 PHD393253:PHD393254 PQZ393253:PQZ393254 QAV393253:QAV393254 QKR393253:QKR393254 QUN393253:QUN393254 REJ393253:REJ393254 ROF393253:ROF393254 RYB393253:RYB393254 SHX393253:SHX393254 SRT393253:SRT393254 TBP393253:TBP393254 TLL393253:TLL393254 TVH393253:TVH393254 UFD393253:UFD393254 UOZ393253:UOZ393254 UYV393253:UYV393254 VIR393253:VIR393254 VSN393253:VSN393254 WCJ393253:WCJ393254 WMF393253:WMF393254 WWB393253:WWB393254 T458789:T458790 JP458789:JP458790 TL458789:TL458790 ADH458789:ADH458790 AND458789:AND458790 AWZ458789:AWZ458790 BGV458789:BGV458790 BQR458789:BQR458790 CAN458789:CAN458790 CKJ458789:CKJ458790 CUF458789:CUF458790 DEB458789:DEB458790 DNX458789:DNX458790 DXT458789:DXT458790 EHP458789:EHP458790 ERL458789:ERL458790 FBH458789:FBH458790 FLD458789:FLD458790 FUZ458789:FUZ458790 GEV458789:GEV458790 GOR458789:GOR458790 GYN458789:GYN458790 HIJ458789:HIJ458790 HSF458789:HSF458790 ICB458789:ICB458790 ILX458789:ILX458790 IVT458789:IVT458790 JFP458789:JFP458790 JPL458789:JPL458790 JZH458789:JZH458790 KJD458789:KJD458790 KSZ458789:KSZ458790 LCV458789:LCV458790 LMR458789:LMR458790 LWN458789:LWN458790 MGJ458789:MGJ458790 MQF458789:MQF458790 NAB458789:NAB458790 NJX458789:NJX458790 NTT458789:NTT458790 ODP458789:ODP458790 ONL458789:ONL458790 OXH458789:OXH458790 PHD458789:PHD458790 PQZ458789:PQZ458790 QAV458789:QAV458790 QKR458789:QKR458790 QUN458789:QUN458790 REJ458789:REJ458790 ROF458789:ROF458790 RYB458789:RYB458790 SHX458789:SHX458790 SRT458789:SRT458790 TBP458789:TBP458790 TLL458789:TLL458790 TVH458789:TVH458790 UFD458789:UFD458790 UOZ458789:UOZ458790 UYV458789:UYV458790 VIR458789:VIR458790 VSN458789:VSN458790 WCJ458789:WCJ458790 WMF458789:WMF458790 WWB458789:WWB458790 T524325:T524326 JP524325:JP524326 TL524325:TL524326 ADH524325:ADH524326 AND524325:AND524326 AWZ524325:AWZ524326 BGV524325:BGV524326 BQR524325:BQR524326 CAN524325:CAN524326 CKJ524325:CKJ524326 CUF524325:CUF524326 DEB524325:DEB524326 DNX524325:DNX524326 DXT524325:DXT524326 EHP524325:EHP524326 ERL524325:ERL524326 FBH524325:FBH524326 FLD524325:FLD524326 FUZ524325:FUZ524326 GEV524325:GEV524326 GOR524325:GOR524326 GYN524325:GYN524326 HIJ524325:HIJ524326 HSF524325:HSF524326 ICB524325:ICB524326 ILX524325:ILX524326 IVT524325:IVT524326 JFP524325:JFP524326 JPL524325:JPL524326 JZH524325:JZH524326 KJD524325:KJD524326 KSZ524325:KSZ524326 LCV524325:LCV524326 LMR524325:LMR524326 LWN524325:LWN524326 MGJ524325:MGJ524326 MQF524325:MQF524326 NAB524325:NAB524326 NJX524325:NJX524326 NTT524325:NTT524326 ODP524325:ODP524326 ONL524325:ONL524326 OXH524325:OXH524326 PHD524325:PHD524326 PQZ524325:PQZ524326 QAV524325:QAV524326 QKR524325:QKR524326 QUN524325:QUN524326 REJ524325:REJ524326 ROF524325:ROF524326 RYB524325:RYB524326 SHX524325:SHX524326 SRT524325:SRT524326 TBP524325:TBP524326 TLL524325:TLL524326 TVH524325:TVH524326 UFD524325:UFD524326 UOZ524325:UOZ524326 UYV524325:UYV524326 VIR524325:VIR524326 VSN524325:VSN524326 WCJ524325:WCJ524326 WMF524325:WMF524326 WWB524325:WWB524326 T589861:T589862 JP589861:JP589862 TL589861:TL589862 ADH589861:ADH589862 AND589861:AND589862 AWZ589861:AWZ589862 BGV589861:BGV589862 BQR589861:BQR589862 CAN589861:CAN589862 CKJ589861:CKJ589862 CUF589861:CUF589862 DEB589861:DEB589862 DNX589861:DNX589862 DXT589861:DXT589862 EHP589861:EHP589862 ERL589861:ERL589862 FBH589861:FBH589862 FLD589861:FLD589862 FUZ589861:FUZ589862 GEV589861:GEV589862 GOR589861:GOR589862 GYN589861:GYN589862 HIJ589861:HIJ589862 HSF589861:HSF589862 ICB589861:ICB589862 ILX589861:ILX589862 IVT589861:IVT589862 JFP589861:JFP589862 JPL589861:JPL589862 JZH589861:JZH589862 KJD589861:KJD589862 KSZ589861:KSZ589862 LCV589861:LCV589862 LMR589861:LMR589862 LWN589861:LWN589862 MGJ589861:MGJ589862 MQF589861:MQF589862 NAB589861:NAB589862 NJX589861:NJX589862 NTT589861:NTT589862 ODP589861:ODP589862 ONL589861:ONL589862 OXH589861:OXH589862 PHD589861:PHD589862 PQZ589861:PQZ589862 QAV589861:QAV589862 QKR589861:QKR589862 QUN589861:QUN589862 REJ589861:REJ589862 ROF589861:ROF589862 RYB589861:RYB589862 SHX589861:SHX589862 SRT589861:SRT589862 TBP589861:TBP589862 TLL589861:TLL589862 TVH589861:TVH589862 UFD589861:UFD589862 UOZ589861:UOZ589862 UYV589861:UYV589862 VIR589861:VIR589862 VSN589861:VSN589862 WCJ589861:WCJ589862 WMF589861:WMF589862 WWB589861:WWB589862 T655397:T655398 JP655397:JP655398 TL655397:TL655398 ADH655397:ADH655398 AND655397:AND655398 AWZ655397:AWZ655398 BGV655397:BGV655398 BQR655397:BQR655398 CAN655397:CAN655398 CKJ655397:CKJ655398 CUF655397:CUF655398 DEB655397:DEB655398 DNX655397:DNX655398 DXT655397:DXT655398 EHP655397:EHP655398 ERL655397:ERL655398 FBH655397:FBH655398 FLD655397:FLD655398 FUZ655397:FUZ655398 GEV655397:GEV655398 GOR655397:GOR655398 GYN655397:GYN655398 HIJ655397:HIJ655398 HSF655397:HSF655398 ICB655397:ICB655398 ILX655397:ILX655398 IVT655397:IVT655398 JFP655397:JFP655398 JPL655397:JPL655398 JZH655397:JZH655398 KJD655397:KJD655398 KSZ655397:KSZ655398 LCV655397:LCV655398 LMR655397:LMR655398 LWN655397:LWN655398 MGJ655397:MGJ655398 MQF655397:MQF655398 NAB655397:NAB655398 NJX655397:NJX655398 NTT655397:NTT655398 ODP655397:ODP655398 ONL655397:ONL655398 OXH655397:OXH655398 PHD655397:PHD655398 PQZ655397:PQZ655398 QAV655397:QAV655398 QKR655397:QKR655398 QUN655397:QUN655398 REJ655397:REJ655398 ROF655397:ROF655398 RYB655397:RYB655398 SHX655397:SHX655398 SRT655397:SRT655398 TBP655397:TBP655398 TLL655397:TLL655398 TVH655397:TVH655398 UFD655397:UFD655398 UOZ655397:UOZ655398 UYV655397:UYV655398 VIR655397:VIR655398 VSN655397:VSN655398 WCJ655397:WCJ655398 WMF655397:WMF655398 WWB655397:WWB655398 T720933:T720934 JP720933:JP720934 TL720933:TL720934 ADH720933:ADH720934 AND720933:AND720934 AWZ720933:AWZ720934 BGV720933:BGV720934 BQR720933:BQR720934 CAN720933:CAN720934 CKJ720933:CKJ720934 CUF720933:CUF720934 DEB720933:DEB720934 DNX720933:DNX720934 DXT720933:DXT720934 EHP720933:EHP720934 ERL720933:ERL720934 FBH720933:FBH720934 FLD720933:FLD720934 FUZ720933:FUZ720934 GEV720933:GEV720934 GOR720933:GOR720934 GYN720933:GYN720934 HIJ720933:HIJ720934 HSF720933:HSF720934 ICB720933:ICB720934 ILX720933:ILX720934 IVT720933:IVT720934 JFP720933:JFP720934 JPL720933:JPL720934 JZH720933:JZH720934 KJD720933:KJD720934 KSZ720933:KSZ720934 LCV720933:LCV720934 LMR720933:LMR720934 LWN720933:LWN720934 MGJ720933:MGJ720934 MQF720933:MQF720934 NAB720933:NAB720934 NJX720933:NJX720934 NTT720933:NTT720934 ODP720933:ODP720934 ONL720933:ONL720934 OXH720933:OXH720934 PHD720933:PHD720934 PQZ720933:PQZ720934 QAV720933:QAV720934 QKR720933:QKR720934 QUN720933:QUN720934 REJ720933:REJ720934 ROF720933:ROF720934 RYB720933:RYB720934 SHX720933:SHX720934 SRT720933:SRT720934 TBP720933:TBP720934 TLL720933:TLL720934 TVH720933:TVH720934 UFD720933:UFD720934 UOZ720933:UOZ720934 UYV720933:UYV720934 VIR720933:VIR720934 VSN720933:VSN720934 WCJ720933:WCJ720934 WMF720933:WMF720934 WWB720933:WWB720934 T786469:T786470 JP786469:JP786470 TL786469:TL786470 ADH786469:ADH786470 AND786469:AND786470 AWZ786469:AWZ786470 BGV786469:BGV786470 BQR786469:BQR786470 CAN786469:CAN786470 CKJ786469:CKJ786470 CUF786469:CUF786470 DEB786469:DEB786470 DNX786469:DNX786470 DXT786469:DXT786470 EHP786469:EHP786470 ERL786469:ERL786470 FBH786469:FBH786470 FLD786469:FLD786470 FUZ786469:FUZ786470 GEV786469:GEV786470 GOR786469:GOR786470 GYN786469:GYN786470 HIJ786469:HIJ786470 HSF786469:HSF786470 ICB786469:ICB786470 ILX786469:ILX786470 IVT786469:IVT786470 JFP786469:JFP786470 JPL786469:JPL786470 JZH786469:JZH786470 KJD786469:KJD786470 KSZ786469:KSZ786470 LCV786469:LCV786470 LMR786469:LMR786470 LWN786469:LWN786470 MGJ786469:MGJ786470 MQF786469:MQF786470 NAB786469:NAB786470 NJX786469:NJX786470 NTT786469:NTT786470 ODP786469:ODP786470 ONL786469:ONL786470 OXH786469:OXH786470 PHD786469:PHD786470 PQZ786469:PQZ786470 QAV786469:QAV786470 QKR786469:QKR786470 QUN786469:QUN786470 REJ786469:REJ786470 ROF786469:ROF786470 RYB786469:RYB786470 SHX786469:SHX786470 SRT786469:SRT786470 TBP786469:TBP786470 TLL786469:TLL786470 TVH786469:TVH786470 UFD786469:UFD786470 UOZ786469:UOZ786470 UYV786469:UYV786470 VIR786469:VIR786470 VSN786469:VSN786470 WCJ786469:WCJ786470 WMF786469:WMF786470 WWB786469:WWB786470 T852005:T852006 JP852005:JP852006 TL852005:TL852006 ADH852005:ADH852006 AND852005:AND852006 AWZ852005:AWZ852006 BGV852005:BGV852006 BQR852005:BQR852006 CAN852005:CAN852006 CKJ852005:CKJ852006 CUF852005:CUF852006 DEB852005:DEB852006 DNX852005:DNX852006 DXT852005:DXT852006 EHP852005:EHP852006 ERL852005:ERL852006 FBH852005:FBH852006 FLD852005:FLD852006 FUZ852005:FUZ852006 GEV852005:GEV852006 GOR852005:GOR852006 GYN852005:GYN852006 HIJ852005:HIJ852006 HSF852005:HSF852006 ICB852005:ICB852006 ILX852005:ILX852006 IVT852005:IVT852006 JFP852005:JFP852006 JPL852005:JPL852006 JZH852005:JZH852006 KJD852005:KJD852006 KSZ852005:KSZ852006 LCV852005:LCV852006 LMR852005:LMR852006 LWN852005:LWN852006 MGJ852005:MGJ852006 MQF852005:MQF852006 NAB852005:NAB852006 NJX852005:NJX852006 NTT852005:NTT852006 ODP852005:ODP852006 ONL852005:ONL852006 OXH852005:OXH852006 PHD852005:PHD852006 PQZ852005:PQZ852006 QAV852005:QAV852006 QKR852005:QKR852006 QUN852005:QUN852006 REJ852005:REJ852006 ROF852005:ROF852006 RYB852005:RYB852006 SHX852005:SHX852006 SRT852005:SRT852006 TBP852005:TBP852006 TLL852005:TLL852006 TVH852005:TVH852006 UFD852005:UFD852006 UOZ852005:UOZ852006 UYV852005:UYV852006 VIR852005:VIR852006 VSN852005:VSN852006 WCJ852005:WCJ852006 WMF852005:WMF852006 WWB852005:WWB852006 T917541:T917542 JP917541:JP917542 TL917541:TL917542 ADH917541:ADH917542 AND917541:AND917542 AWZ917541:AWZ917542 BGV917541:BGV917542 BQR917541:BQR917542 CAN917541:CAN917542 CKJ917541:CKJ917542 CUF917541:CUF917542 DEB917541:DEB917542 DNX917541:DNX917542 DXT917541:DXT917542 EHP917541:EHP917542 ERL917541:ERL917542 FBH917541:FBH917542 FLD917541:FLD917542 FUZ917541:FUZ917542 GEV917541:GEV917542 GOR917541:GOR917542 GYN917541:GYN917542 HIJ917541:HIJ917542 HSF917541:HSF917542 ICB917541:ICB917542 ILX917541:ILX917542 IVT917541:IVT917542 JFP917541:JFP917542 JPL917541:JPL917542 JZH917541:JZH917542 KJD917541:KJD917542 KSZ917541:KSZ917542 LCV917541:LCV917542 LMR917541:LMR917542 LWN917541:LWN917542 MGJ917541:MGJ917542 MQF917541:MQF917542 NAB917541:NAB917542 NJX917541:NJX917542 NTT917541:NTT917542 ODP917541:ODP917542 ONL917541:ONL917542 OXH917541:OXH917542 PHD917541:PHD917542 PQZ917541:PQZ917542 QAV917541:QAV917542 QKR917541:QKR917542 QUN917541:QUN917542 REJ917541:REJ917542 ROF917541:ROF917542 RYB917541:RYB917542 SHX917541:SHX917542 SRT917541:SRT917542 TBP917541:TBP917542 TLL917541:TLL917542 TVH917541:TVH917542 UFD917541:UFD917542 UOZ917541:UOZ917542 UYV917541:UYV917542 VIR917541:VIR917542 VSN917541:VSN917542 WCJ917541:WCJ917542 WMF917541:WMF917542 WWB917541:WWB917542 T983077:T983078 JP983077:JP983078 TL983077:TL983078 ADH983077:ADH983078 AND983077:AND983078 AWZ983077:AWZ983078 BGV983077:BGV983078 BQR983077:BQR983078 CAN983077:CAN983078 CKJ983077:CKJ983078 CUF983077:CUF983078 DEB983077:DEB983078 DNX983077:DNX983078 DXT983077:DXT983078 EHP983077:EHP983078 ERL983077:ERL983078 FBH983077:FBH983078 FLD983077:FLD983078 FUZ983077:FUZ983078 GEV983077:GEV983078 GOR983077:GOR983078 GYN983077:GYN983078 HIJ983077:HIJ983078 HSF983077:HSF983078 ICB983077:ICB983078 ILX983077:ILX983078 IVT983077:IVT983078 JFP983077:JFP983078 JPL983077:JPL983078 JZH983077:JZH983078 KJD983077:KJD983078 KSZ983077:KSZ983078 LCV983077:LCV983078 LMR983077:LMR983078 LWN983077:LWN983078 MGJ983077:MGJ983078 MQF983077:MQF983078 NAB983077:NAB983078 NJX983077:NJX983078 NTT983077:NTT983078 ODP983077:ODP983078 ONL983077:ONL983078 OXH983077:OXH983078 PHD983077:PHD983078 PQZ983077:PQZ983078 QAV983077:QAV983078 QKR983077:QKR983078 QUN983077:QUN983078 REJ983077:REJ983078 ROF983077:ROF983078 RYB983077:RYB983078 SHX983077:SHX983078 SRT983077:SRT983078 TBP983077:TBP983078 TLL983077:TLL983078 TVH983077:TVH983078 UFD983077:UFD983078 UOZ983077:UOZ983078 UYV983077:UYV983078 VIR983077:VIR983078 VSN983077:VSN983078 WCJ983077:WCJ983078 WMF983077:WMF983078 WWB983077:WWB983078 V37:V38 JR37:JR38 TN37:TN38 ADJ37:ADJ38 ANF37:ANF38 AXB37:AXB38 BGX37:BGX38 BQT37:BQT38 CAP37:CAP38 CKL37:CKL38 CUH37:CUH38 DED37:DED38 DNZ37:DNZ38 DXV37:DXV38 EHR37:EHR38 ERN37:ERN38 FBJ37:FBJ38 FLF37:FLF38 FVB37:FVB38 GEX37:GEX38 GOT37:GOT38 GYP37:GYP38 HIL37:HIL38 HSH37:HSH38 ICD37:ICD38 ILZ37:ILZ38 IVV37:IVV38 JFR37:JFR38 JPN37:JPN38 JZJ37:JZJ38 KJF37:KJF38 KTB37:KTB38 LCX37:LCX38 LMT37:LMT38 LWP37:LWP38 MGL37:MGL38 MQH37:MQH38 NAD37:NAD38 NJZ37:NJZ38 NTV37:NTV38 ODR37:ODR38 ONN37:ONN38 OXJ37:OXJ38 PHF37:PHF38 PRB37:PRB38 QAX37:QAX38 QKT37:QKT38 QUP37:QUP38 REL37:REL38 ROH37:ROH38 RYD37:RYD38 SHZ37:SHZ38 SRV37:SRV38 TBR37:TBR38 TLN37:TLN38 TVJ37:TVJ38 UFF37:UFF38 UPB37:UPB38 UYX37:UYX38 VIT37:VIT38 VSP37:VSP38 WCL37:WCL38 WMH37:WMH38 WWD37:WWD38 V65573:V65574 JR65573:JR65574 TN65573:TN65574 ADJ65573:ADJ65574 ANF65573:ANF65574 AXB65573:AXB65574 BGX65573:BGX65574 BQT65573:BQT65574 CAP65573:CAP65574 CKL65573:CKL65574 CUH65573:CUH65574 DED65573:DED65574 DNZ65573:DNZ65574 DXV65573:DXV65574 EHR65573:EHR65574 ERN65573:ERN65574 FBJ65573:FBJ65574 FLF65573:FLF65574 FVB65573:FVB65574 GEX65573:GEX65574 GOT65573:GOT65574 GYP65573:GYP65574 HIL65573:HIL65574 HSH65573:HSH65574 ICD65573:ICD65574 ILZ65573:ILZ65574 IVV65573:IVV65574 JFR65573:JFR65574 JPN65573:JPN65574 JZJ65573:JZJ65574 KJF65573:KJF65574 KTB65573:KTB65574 LCX65573:LCX65574 LMT65573:LMT65574 LWP65573:LWP65574 MGL65573:MGL65574 MQH65573:MQH65574 NAD65573:NAD65574 NJZ65573:NJZ65574 NTV65573:NTV65574 ODR65573:ODR65574 ONN65573:ONN65574 OXJ65573:OXJ65574 PHF65573:PHF65574 PRB65573:PRB65574 QAX65573:QAX65574 QKT65573:QKT65574 QUP65573:QUP65574 REL65573:REL65574 ROH65573:ROH65574 RYD65573:RYD65574 SHZ65573:SHZ65574 SRV65573:SRV65574 TBR65573:TBR65574 TLN65573:TLN65574 TVJ65573:TVJ65574 UFF65573:UFF65574 UPB65573:UPB65574 UYX65573:UYX65574 VIT65573:VIT65574 VSP65573:VSP65574 WCL65573:WCL65574 WMH65573:WMH65574 WWD65573:WWD65574 V131109:V131110 JR131109:JR131110 TN131109:TN131110 ADJ131109:ADJ131110 ANF131109:ANF131110 AXB131109:AXB131110 BGX131109:BGX131110 BQT131109:BQT131110 CAP131109:CAP131110 CKL131109:CKL131110 CUH131109:CUH131110 DED131109:DED131110 DNZ131109:DNZ131110 DXV131109:DXV131110 EHR131109:EHR131110 ERN131109:ERN131110 FBJ131109:FBJ131110 FLF131109:FLF131110 FVB131109:FVB131110 GEX131109:GEX131110 GOT131109:GOT131110 GYP131109:GYP131110 HIL131109:HIL131110 HSH131109:HSH131110 ICD131109:ICD131110 ILZ131109:ILZ131110 IVV131109:IVV131110 JFR131109:JFR131110 JPN131109:JPN131110 JZJ131109:JZJ131110 KJF131109:KJF131110 KTB131109:KTB131110 LCX131109:LCX131110 LMT131109:LMT131110 LWP131109:LWP131110 MGL131109:MGL131110 MQH131109:MQH131110 NAD131109:NAD131110 NJZ131109:NJZ131110 NTV131109:NTV131110 ODR131109:ODR131110 ONN131109:ONN131110 OXJ131109:OXJ131110 PHF131109:PHF131110 PRB131109:PRB131110 QAX131109:QAX131110 QKT131109:QKT131110 QUP131109:QUP131110 REL131109:REL131110 ROH131109:ROH131110 RYD131109:RYD131110 SHZ131109:SHZ131110 SRV131109:SRV131110 TBR131109:TBR131110 TLN131109:TLN131110 TVJ131109:TVJ131110 UFF131109:UFF131110 UPB131109:UPB131110 UYX131109:UYX131110 VIT131109:VIT131110 VSP131109:VSP131110 WCL131109:WCL131110 WMH131109:WMH131110 WWD131109:WWD131110 V196645:V196646 JR196645:JR196646 TN196645:TN196646 ADJ196645:ADJ196646 ANF196645:ANF196646 AXB196645:AXB196646 BGX196645:BGX196646 BQT196645:BQT196646 CAP196645:CAP196646 CKL196645:CKL196646 CUH196645:CUH196646 DED196645:DED196646 DNZ196645:DNZ196646 DXV196645:DXV196646 EHR196645:EHR196646 ERN196645:ERN196646 FBJ196645:FBJ196646 FLF196645:FLF196646 FVB196645:FVB196646 GEX196645:GEX196646 GOT196645:GOT196646 GYP196645:GYP196646 HIL196645:HIL196646 HSH196645:HSH196646 ICD196645:ICD196646 ILZ196645:ILZ196646 IVV196645:IVV196646 JFR196645:JFR196646 JPN196645:JPN196646 JZJ196645:JZJ196646 KJF196645:KJF196646 KTB196645:KTB196646 LCX196645:LCX196646 LMT196645:LMT196646 LWP196645:LWP196646 MGL196645:MGL196646 MQH196645:MQH196646 NAD196645:NAD196646 NJZ196645:NJZ196646 NTV196645:NTV196646 ODR196645:ODR196646 ONN196645:ONN196646 OXJ196645:OXJ196646 PHF196645:PHF196646 PRB196645:PRB196646 QAX196645:QAX196646 QKT196645:QKT196646 QUP196645:QUP196646 REL196645:REL196646 ROH196645:ROH196646 RYD196645:RYD196646 SHZ196645:SHZ196646 SRV196645:SRV196646 TBR196645:TBR196646 TLN196645:TLN196646 TVJ196645:TVJ196646 UFF196645:UFF196646 UPB196645:UPB196646 UYX196645:UYX196646 VIT196645:VIT196646 VSP196645:VSP196646 WCL196645:WCL196646 WMH196645:WMH196646 WWD196645:WWD196646 V262181:V262182 JR262181:JR262182 TN262181:TN262182 ADJ262181:ADJ262182 ANF262181:ANF262182 AXB262181:AXB262182 BGX262181:BGX262182 BQT262181:BQT262182 CAP262181:CAP262182 CKL262181:CKL262182 CUH262181:CUH262182 DED262181:DED262182 DNZ262181:DNZ262182 DXV262181:DXV262182 EHR262181:EHR262182 ERN262181:ERN262182 FBJ262181:FBJ262182 FLF262181:FLF262182 FVB262181:FVB262182 GEX262181:GEX262182 GOT262181:GOT262182 GYP262181:GYP262182 HIL262181:HIL262182 HSH262181:HSH262182 ICD262181:ICD262182 ILZ262181:ILZ262182 IVV262181:IVV262182 JFR262181:JFR262182 JPN262181:JPN262182 JZJ262181:JZJ262182 KJF262181:KJF262182 KTB262181:KTB262182 LCX262181:LCX262182 LMT262181:LMT262182 LWP262181:LWP262182 MGL262181:MGL262182 MQH262181:MQH262182 NAD262181:NAD262182 NJZ262181:NJZ262182 NTV262181:NTV262182 ODR262181:ODR262182 ONN262181:ONN262182 OXJ262181:OXJ262182 PHF262181:PHF262182 PRB262181:PRB262182 QAX262181:QAX262182 QKT262181:QKT262182 QUP262181:QUP262182 REL262181:REL262182 ROH262181:ROH262182 RYD262181:RYD262182 SHZ262181:SHZ262182 SRV262181:SRV262182 TBR262181:TBR262182 TLN262181:TLN262182 TVJ262181:TVJ262182 UFF262181:UFF262182 UPB262181:UPB262182 UYX262181:UYX262182 VIT262181:VIT262182 VSP262181:VSP262182 WCL262181:WCL262182 WMH262181:WMH262182 WWD262181:WWD262182 V327717:V327718 JR327717:JR327718 TN327717:TN327718 ADJ327717:ADJ327718 ANF327717:ANF327718 AXB327717:AXB327718 BGX327717:BGX327718 BQT327717:BQT327718 CAP327717:CAP327718 CKL327717:CKL327718 CUH327717:CUH327718 DED327717:DED327718 DNZ327717:DNZ327718 DXV327717:DXV327718 EHR327717:EHR327718 ERN327717:ERN327718 FBJ327717:FBJ327718 FLF327717:FLF327718 FVB327717:FVB327718 GEX327717:GEX327718 GOT327717:GOT327718 GYP327717:GYP327718 HIL327717:HIL327718 HSH327717:HSH327718 ICD327717:ICD327718 ILZ327717:ILZ327718 IVV327717:IVV327718 JFR327717:JFR327718 JPN327717:JPN327718 JZJ327717:JZJ327718 KJF327717:KJF327718 KTB327717:KTB327718 LCX327717:LCX327718 LMT327717:LMT327718 LWP327717:LWP327718 MGL327717:MGL327718 MQH327717:MQH327718 NAD327717:NAD327718 NJZ327717:NJZ327718 NTV327717:NTV327718 ODR327717:ODR327718 ONN327717:ONN327718 OXJ327717:OXJ327718 PHF327717:PHF327718 PRB327717:PRB327718 QAX327717:QAX327718 QKT327717:QKT327718 QUP327717:QUP327718 REL327717:REL327718 ROH327717:ROH327718 RYD327717:RYD327718 SHZ327717:SHZ327718 SRV327717:SRV327718 TBR327717:TBR327718 TLN327717:TLN327718 TVJ327717:TVJ327718 UFF327717:UFF327718 UPB327717:UPB327718 UYX327717:UYX327718 VIT327717:VIT327718 VSP327717:VSP327718 WCL327717:WCL327718 WMH327717:WMH327718 WWD327717:WWD327718 V393253:V393254 JR393253:JR393254 TN393253:TN393254 ADJ393253:ADJ393254 ANF393253:ANF393254 AXB393253:AXB393254 BGX393253:BGX393254 BQT393253:BQT393254 CAP393253:CAP393254 CKL393253:CKL393254 CUH393253:CUH393254 DED393253:DED393254 DNZ393253:DNZ393254 DXV393253:DXV393254 EHR393253:EHR393254 ERN393253:ERN393254 FBJ393253:FBJ393254 FLF393253:FLF393254 FVB393253:FVB393254 GEX393253:GEX393254 GOT393253:GOT393254 GYP393253:GYP393254 HIL393253:HIL393254 HSH393253:HSH393254 ICD393253:ICD393254 ILZ393253:ILZ393254 IVV393253:IVV393254 JFR393253:JFR393254 JPN393253:JPN393254 JZJ393253:JZJ393254 KJF393253:KJF393254 KTB393253:KTB393254 LCX393253:LCX393254 LMT393253:LMT393254 LWP393253:LWP393254 MGL393253:MGL393254 MQH393253:MQH393254 NAD393253:NAD393254 NJZ393253:NJZ393254 NTV393253:NTV393254 ODR393253:ODR393254 ONN393253:ONN393254 OXJ393253:OXJ393254 PHF393253:PHF393254 PRB393253:PRB393254 QAX393253:QAX393254 QKT393253:QKT393254 QUP393253:QUP393254 REL393253:REL393254 ROH393253:ROH393254 RYD393253:RYD393254 SHZ393253:SHZ393254 SRV393253:SRV393254 TBR393253:TBR393254 TLN393253:TLN393254 TVJ393253:TVJ393254 UFF393253:UFF393254 UPB393253:UPB393254 UYX393253:UYX393254 VIT393253:VIT393254 VSP393253:VSP393254 WCL393253:WCL393254 WMH393253:WMH393254 WWD393253:WWD393254 V458789:V458790 JR458789:JR458790 TN458789:TN458790 ADJ458789:ADJ458790 ANF458789:ANF458790 AXB458789:AXB458790 BGX458789:BGX458790 BQT458789:BQT458790 CAP458789:CAP458790 CKL458789:CKL458790 CUH458789:CUH458790 DED458789:DED458790 DNZ458789:DNZ458790 DXV458789:DXV458790 EHR458789:EHR458790 ERN458789:ERN458790 FBJ458789:FBJ458790 FLF458789:FLF458790 FVB458789:FVB458790 GEX458789:GEX458790 GOT458789:GOT458790 GYP458789:GYP458790 HIL458789:HIL458790 HSH458789:HSH458790 ICD458789:ICD458790 ILZ458789:ILZ458790 IVV458789:IVV458790 JFR458789:JFR458790 JPN458789:JPN458790 JZJ458789:JZJ458790 KJF458789:KJF458790 KTB458789:KTB458790 LCX458789:LCX458790 LMT458789:LMT458790 LWP458789:LWP458790 MGL458789:MGL458790 MQH458789:MQH458790 NAD458789:NAD458790 NJZ458789:NJZ458790 NTV458789:NTV458790 ODR458789:ODR458790 ONN458789:ONN458790 OXJ458789:OXJ458790 PHF458789:PHF458790 PRB458789:PRB458790 QAX458789:QAX458790 QKT458789:QKT458790 QUP458789:QUP458790 REL458789:REL458790 ROH458789:ROH458790 RYD458789:RYD458790 SHZ458789:SHZ458790 SRV458789:SRV458790 TBR458789:TBR458790 TLN458789:TLN458790 TVJ458789:TVJ458790 UFF458789:UFF458790 UPB458789:UPB458790 UYX458789:UYX458790 VIT458789:VIT458790 VSP458789:VSP458790 WCL458789:WCL458790 WMH458789:WMH458790 WWD458789:WWD458790 V524325:V524326 JR524325:JR524326 TN524325:TN524326 ADJ524325:ADJ524326 ANF524325:ANF524326 AXB524325:AXB524326 BGX524325:BGX524326 BQT524325:BQT524326 CAP524325:CAP524326 CKL524325:CKL524326 CUH524325:CUH524326 DED524325:DED524326 DNZ524325:DNZ524326 DXV524325:DXV524326 EHR524325:EHR524326 ERN524325:ERN524326 FBJ524325:FBJ524326 FLF524325:FLF524326 FVB524325:FVB524326 GEX524325:GEX524326 GOT524325:GOT524326 GYP524325:GYP524326 HIL524325:HIL524326 HSH524325:HSH524326 ICD524325:ICD524326 ILZ524325:ILZ524326 IVV524325:IVV524326 JFR524325:JFR524326 JPN524325:JPN524326 JZJ524325:JZJ524326 KJF524325:KJF524326 KTB524325:KTB524326 LCX524325:LCX524326 LMT524325:LMT524326 LWP524325:LWP524326 MGL524325:MGL524326 MQH524325:MQH524326 NAD524325:NAD524326 NJZ524325:NJZ524326 NTV524325:NTV524326 ODR524325:ODR524326 ONN524325:ONN524326 OXJ524325:OXJ524326 PHF524325:PHF524326 PRB524325:PRB524326 QAX524325:QAX524326 QKT524325:QKT524326 QUP524325:QUP524326 REL524325:REL524326 ROH524325:ROH524326 RYD524325:RYD524326 SHZ524325:SHZ524326 SRV524325:SRV524326 TBR524325:TBR524326 TLN524325:TLN524326 TVJ524325:TVJ524326 UFF524325:UFF524326 UPB524325:UPB524326 UYX524325:UYX524326 VIT524325:VIT524326 VSP524325:VSP524326 WCL524325:WCL524326 WMH524325:WMH524326 WWD524325:WWD524326 V589861:V589862 JR589861:JR589862 TN589861:TN589862 ADJ589861:ADJ589862 ANF589861:ANF589862 AXB589861:AXB589862 BGX589861:BGX589862 BQT589861:BQT589862 CAP589861:CAP589862 CKL589861:CKL589862 CUH589861:CUH589862 DED589861:DED589862 DNZ589861:DNZ589862 DXV589861:DXV589862 EHR589861:EHR589862 ERN589861:ERN589862 FBJ589861:FBJ589862 FLF589861:FLF589862 FVB589861:FVB589862 GEX589861:GEX589862 GOT589861:GOT589862 GYP589861:GYP589862 HIL589861:HIL589862 HSH589861:HSH589862 ICD589861:ICD589862 ILZ589861:ILZ589862 IVV589861:IVV589862 JFR589861:JFR589862 JPN589861:JPN589862 JZJ589861:JZJ589862 KJF589861:KJF589862 KTB589861:KTB589862 LCX589861:LCX589862 LMT589861:LMT589862 LWP589861:LWP589862 MGL589861:MGL589862 MQH589861:MQH589862 NAD589861:NAD589862 NJZ589861:NJZ589862 NTV589861:NTV589862 ODR589861:ODR589862 ONN589861:ONN589862 OXJ589861:OXJ589862 PHF589861:PHF589862 PRB589861:PRB589862 QAX589861:QAX589862 QKT589861:QKT589862 QUP589861:QUP589862 REL589861:REL589862 ROH589861:ROH589862 RYD589861:RYD589862 SHZ589861:SHZ589862 SRV589861:SRV589862 TBR589861:TBR589862 TLN589861:TLN589862 TVJ589861:TVJ589862 UFF589861:UFF589862 UPB589861:UPB589862 UYX589861:UYX589862 VIT589861:VIT589862 VSP589861:VSP589862 WCL589861:WCL589862 WMH589861:WMH589862 WWD589861:WWD589862 V655397:V655398 JR655397:JR655398 TN655397:TN655398 ADJ655397:ADJ655398 ANF655397:ANF655398 AXB655397:AXB655398 BGX655397:BGX655398 BQT655397:BQT655398 CAP655397:CAP655398 CKL655397:CKL655398 CUH655397:CUH655398 DED655397:DED655398 DNZ655397:DNZ655398 DXV655397:DXV655398 EHR655397:EHR655398 ERN655397:ERN655398 FBJ655397:FBJ655398 FLF655397:FLF655398 FVB655397:FVB655398 GEX655397:GEX655398 GOT655397:GOT655398 GYP655397:GYP655398 HIL655397:HIL655398 HSH655397:HSH655398 ICD655397:ICD655398 ILZ655397:ILZ655398 IVV655397:IVV655398 JFR655397:JFR655398 JPN655397:JPN655398 JZJ655397:JZJ655398 KJF655397:KJF655398 KTB655397:KTB655398 LCX655397:LCX655398 LMT655397:LMT655398 LWP655397:LWP655398 MGL655397:MGL655398 MQH655397:MQH655398 NAD655397:NAD655398 NJZ655397:NJZ655398 NTV655397:NTV655398 ODR655397:ODR655398 ONN655397:ONN655398 OXJ655397:OXJ655398 PHF655397:PHF655398 PRB655397:PRB655398 QAX655397:QAX655398 QKT655397:QKT655398 QUP655397:QUP655398 REL655397:REL655398 ROH655397:ROH655398 RYD655397:RYD655398 SHZ655397:SHZ655398 SRV655397:SRV655398 TBR655397:TBR655398 TLN655397:TLN655398 TVJ655397:TVJ655398 UFF655397:UFF655398 UPB655397:UPB655398 UYX655397:UYX655398 VIT655397:VIT655398 VSP655397:VSP655398 WCL655397:WCL655398 WMH655397:WMH655398 WWD655397:WWD655398 V720933:V720934 JR720933:JR720934 TN720933:TN720934 ADJ720933:ADJ720934 ANF720933:ANF720934 AXB720933:AXB720934 BGX720933:BGX720934 BQT720933:BQT720934 CAP720933:CAP720934 CKL720933:CKL720934 CUH720933:CUH720934 DED720933:DED720934 DNZ720933:DNZ720934 DXV720933:DXV720934 EHR720933:EHR720934 ERN720933:ERN720934 FBJ720933:FBJ720934 FLF720933:FLF720934 FVB720933:FVB720934 GEX720933:GEX720934 GOT720933:GOT720934 GYP720933:GYP720934 HIL720933:HIL720934 HSH720933:HSH720934 ICD720933:ICD720934 ILZ720933:ILZ720934 IVV720933:IVV720934 JFR720933:JFR720934 JPN720933:JPN720934 JZJ720933:JZJ720934 KJF720933:KJF720934 KTB720933:KTB720934 LCX720933:LCX720934 LMT720933:LMT720934 LWP720933:LWP720934 MGL720933:MGL720934 MQH720933:MQH720934 NAD720933:NAD720934 NJZ720933:NJZ720934 NTV720933:NTV720934 ODR720933:ODR720934 ONN720933:ONN720934 OXJ720933:OXJ720934 PHF720933:PHF720934 PRB720933:PRB720934 QAX720933:QAX720934 QKT720933:QKT720934 QUP720933:QUP720934 REL720933:REL720934 ROH720933:ROH720934 RYD720933:RYD720934 SHZ720933:SHZ720934 SRV720933:SRV720934 TBR720933:TBR720934 TLN720933:TLN720934 TVJ720933:TVJ720934 UFF720933:UFF720934 UPB720933:UPB720934 UYX720933:UYX720934 VIT720933:VIT720934 VSP720933:VSP720934 WCL720933:WCL720934 WMH720933:WMH720934 WWD720933:WWD720934 V786469:V786470 JR786469:JR786470 TN786469:TN786470 ADJ786469:ADJ786470 ANF786469:ANF786470 AXB786469:AXB786470 BGX786469:BGX786470 BQT786469:BQT786470 CAP786469:CAP786470 CKL786469:CKL786470 CUH786469:CUH786470 DED786469:DED786470 DNZ786469:DNZ786470 DXV786469:DXV786470 EHR786469:EHR786470 ERN786469:ERN786470 FBJ786469:FBJ786470 FLF786469:FLF786470 FVB786469:FVB786470 GEX786469:GEX786470 GOT786469:GOT786470 GYP786469:GYP786470 HIL786469:HIL786470 HSH786469:HSH786470 ICD786469:ICD786470 ILZ786469:ILZ786470 IVV786469:IVV786470 JFR786469:JFR786470 JPN786469:JPN786470 JZJ786469:JZJ786470 KJF786469:KJF786470 KTB786469:KTB786470 LCX786469:LCX786470 LMT786469:LMT786470 LWP786469:LWP786470 MGL786469:MGL786470 MQH786469:MQH786470 NAD786469:NAD786470 NJZ786469:NJZ786470 NTV786469:NTV786470 ODR786469:ODR786470 ONN786469:ONN786470 OXJ786469:OXJ786470 PHF786469:PHF786470 PRB786469:PRB786470 QAX786469:QAX786470 QKT786469:QKT786470 QUP786469:QUP786470 REL786469:REL786470 ROH786469:ROH786470 RYD786469:RYD786470 SHZ786469:SHZ786470 SRV786469:SRV786470 TBR786469:TBR786470 TLN786469:TLN786470 TVJ786469:TVJ786470 UFF786469:UFF786470 UPB786469:UPB786470 UYX786469:UYX786470 VIT786469:VIT786470 VSP786469:VSP786470 WCL786469:WCL786470 WMH786469:WMH786470 WWD786469:WWD786470 V852005:V852006 JR852005:JR852006 TN852005:TN852006 ADJ852005:ADJ852006 ANF852005:ANF852006 AXB852005:AXB852006 BGX852005:BGX852006 BQT852005:BQT852006 CAP852005:CAP852006 CKL852005:CKL852006 CUH852005:CUH852006 DED852005:DED852006 DNZ852005:DNZ852006 DXV852005:DXV852006 EHR852005:EHR852006 ERN852005:ERN852006 FBJ852005:FBJ852006 FLF852005:FLF852006 FVB852005:FVB852006 GEX852005:GEX852006 GOT852005:GOT852006 GYP852005:GYP852006 HIL852005:HIL852006 HSH852005:HSH852006 ICD852005:ICD852006 ILZ852005:ILZ852006 IVV852005:IVV852006 JFR852005:JFR852006 JPN852005:JPN852006 JZJ852005:JZJ852006 KJF852005:KJF852006 KTB852005:KTB852006 LCX852005:LCX852006 LMT852005:LMT852006 LWP852005:LWP852006 MGL852005:MGL852006 MQH852005:MQH852006 NAD852005:NAD852006 NJZ852005:NJZ852006 NTV852005:NTV852006 ODR852005:ODR852006 ONN852005:ONN852006 OXJ852005:OXJ852006 PHF852005:PHF852006 PRB852005:PRB852006 QAX852005:QAX852006 QKT852005:QKT852006 QUP852005:QUP852006 REL852005:REL852006 ROH852005:ROH852006 RYD852005:RYD852006 SHZ852005:SHZ852006 SRV852005:SRV852006 TBR852005:TBR852006 TLN852005:TLN852006 TVJ852005:TVJ852006 UFF852005:UFF852006 UPB852005:UPB852006 UYX852005:UYX852006 VIT852005:VIT852006 VSP852005:VSP852006 WCL852005:WCL852006 WMH852005:WMH852006 WWD852005:WWD852006 V917541:V917542 JR917541:JR917542 TN917541:TN917542 ADJ917541:ADJ917542 ANF917541:ANF917542 AXB917541:AXB917542 BGX917541:BGX917542 BQT917541:BQT917542 CAP917541:CAP917542 CKL917541:CKL917542 CUH917541:CUH917542 DED917541:DED917542 DNZ917541:DNZ917542 DXV917541:DXV917542 EHR917541:EHR917542 ERN917541:ERN917542 FBJ917541:FBJ917542 FLF917541:FLF917542 FVB917541:FVB917542 GEX917541:GEX917542 GOT917541:GOT917542 GYP917541:GYP917542 HIL917541:HIL917542 HSH917541:HSH917542 ICD917541:ICD917542 ILZ917541:ILZ917542 IVV917541:IVV917542 JFR917541:JFR917542 JPN917541:JPN917542 JZJ917541:JZJ917542 KJF917541:KJF917542 KTB917541:KTB917542 LCX917541:LCX917542 LMT917541:LMT917542 LWP917541:LWP917542 MGL917541:MGL917542 MQH917541:MQH917542 NAD917541:NAD917542 NJZ917541:NJZ917542 NTV917541:NTV917542 ODR917541:ODR917542 ONN917541:ONN917542 OXJ917541:OXJ917542 PHF917541:PHF917542 PRB917541:PRB917542 QAX917541:QAX917542 QKT917541:QKT917542 QUP917541:QUP917542 REL917541:REL917542 ROH917541:ROH917542 RYD917541:RYD917542 SHZ917541:SHZ917542 SRV917541:SRV917542 TBR917541:TBR917542 TLN917541:TLN917542 TVJ917541:TVJ917542 UFF917541:UFF917542 UPB917541:UPB917542 UYX917541:UYX917542 VIT917541:VIT917542 VSP917541:VSP917542 WCL917541:WCL917542 WMH917541:WMH917542 WWD917541:WWD917542 V983077:V983078 JR983077:JR983078 TN983077:TN983078 ADJ983077:ADJ983078 ANF983077:ANF983078 AXB983077:AXB983078 BGX983077:BGX983078 BQT983077:BQT983078 CAP983077:CAP983078 CKL983077:CKL983078 CUH983077:CUH983078 DED983077:DED983078 DNZ983077:DNZ983078 DXV983077:DXV983078 EHR983077:EHR983078 ERN983077:ERN983078 FBJ983077:FBJ983078 FLF983077:FLF983078 FVB983077:FVB983078 GEX983077:GEX983078 GOT983077:GOT983078 GYP983077:GYP983078 HIL983077:HIL983078 HSH983077:HSH983078 ICD983077:ICD983078 ILZ983077:ILZ983078 IVV983077:IVV983078 JFR983077:JFR983078 JPN983077:JPN983078 JZJ983077:JZJ983078 KJF983077:KJF983078 KTB983077:KTB983078 LCX983077:LCX983078 LMT983077:LMT983078 LWP983077:LWP983078 MGL983077:MGL983078 MQH983077:MQH983078 NAD983077:NAD983078 NJZ983077:NJZ983078 NTV983077:NTV983078 ODR983077:ODR983078 ONN983077:ONN983078 OXJ983077:OXJ983078 PHF983077:PHF983078 PRB983077:PRB983078 QAX983077:QAX983078 QKT983077:QKT983078 QUP983077:QUP983078 REL983077:REL983078 ROH983077:ROH983078 RYD983077:RYD983078 SHZ983077:SHZ983078 SRV983077:SRV983078 TBR983077:TBR983078 TLN983077:TLN983078 TVJ983077:TVJ983078 UFF983077:UFF983078 UPB983077:UPB983078 UYX983077:UYX983078 VIT983077:VIT983078 VSP983077:VSP983078 WCL983077:WCL983078 WMH983077:WMH983078 WWD983077:WWD983078 T41:T42 JP41:JP42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T65577:T65578 JP65577:JP65578 TL65577:TL65578 ADH65577:ADH65578 AND65577:AND65578 AWZ65577:AWZ65578 BGV65577:BGV65578 BQR65577:BQR65578 CAN65577:CAN65578 CKJ65577:CKJ65578 CUF65577:CUF65578 DEB65577:DEB65578 DNX65577:DNX65578 DXT65577:DXT65578 EHP65577:EHP65578 ERL65577:ERL65578 FBH65577:FBH65578 FLD65577:FLD65578 FUZ65577:FUZ65578 GEV65577:GEV65578 GOR65577:GOR65578 GYN65577:GYN65578 HIJ65577:HIJ65578 HSF65577:HSF65578 ICB65577:ICB65578 ILX65577:ILX65578 IVT65577:IVT65578 JFP65577:JFP65578 JPL65577:JPL65578 JZH65577:JZH65578 KJD65577:KJD65578 KSZ65577:KSZ65578 LCV65577:LCV65578 LMR65577:LMR65578 LWN65577:LWN65578 MGJ65577:MGJ65578 MQF65577:MQF65578 NAB65577:NAB65578 NJX65577:NJX65578 NTT65577:NTT65578 ODP65577:ODP65578 ONL65577:ONL65578 OXH65577:OXH65578 PHD65577:PHD65578 PQZ65577:PQZ65578 QAV65577:QAV65578 QKR65577:QKR65578 QUN65577:QUN65578 REJ65577:REJ65578 ROF65577:ROF65578 RYB65577:RYB65578 SHX65577:SHX65578 SRT65577:SRT65578 TBP65577:TBP65578 TLL65577:TLL65578 TVH65577:TVH65578 UFD65577:UFD65578 UOZ65577:UOZ65578 UYV65577:UYV65578 VIR65577:VIR65578 VSN65577:VSN65578 WCJ65577:WCJ65578 WMF65577:WMF65578 WWB65577:WWB65578 T131113:T131114 JP131113:JP131114 TL131113:TL131114 ADH131113:ADH131114 AND131113:AND131114 AWZ131113:AWZ131114 BGV131113:BGV131114 BQR131113:BQR131114 CAN131113:CAN131114 CKJ131113:CKJ131114 CUF131113:CUF131114 DEB131113:DEB131114 DNX131113:DNX131114 DXT131113:DXT131114 EHP131113:EHP131114 ERL131113:ERL131114 FBH131113:FBH131114 FLD131113:FLD131114 FUZ131113:FUZ131114 GEV131113:GEV131114 GOR131113:GOR131114 GYN131113:GYN131114 HIJ131113:HIJ131114 HSF131113:HSF131114 ICB131113:ICB131114 ILX131113:ILX131114 IVT131113:IVT131114 JFP131113:JFP131114 JPL131113:JPL131114 JZH131113:JZH131114 KJD131113:KJD131114 KSZ131113:KSZ131114 LCV131113:LCV131114 LMR131113:LMR131114 LWN131113:LWN131114 MGJ131113:MGJ131114 MQF131113:MQF131114 NAB131113:NAB131114 NJX131113:NJX131114 NTT131113:NTT131114 ODP131113:ODP131114 ONL131113:ONL131114 OXH131113:OXH131114 PHD131113:PHD131114 PQZ131113:PQZ131114 QAV131113:QAV131114 QKR131113:QKR131114 QUN131113:QUN131114 REJ131113:REJ131114 ROF131113:ROF131114 RYB131113:RYB131114 SHX131113:SHX131114 SRT131113:SRT131114 TBP131113:TBP131114 TLL131113:TLL131114 TVH131113:TVH131114 UFD131113:UFD131114 UOZ131113:UOZ131114 UYV131113:UYV131114 VIR131113:VIR131114 VSN131113:VSN131114 WCJ131113:WCJ131114 WMF131113:WMF131114 WWB131113:WWB131114 T196649:T196650 JP196649:JP196650 TL196649:TL196650 ADH196649:ADH196650 AND196649:AND196650 AWZ196649:AWZ196650 BGV196649:BGV196650 BQR196649:BQR196650 CAN196649:CAN196650 CKJ196649:CKJ196650 CUF196649:CUF196650 DEB196649:DEB196650 DNX196649:DNX196650 DXT196649:DXT196650 EHP196649:EHP196650 ERL196649:ERL196650 FBH196649:FBH196650 FLD196649:FLD196650 FUZ196649:FUZ196650 GEV196649:GEV196650 GOR196649:GOR196650 GYN196649:GYN196650 HIJ196649:HIJ196650 HSF196649:HSF196650 ICB196649:ICB196650 ILX196649:ILX196650 IVT196649:IVT196650 JFP196649:JFP196650 JPL196649:JPL196650 JZH196649:JZH196650 KJD196649:KJD196650 KSZ196649:KSZ196650 LCV196649:LCV196650 LMR196649:LMR196650 LWN196649:LWN196650 MGJ196649:MGJ196650 MQF196649:MQF196650 NAB196649:NAB196650 NJX196649:NJX196650 NTT196649:NTT196650 ODP196649:ODP196650 ONL196649:ONL196650 OXH196649:OXH196650 PHD196649:PHD196650 PQZ196649:PQZ196650 QAV196649:QAV196650 QKR196649:QKR196650 QUN196649:QUN196650 REJ196649:REJ196650 ROF196649:ROF196650 RYB196649:RYB196650 SHX196649:SHX196650 SRT196649:SRT196650 TBP196649:TBP196650 TLL196649:TLL196650 TVH196649:TVH196650 UFD196649:UFD196650 UOZ196649:UOZ196650 UYV196649:UYV196650 VIR196649:VIR196650 VSN196649:VSN196650 WCJ196649:WCJ196650 WMF196649:WMF196650 WWB196649:WWB196650 T262185:T262186 JP262185:JP262186 TL262185:TL262186 ADH262185:ADH262186 AND262185:AND262186 AWZ262185:AWZ262186 BGV262185:BGV262186 BQR262185:BQR262186 CAN262185:CAN262186 CKJ262185:CKJ262186 CUF262185:CUF262186 DEB262185:DEB262186 DNX262185:DNX262186 DXT262185:DXT262186 EHP262185:EHP262186 ERL262185:ERL262186 FBH262185:FBH262186 FLD262185:FLD262186 FUZ262185:FUZ262186 GEV262185:GEV262186 GOR262185:GOR262186 GYN262185:GYN262186 HIJ262185:HIJ262186 HSF262185:HSF262186 ICB262185:ICB262186 ILX262185:ILX262186 IVT262185:IVT262186 JFP262185:JFP262186 JPL262185:JPL262186 JZH262185:JZH262186 KJD262185:KJD262186 KSZ262185:KSZ262186 LCV262185:LCV262186 LMR262185:LMR262186 LWN262185:LWN262186 MGJ262185:MGJ262186 MQF262185:MQF262186 NAB262185:NAB262186 NJX262185:NJX262186 NTT262185:NTT262186 ODP262185:ODP262186 ONL262185:ONL262186 OXH262185:OXH262186 PHD262185:PHD262186 PQZ262185:PQZ262186 QAV262185:QAV262186 QKR262185:QKR262186 QUN262185:QUN262186 REJ262185:REJ262186 ROF262185:ROF262186 RYB262185:RYB262186 SHX262185:SHX262186 SRT262185:SRT262186 TBP262185:TBP262186 TLL262185:TLL262186 TVH262185:TVH262186 UFD262185:UFD262186 UOZ262185:UOZ262186 UYV262185:UYV262186 VIR262185:VIR262186 VSN262185:VSN262186 WCJ262185:WCJ262186 WMF262185:WMF262186 WWB262185:WWB262186 T327721:T327722 JP327721:JP327722 TL327721:TL327722 ADH327721:ADH327722 AND327721:AND327722 AWZ327721:AWZ327722 BGV327721:BGV327722 BQR327721:BQR327722 CAN327721:CAN327722 CKJ327721:CKJ327722 CUF327721:CUF327722 DEB327721:DEB327722 DNX327721:DNX327722 DXT327721:DXT327722 EHP327721:EHP327722 ERL327721:ERL327722 FBH327721:FBH327722 FLD327721:FLD327722 FUZ327721:FUZ327722 GEV327721:GEV327722 GOR327721:GOR327722 GYN327721:GYN327722 HIJ327721:HIJ327722 HSF327721:HSF327722 ICB327721:ICB327722 ILX327721:ILX327722 IVT327721:IVT327722 JFP327721:JFP327722 JPL327721:JPL327722 JZH327721:JZH327722 KJD327721:KJD327722 KSZ327721:KSZ327722 LCV327721:LCV327722 LMR327721:LMR327722 LWN327721:LWN327722 MGJ327721:MGJ327722 MQF327721:MQF327722 NAB327721:NAB327722 NJX327721:NJX327722 NTT327721:NTT327722 ODP327721:ODP327722 ONL327721:ONL327722 OXH327721:OXH327722 PHD327721:PHD327722 PQZ327721:PQZ327722 QAV327721:QAV327722 QKR327721:QKR327722 QUN327721:QUN327722 REJ327721:REJ327722 ROF327721:ROF327722 RYB327721:RYB327722 SHX327721:SHX327722 SRT327721:SRT327722 TBP327721:TBP327722 TLL327721:TLL327722 TVH327721:TVH327722 UFD327721:UFD327722 UOZ327721:UOZ327722 UYV327721:UYV327722 VIR327721:VIR327722 VSN327721:VSN327722 WCJ327721:WCJ327722 WMF327721:WMF327722 WWB327721:WWB327722 T393257:T393258 JP393257:JP393258 TL393257:TL393258 ADH393257:ADH393258 AND393257:AND393258 AWZ393257:AWZ393258 BGV393257:BGV393258 BQR393257:BQR393258 CAN393257:CAN393258 CKJ393257:CKJ393258 CUF393257:CUF393258 DEB393257:DEB393258 DNX393257:DNX393258 DXT393257:DXT393258 EHP393257:EHP393258 ERL393257:ERL393258 FBH393257:FBH393258 FLD393257:FLD393258 FUZ393257:FUZ393258 GEV393257:GEV393258 GOR393257:GOR393258 GYN393257:GYN393258 HIJ393257:HIJ393258 HSF393257:HSF393258 ICB393257:ICB393258 ILX393257:ILX393258 IVT393257:IVT393258 JFP393257:JFP393258 JPL393257:JPL393258 JZH393257:JZH393258 KJD393257:KJD393258 KSZ393257:KSZ393258 LCV393257:LCV393258 LMR393257:LMR393258 LWN393257:LWN393258 MGJ393257:MGJ393258 MQF393257:MQF393258 NAB393257:NAB393258 NJX393257:NJX393258 NTT393257:NTT393258 ODP393257:ODP393258 ONL393257:ONL393258 OXH393257:OXH393258 PHD393257:PHD393258 PQZ393257:PQZ393258 QAV393257:QAV393258 QKR393257:QKR393258 QUN393257:QUN393258 REJ393257:REJ393258 ROF393257:ROF393258 RYB393257:RYB393258 SHX393257:SHX393258 SRT393257:SRT393258 TBP393257:TBP393258 TLL393257:TLL393258 TVH393257:TVH393258 UFD393257:UFD393258 UOZ393257:UOZ393258 UYV393257:UYV393258 VIR393257:VIR393258 VSN393257:VSN393258 WCJ393257:WCJ393258 WMF393257:WMF393258 WWB393257:WWB393258 T458793:T458794 JP458793:JP458794 TL458793:TL458794 ADH458793:ADH458794 AND458793:AND458794 AWZ458793:AWZ458794 BGV458793:BGV458794 BQR458793:BQR458794 CAN458793:CAN458794 CKJ458793:CKJ458794 CUF458793:CUF458794 DEB458793:DEB458794 DNX458793:DNX458794 DXT458793:DXT458794 EHP458793:EHP458794 ERL458793:ERL458794 FBH458793:FBH458794 FLD458793:FLD458794 FUZ458793:FUZ458794 GEV458793:GEV458794 GOR458793:GOR458794 GYN458793:GYN458794 HIJ458793:HIJ458794 HSF458793:HSF458794 ICB458793:ICB458794 ILX458793:ILX458794 IVT458793:IVT458794 JFP458793:JFP458794 JPL458793:JPL458794 JZH458793:JZH458794 KJD458793:KJD458794 KSZ458793:KSZ458794 LCV458793:LCV458794 LMR458793:LMR458794 LWN458793:LWN458794 MGJ458793:MGJ458794 MQF458793:MQF458794 NAB458793:NAB458794 NJX458793:NJX458794 NTT458793:NTT458794 ODP458793:ODP458794 ONL458793:ONL458794 OXH458793:OXH458794 PHD458793:PHD458794 PQZ458793:PQZ458794 QAV458793:QAV458794 QKR458793:QKR458794 QUN458793:QUN458794 REJ458793:REJ458794 ROF458793:ROF458794 RYB458793:RYB458794 SHX458793:SHX458794 SRT458793:SRT458794 TBP458793:TBP458794 TLL458793:TLL458794 TVH458793:TVH458794 UFD458793:UFD458794 UOZ458793:UOZ458794 UYV458793:UYV458794 VIR458793:VIR458794 VSN458793:VSN458794 WCJ458793:WCJ458794 WMF458793:WMF458794 WWB458793:WWB458794 T524329:T524330 JP524329:JP524330 TL524329:TL524330 ADH524329:ADH524330 AND524329:AND524330 AWZ524329:AWZ524330 BGV524329:BGV524330 BQR524329:BQR524330 CAN524329:CAN524330 CKJ524329:CKJ524330 CUF524329:CUF524330 DEB524329:DEB524330 DNX524329:DNX524330 DXT524329:DXT524330 EHP524329:EHP524330 ERL524329:ERL524330 FBH524329:FBH524330 FLD524329:FLD524330 FUZ524329:FUZ524330 GEV524329:GEV524330 GOR524329:GOR524330 GYN524329:GYN524330 HIJ524329:HIJ524330 HSF524329:HSF524330 ICB524329:ICB524330 ILX524329:ILX524330 IVT524329:IVT524330 JFP524329:JFP524330 JPL524329:JPL524330 JZH524329:JZH524330 KJD524329:KJD524330 KSZ524329:KSZ524330 LCV524329:LCV524330 LMR524329:LMR524330 LWN524329:LWN524330 MGJ524329:MGJ524330 MQF524329:MQF524330 NAB524329:NAB524330 NJX524329:NJX524330 NTT524329:NTT524330 ODP524329:ODP524330 ONL524329:ONL524330 OXH524329:OXH524330 PHD524329:PHD524330 PQZ524329:PQZ524330 QAV524329:QAV524330 QKR524329:QKR524330 QUN524329:QUN524330 REJ524329:REJ524330 ROF524329:ROF524330 RYB524329:RYB524330 SHX524329:SHX524330 SRT524329:SRT524330 TBP524329:TBP524330 TLL524329:TLL524330 TVH524329:TVH524330 UFD524329:UFD524330 UOZ524329:UOZ524330 UYV524329:UYV524330 VIR524329:VIR524330 VSN524329:VSN524330 WCJ524329:WCJ524330 WMF524329:WMF524330 WWB524329:WWB524330 T589865:T589866 JP589865:JP589866 TL589865:TL589866 ADH589865:ADH589866 AND589865:AND589866 AWZ589865:AWZ589866 BGV589865:BGV589866 BQR589865:BQR589866 CAN589865:CAN589866 CKJ589865:CKJ589866 CUF589865:CUF589866 DEB589865:DEB589866 DNX589865:DNX589866 DXT589865:DXT589866 EHP589865:EHP589866 ERL589865:ERL589866 FBH589865:FBH589866 FLD589865:FLD589866 FUZ589865:FUZ589866 GEV589865:GEV589866 GOR589865:GOR589866 GYN589865:GYN589866 HIJ589865:HIJ589866 HSF589865:HSF589866 ICB589865:ICB589866 ILX589865:ILX589866 IVT589865:IVT589866 JFP589865:JFP589866 JPL589865:JPL589866 JZH589865:JZH589866 KJD589865:KJD589866 KSZ589865:KSZ589866 LCV589865:LCV589866 LMR589865:LMR589866 LWN589865:LWN589866 MGJ589865:MGJ589866 MQF589865:MQF589866 NAB589865:NAB589866 NJX589865:NJX589866 NTT589865:NTT589866 ODP589865:ODP589866 ONL589865:ONL589866 OXH589865:OXH589866 PHD589865:PHD589866 PQZ589865:PQZ589866 QAV589865:QAV589866 QKR589865:QKR589866 QUN589865:QUN589866 REJ589865:REJ589866 ROF589865:ROF589866 RYB589865:RYB589866 SHX589865:SHX589866 SRT589865:SRT589866 TBP589865:TBP589866 TLL589865:TLL589866 TVH589865:TVH589866 UFD589865:UFD589866 UOZ589865:UOZ589866 UYV589865:UYV589866 VIR589865:VIR589866 VSN589865:VSN589866 WCJ589865:WCJ589866 WMF589865:WMF589866 WWB589865:WWB589866 T655401:T655402 JP655401:JP655402 TL655401:TL655402 ADH655401:ADH655402 AND655401:AND655402 AWZ655401:AWZ655402 BGV655401:BGV655402 BQR655401:BQR655402 CAN655401:CAN655402 CKJ655401:CKJ655402 CUF655401:CUF655402 DEB655401:DEB655402 DNX655401:DNX655402 DXT655401:DXT655402 EHP655401:EHP655402 ERL655401:ERL655402 FBH655401:FBH655402 FLD655401:FLD655402 FUZ655401:FUZ655402 GEV655401:GEV655402 GOR655401:GOR655402 GYN655401:GYN655402 HIJ655401:HIJ655402 HSF655401:HSF655402 ICB655401:ICB655402 ILX655401:ILX655402 IVT655401:IVT655402 JFP655401:JFP655402 JPL655401:JPL655402 JZH655401:JZH655402 KJD655401:KJD655402 KSZ655401:KSZ655402 LCV655401:LCV655402 LMR655401:LMR655402 LWN655401:LWN655402 MGJ655401:MGJ655402 MQF655401:MQF655402 NAB655401:NAB655402 NJX655401:NJX655402 NTT655401:NTT655402 ODP655401:ODP655402 ONL655401:ONL655402 OXH655401:OXH655402 PHD655401:PHD655402 PQZ655401:PQZ655402 QAV655401:QAV655402 QKR655401:QKR655402 QUN655401:QUN655402 REJ655401:REJ655402 ROF655401:ROF655402 RYB655401:RYB655402 SHX655401:SHX655402 SRT655401:SRT655402 TBP655401:TBP655402 TLL655401:TLL655402 TVH655401:TVH655402 UFD655401:UFD655402 UOZ655401:UOZ655402 UYV655401:UYV655402 VIR655401:VIR655402 VSN655401:VSN655402 WCJ655401:WCJ655402 WMF655401:WMF655402 WWB655401:WWB655402 T720937:T720938 JP720937:JP720938 TL720937:TL720938 ADH720937:ADH720938 AND720937:AND720938 AWZ720937:AWZ720938 BGV720937:BGV720938 BQR720937:BQR720938 CAN720937:CAN720938 CKJ720937:CKJ720938 CUF720937:CUF720938 DEB720937:DEB720938 DNX720937:DNX720938 DXT720937:DXT720938 EHP720937:EHP720938 ERL720937:ERL720938 FBH720937:FBH720938 FLD720937:FLD720938 FUZ720937:FUZ720938 GEV720937:GEV720938 GOR720937:GOR720938 GYN720937:GYN720938 HIJ720937:HIJ720938 HSF720937:HSF720938 ICB720937:ICB720938 ILX720937:ILX720938 IVT720937:IVT720938 JFP720937:JFP720938 JPL720937:JPL720938 JZH720937:JZH720938 KJD720937:KJD720938 KSZ720937:KSZ720938 LCV720937:LCV720938 LMR720937:LMR720938 LWN720937:LWN720938 MGJ720937:MGJ720938 MQF720937:MQF720938 NAB720937:NAB720938 NJX720937:NJX720938 NTT720937:NTT720938 ODP720937:ODP720938 ONL720937:ONL720938 OXH720937:OXH720938 PHD720937:PHD720938 PQZ720937:PQZ720938 QAV720937:QAV720938 QKR720937:QKR720938 QUN720937:QUN720938 REJ720937:REJ720938 ROF720937:ROF720938 RYB720937:RYB720938 SHX720937:SHX720938 SRT720937:SRT720938 TBP720937:TBP720938 TLL720937:TLL720938 TVH720937:TVH720938 UFD720937:UFD720938 UOZ720937:UOZ720938 UYV720937:UYV720938 VIR720937:VIR720938 VSN720937:VSN720938 WCJ720937:WCJ720938 WMF720937:WMF720938 WWB720937:WWB720938 T786473:T786474 JP786473:JP786474 TL786473:TL786474 ADH786473:ADH786474 AND786473:AND786474 AWZ786473:AWZ786474 BGV786473:BGV786474 BQR786473:BQR786474 CAN786473:CAN786474 CKJ786473:CKJ786474 CUF786473:CUF786474 DEB786473:DEB786474 DNX786473:DNX786474 DXT786473:DXT786474 EHP786473:EHP786474 ERL786473:ERL786474 FBH786473:FBH786474 FLD786473:FLD786474 FUZ786473:FUZ786474 GEV786473:GEV786474 GOR786473:GOR786474 GYN786473:GYN786474 HIJ786473:HIJ786474 HSF786473:HSF786474 ICB786473:ICB786474 ILX786473:ILX786474 IVT786473:IVT786474 JFP786473:JFP786474 JPL786473:JPL786474 JZH786473:JZH786474 KJD786473:KJD786474 KSZ786473:KSZ786474 LCV786473:LCV786474 LMR786473:LMR786474 LWN786473:LWN786474 MGJ786473:MGJ786474 MQF786473:MQF786474 NAB786473:NAB786474 NJX786473:NJX786474 NTT786473:NTT786474 ODP786473:ODP786474 ONL786473:ONL786474 OXH786473:OXH786474 PHD786473:PHD786474 PQZ786473:PQZ786474 QAV786473:QAV786474 QKR786473:QKR786474 QUN786473:QUN786474 REJ786473:REJ786474 ROF786473:ROF786474 RYB786473:RYB786474 SHX786473:SHX786474 SRT786473:SRT786474 TBP786473:TBP786474 TLL786473:TLL786474 TVH786473:TVH786474 UFD786473:UFD786474 UOZ786473:UOZ786474 UYV786473:UYV786474 VIR786473:VIR786474 VSN786473:VSN786474 WCJ786473:WCJ786474 WMF786473:WMF786474 WWB786473:WWB786474 T852009:T852010 JP852009:JP852010 TL852009:TL852010 ADH852009:ADH852010 AND852009:AND852010 AWZ852009:AWZ852010 BGV852009:BGV852010 BQR852009:BQR852010 CAN852009:CAN852010 CKJ852009:CKJ852010 CUF852009:CUF852010 DEB852009:DEB852010 DNX852009:DNX852010 DXT852009:DXT852010 EHP852009:EHP852010 ERL852009:ERL852010 FBH852009:FBH852010 FLD852009:FLD852010 FUZ852009:FUZ852010 GEV852009:GEV852010 GOR852009:GOR852010 GYN852009:GYN852010 HIJ852009:HIJ852010 HSF852009:HSF852010 ICB852009:ICB852010 ILX852009:ILX852010 IVT852009:IVT852010 JFP852009:JFP852010 JPL852009:JPL852010 JZH852009:JZH852010 KJD852009:KJD852010 KSZ852009:KSZ852010 LCV852009:LCV852010 LMR852009:LMR852010 LWN852009:LWN852010 MGJ852009:MGJ852010 MQF852009:MQF852010 NAB852009:NAB852010 NJX852009:NJX852010 NTT852009:NTT852010 ODP852009:ODP852010 ONL852009:ONL852010 OXH852009:OXH852010 PHD852009:PHD852010 PQZ852009:PQZ852010 QAV852009:QAV852010 QKR852009:QKR852010 QUN852009:QUN852010 REJ852009:REJ852010 ROF852009:ROF852010 RYB852009:RYB852010 SHX852009:SHX852010 SRT852009:SRT852010 TBP852009:TBP852010 TLL852009:TLL852010 TVH852009:TVH852010 UFD852009:UFD852010 UOZ852009:UOZ852010 UYV852009:UYV852010 VIR852009:VIR852010 VSN852009:VSN852010 WCJ852009:WCJ852010 WMF852009:WMF852010 WWB852009:WWB852010 T917545:T917546 JP917545:JP917546 TL917545:TL917546 ADH917545:ADH917546 AND917545:AND917546 AWZ917545:AWZ917546 BGV917545:BGV917546 BQR917545:BQR917546 CAN917545:CAN917546 CKJ917545:CKJ917546 CUF917545:CUF917546 DEB917545:DEB917546 DNX917545:DNX917546 DXT917545:DXT917546 EHP917545:EHP917546 ERL917545:ERL917546 FBH917545:FBH917546 FLD917545:FLD917546 FUZ917545:FUZ917546 GEV917545:GEV917546 GOR917545:GOR917546 GYN917545:GYN917546 HIJ917545:HIJ917546 HSF917545:HSF917546 ICB917545:ICB917546 ILX917545:ILX917546 IVT917545:IVT917546 JFP917545:JFP917546 JPL917545:JPL917546 JZH917545:JZH917546 KJD917545:KJD917546 KSZ917545:KSZ917546 LCV917545:LCV917546 LMR917545:LMR917546 LWN917545:LWN917546 MGJ917545:MGJ917546 MQF917545:MQF917546 NAB917545:NAB917546 NJX917545:NJX917546 NTT917545:NTT917546 ODP917545:ODP917546 ONL917545:ONL917546 OXH917545:OXH917546 PHD917545:PHD917546 PQZ917545:PQZ917546 QAV917545:QAV917546 QKR917545:QKR917546 QUN917545:QUN917546 REJ917545:REJ917546 ROF917545:ROF917546 RYB917545:RYB917546 SHX917545:SHX917546 SRT917545:SRT917546 TBP917545:TBP917546 TLL917545:TLL917546 TVH917545:TVH917546 UFD917545:UFD917546 UOZ917545:UOZ917546 UYV917545:UYV917546 VIR917545:VIR917546 VSN917545:VSN917546 WCJ917545:WCJ917546 WMF917545:WMF917546 WWB917545:WWB917546 T983081:T983082 JP983081:JP983082 TL983081:TL983082 ADH983081:ADH983082 AND983081:AND983082 AWZ983081:AWZ983082 BGV983081:BGV983082 BQR983081:BQR983082 CAN983081:CAN983082 CKJ983081:CKJ983082 CUF983081:CUF983082 DEB983081:DEB983082 DNX983081:DNX983082 DXT983081:DXT983082 EHP983081:EHP983082 ERL983081:ERL983082 FBH983081:FBH983082 FLD983081:FLD983082 FUZ983081:FUZ983082 GEV983081:GEV983082 GOR983081:GOR983082 GYN983081:GYN983082 HIJ983081:HIJ983082 HSF983081:HSF983082 ICB983081:ICB983082 ILX983081:ILX983082 IVT983081:IVT983082 JFP983081:JFP983082 JPL983081:JPL983082 JZH983081:JZH983082 KJD983081:KJD983082 KSZ983081:KSZ983082 LCV983081:LCV983082 LMR983081:LMR983082 LWN983081:LWN983082 MGJ983081:MGJ983082 MQF983081:MQF983082 NAB983081:NAB983082 NJX983081:NJX983082 NTT983081:NTT983082 ODP983081:ODP983082 ONL983081:ONL983082 OXH983081:OXH983082 PHD983081:PHD983082 PQZ983081:PQZ983082 QAV983081:QAV983082 QKR983081:QKR983082 QUN983081:QUN983082 REJ983081:REJ983082 ROF983081:ROF983082 RYB983081:RYB983082 SHX983081:SHX983082 SRT983081:SRT983082 TBP983081:TBP983082 TLL983081:TLL983082 TVH983081:TVH983082 UFD983081:UFD983082 UOZ983081:UOZ983082 UYV983081:UYV983082 VIR983081:VIR983082 VSN983081:VSN983082 WCJ983081:WCJ983082 WMF983081:WMF983082 WWB983081:WWB983082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Y87"/>
  <sheetViews>
    <sheetView zoomScaleNormal="100" workbookViewId="0"/>
  </sheetViews>
  <sheetFormatPr defaultColWidth="9" defaultRowHeight="13.2"/>
  <cols>
    <col min="1" max="24" width="3.6640625" style="1209" customWidth="1"/>
    <col min="25" max="256" width="9" style="1209" customWidth="1"/>
    <col min="257" max="280" width="3.6640625" style="1209" customWidth="1"/>
    <col min="281" max="512" width="9" style="1209" customWidth="1"/>
    <col min="513" max="536" width="3.6640625" style="1209" customWidth="1"/>
    <col min="537" max="768" width="9" style="1209" customWidth="1"/>
    <col min="769" max="792" width="3.6640625" style="1209" customWidth="1"/>
    <col min="793" max="1024" width="9" style="1209" customWidth="1"/>
    <col min="1025" max="1048" width="3.6640625" style="1209" customWidth="1"/>
    <col min="1049" max="1280" width="9" style="1209" customWidth="1"/>
    <col min="1281" max="1304" width="3.6640625" style="1209" customWidth="1"/>
    <col min="1305" max="1536" width="9" style="1209" customWidth="1"/>
    <col min="1537" max="1560" width="3.6640625" style="1209" customWidth="1"/>
    <col min="1561" max="1792" width="9" style="1209" customWidth="1"/>
    <col min="1793" max="1816" width="3.6640625" style="1209" customWidth="1"/>
    <col min="1817" max="2048" width="9" style="1209" customWidth="1"/>
    <col min="2049" max="2072" width="3.6640625" style="1209" customWidth="1"/>
    <col min="2073" max="2304" width="9" style="1209" customWidth="1"/>
    <col min="2305" max="2328" width="3.6640625" style="1209" customWidth="1"/>
    <col min="2329" max="2560" width="9" style="1209" customWidth="1"/>
    <col min="2561" max="2584" width="3.6640625" style="1209" customWidth="1"/>
    <col min="2585" max="2816" width="9" style="1209" customWidth="1"/>
    <col min="2817" max="2840" width="3.6640625" style="1209" customWidth="1"/>
    <col min="2841" max="3072" width="9" style="1209" customWidth="1"/>
    <col min="3073" max="3096" width="3.6640625" style="1209" customWidth="1"/>
    <col min="3097" max="3328" width="9" style="1209" customWidth="1"/>
    <col min="3329" max="3352" width="3.6640625" style="1209" customWidth="1"/>
    <col min="3353" max="3584" width="9" style="1209" customWidth="1"/>
    <col min="3585" max="3608" width="3.6640625" style="1209" customWidth="1"/>
    <col min="3609" max="3840" width="9" style="1209" customWidth="1"/>
    <col min="3841" max="3864" width="3.6640625" style="1209" customWidth="1"/>
    <col min="3865" max="4096" width="9" style="1209" customWidth="1"/>
    <col min="4097" max="4120" width="3.6640625" style="1209" customWidth="1"/>
    <col min="4121" max="4352" width="9" style="1209" customWidth="1"/>
    <col min="4353" max="4376" width="3.6640625" style="1209" customWidth="1"/>
    <col min="4377" max="4608" width="9" style="1209" customWidth="1"/>
    <col min="4609" max="4632" width="3.6640625" style="1209" customWidth="1"/>
    <col min="4633" max="4864" width="9" style="1209" customWidth="1"/>
    <col min="4865" max="4888" width="3.6640625" style="1209" customWidth="1"/>
    <col min="4889" max="5120" width="9" style="1209" customWidth="1"/>
    <col min="5121" max="5144" width="3.6640625" style="1209" customWidth="1"/>
    <col min="5145" max="5376" width="9" style="1209" customWidth="1"/>
    <col min="5377" max="5400" width="3.6640625" style="1209" customWidth="1"/>
    <col min="5401" max="5632" width="9" style="1209" customWidth="1"/>
    <col min="5633" max="5656" width="3.6640625" style="1209" customWidth="1"/>
    <col min="5657" max="5888" width="9" style="1209" customWidth="1"/>
    <col min="5889" max="5912" width="3.6640625" style="1209" customWidth="1"/>
    <col min="5913" max="6144" width="9" style="1209" customWidth="1"/>
    <col min="6145" max="6168" width="3.6640625" style="1209" customWidth="1"/>
    <col min="6169" max="6400" width="9" style="1209" customWidth="1"/>
    <col min="6401" max="6424" width="3.6640625" style="1209" customWidth="1"/>
    <col min="6425" max="6656" width="9" style="1209" customWidth="1"/>
    <col min="6657" max="6680" width="3.6640625" style="1209" customWidth="1"/>
    <col min="6681" max="6912" width="9" style="1209" customWidth="1"/>
    <col min="6913" max="6936" width="3.6640625" style="1209" customWidth="1"/>
    <col min="6937" max="7168" width="9" style="1209" customWidth="1"/>
    <col min="7169" max="7192" width="3.6640625" style="1209" customWidth="1"/>
    <col min="7193" max="7424" width="9" style="1209" customWidth="1"/>
    <col min="7425" max="7448" width="3.6640625" style="1209" customWidth="1"/>
    <col min="7449" max="7680" width="9" style="1209" customWidth="1"/>
    <col min="7681" max="7704" width="3.6640625" style="1209" customWidth="1"/>
    <col min="7705" max="7936" width="9" style="1209" customWidth="1"/>
    <col min="7937" max="7960" width="3.6640625" style="1209" customWidth="1"/>
    <col min="7961" max="8192" width="9" style="1209" customWidth="1"/>
    <col min="8193" max="8216" width="3.6640625" style="1209" customWidth="1"/>
    <col min="8217" max="8448" width="9" style="1209" customWidth="1"/>
    <col min="8449" max="8472" width="3.6640625" style="1209" customWidth="1"/>
    <col min="8473" max="8704" width="9" style="1209" customWidth="1"/>
    <col min="8705" max="8728" width="3.6640625" style="1209" customWidth="1"/>
    <col min="8729" max="8960" width="9" style="1209" customWidth="1"/>
    <col min="8961" max="8984" width="3.6640625" style="1209" customWidth="1"/>
    <col min="8985" max="9216" width="9" style="1209" customWidth="1"/>
    <col min="9217" max="9240" width="3.6640625" style="1209" customWidth="1"/>
    <col min="9241" max="9472" width="9" style="1209" customWidth="1"/>
    <col min="9473" max="9496" width="3.6640625" style="1209" customWidth="1"/>
    <col min="9497" max="9728" width="9" style="1209" customWidth="1"/>
    <col min="9729" max="9752" width="3.6640625" style="1209" customWidth="1"/>
    <col min="9753" max="9984" width="9" style="1209" customWidth="1"/>
    <col min="9985" max="10008" width="3.6640625" style="1209" customWidth="1"/>
    <col min="10009" max="10240" width="9" style="1209" customWidth="1"/>
    <col min="10241" max="10264" width="3.6640625" style="1209" customWidth="1"/>
    <col min="10265" max="10496" width="9" style="1209" customWidth="1"/>
    <col min="10497" max="10520" width="3.6640625" style="1209" customWidth="1"/>
    <col min="10521" max="10752" width="9" style="1209" customWidth="1"/>
    <col min="10753" max="10776" width="3.6640625" style="1209" customWidth="1"/>
    <col min="10777" max="11008" width="9" style="1209" customWidth="1"/>
    <col min="11009" max="11032" width="3.6640625" style="1209" customWidth="1"/>
    <col min="11033" max="11264" width="9" style="1209" customWidth="1"/>
    <col min="11265" max="11288" width="3.6640625" style="1209" customWidth="1"/>
    <col min="11289" max="11520" width="9" style="1209" customWidth="1"/>
    <col min="11521" max="11544" width="3.6640625" style="1209" customWidth="1"/>
    <col min="11545" max="11776" width="9" style="1209" customWidth="1"/>
    <col min="11777" max="11800" width="3.6640625" style="1209" customWidth="1"/>
    <col min="11801" max="12032" width="9" style="1209" customWidth="1"/>
    <col min="12033" max="12056" width="3.6640625" style="1209" customWidth="1"/>
    <col min="12057" max="12288" width="9" style="1209" customWidth="1"/>
    <col min="12289" max="12312" width="3.6640625" style="1209" customWidth="1"/>
    <col min="12313" max="12544" width="9" style="1209" customWidth="1"/>
    <col min="12545" max="12568" width="3.6640625" style="1209" customWidth="1"/>
    <col min="12569" max="12800" width="9" style="1209" customWidth="1"/>
    <col min="12801" max="12824" width="3.6640625" style="1209" customWidth="1"/>
    <col min="12825" max="13056" width="9" style="1209" customWidth="1"/>
    <col min="13057" max="13080" width="3.6640625" style="1209" customWidth="1"/>
    <col min="13081" max="13312" width="9" style="1209" customWidth="1"/>
    <col min="13313" max="13336" width="3.6640625" style="1209" customWidth="1"/>
    <col min="13337" max="13568" width="9" style="1209" customWidth="1"/>
    <col min="13569" max="13592" width="3.6640625" style="1209" customWidth="1"/>
    <col min="13593" max="13824" width="9" style="1209" customWidth="1"/>
    <col min="13825" max="13848" width="3.6640625" style="1209" customWidth="1"/>
    <col min="13849" max="14080" width="9" style="1209" customWidth="1"/>
    <col min="14081" max="14104" width="3.6640625" style="1209" customWidth="1"/>
    <col min="14105" max="14336" width="9" style="1209" customWidth="1"/>
    <col min="14337" max="14360" width="3.6640625" style="1209" customWidth="1"/>
    <col min="14361" max="14592" width="9" style="1209" customWidth="1"/>
    <col min="14593" max="14616" width="3.6640625" style="1209" customWidth="1"/>
    <col min="14617" max="14848" width="9" style="1209" customWidth="1"/>
    <col min="14849" max="14872" width="3.6640625" style="1209" customWidth="1"/>
    <col min="14873" max="15104" width="9" style="1209" customWidth="1"/>
    <col min="15105" max="15128" width="3.6640625" style="1209" customWidth="1"/>
    <col min="15129" max="15360" width="9" style="1209" customWidth="1"/>
    <col min="15361" max="15384" width="3.6640625" style="1209" customWidth="1"/>
    <col min="15385" max="15616" width="9" style="1209" customWidth="1"/>
    <col min="15617" max="15640" width="3.6640625" style="1209" customWidth="1"/>
    <col min="15641" max="15872" width="9" style="1209" customWidth="1"/>
    <col min="15873" max="15896" width="3.6640625" style="1209" customWidth="1"/>
    <col min="15897" max="16128" width="9" style="1209" customWidth="1"/>
    <col min="16129" max="16152" width="3.6640625" style="1209" customWidth="1"/>
    <col min="16153" max="16384" width="9" style="1209" customWidth="1"/>
  </cols>
  <sheetData>
    <row r="1" spans="1:25" s="1127" customFormat="1" ht="15" customHeight="1">
      <c r="A1" s="1413" t="s">
        <v>3990</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114"/>
    </row>
    <row r="2" spans="1:25" s="1127" customFormat="1" ht="15" customHeight="1">
      <c r="A2" s="1127" t="s">
        <v>3991</v>
      </c>
    </row>
    <row r="3" spans="1:25" s="1127" customFormat="1" ht="20.100000000000001" customHeight="1">
      <c r="A3" s="1187" t="s">
        <v>3909</v>
      </c>
      <c r="B3" s="1187"/>
      <c r="C3" s="1187"/>
      <c r="D3" s="1187"/>
      <c r="E3" s="1187"/>
      <c r="F3" s="1187"/>
      <c r="G3" s="1187"/>
      <c r="H3" s="1210"/>
      <c r="I3" s="1188">
        <v>1</v>
      </c>
      <c r="J3" s="1187"/>
      <c r="K3" s="1187"/>
      <c r="L3" s="1187"/>
      <c r="M3" s="1187"/>
      <c r="N3" s="1187"/>
      <c r="O3" s="1187"/>
      <c r="P3" s="1187"/>
      <c r="Q3" s="1187"/>
      <c r="R3" s="1187"/>
      <c r="S3" s="1187"/>
      <c r="T3" s="1187"/>
      <c r="U3" s="1187"/>
      <c r="V3" s="1187"/>
      <c r="W3" s="1187"/>
      <c r="X3" s="1187"/>
    </row>
    <row r="4" spans="1:25" s="1127" customFormat="1" ht="20.100000000000001" customHeight="1">
      <c r="A4" s="1187" t="s">
        <v>3992</v>
      </c>
      <c r="B4" s="1187"/>
      <c r="C4" s="1187"/>
      <c r="D4" s="1187"/>
      <c r="E4" s="1187"/>
      <c r="F4" s="1187"/>
      <c r="G4" s="1187"/>
      <c r="H4" s="1187"/>
      <c r="I4" s="1211"/>
      <c r="J4" s="1187"/>
      <c r="K4" s="1187"/>
      <c r="L4" s="1187"/>
      <c r="M4" s="1187"/>
      <c r="N4" s="1187"/>
      <c r="O4" s="1187"/>
      <c r="P4" s="1187"/>
      <c r="Q4" s="1187"/>
      <c r="R4" s="1187"/>
      <c r="S4" s="1187"/>
      <c r="T4" s="1187"/>
      <c r="U4" s="1187"/>
      <c r="V4" s="1187"/>
      <c r="W4" s="1187"/>
    </row>
    <row r="5" spans="1:25" s="1127" customFormat="1" ht="20.100000000000001" customHeight="1">
      <c r="A5" s="1187" t="s">
        <v>3993</v>
      </c>
      <c r="B5" s="1187"/>
      <c r="C5" s="1187"/>
      <c r="D5" s="1187"/>
      <c r="E5" s="1187"/>
      <c r="F5" s="1187"/>
      <c r="G5" s="1187"/>
      <c r="H5" s="1187"/>
      <c r="I5" s="1419"/>
      <c r="J5" s="1420"/>
      <c r="K5" s="1187" t="s">
        <v>3994</v>
      </c>
      <c r="L5" s="1187"/>
      <c r="M5" s="1187"/>
      <c r="N5" s="1187"/>
      <c r="O5" s="1187"/>
      <c r="P5" s="1187"/>
      <c r="Q5" s="1187"/>
      <c r="R5" s="1187"/>
      <c r="S5" s="1187"/>
      <c r="T5" s="1187"/>
      <c r="U5" s="1187"/>
      <c r="V5" s="1187"/>
      <c r="W5" s="1187"/>
      <c r="X5" s="1187"/>
    </row>
    <row r="6" spans="1:25" s="1127" customFormat="1" ht="20.100000000000001" customHeight="1">
      <c r="A6" s="1187" t="s">
        <v>3995</v>
      </c>
      <c r="B6" s="1187"/>
      <c r="C6" s="1187"/>
      <c r="D6" s="1187"/>
      <c r="E6" s="1187"/>
      <c r="F6" s="1187"/>
      <c r="G6" s="1187"/>
      <c r="H6" s="1187"/>
      <c r="I6" s="1421"/>
      <c r="J6" s="1421"/>
      <c r="K6" s="1187" t="s">
        <v>3822</v>
      </c>
      <c r="L6" s="1187"/>
      <c r="M6" s="1187"/>
      <c r="N6" s="1187"/>
      <c r="O6" s="1187"/>
      <c r="P6" s="1187"/>
      <c r="Q6" s="1187"/>
      <c r="R6" s="1187"/>
      <c r="S6" s="1187"/>
      <c r="T6" s="1187"/>
      <c r="U6" s="1187"/>
      <c r="V6" s="1187"/>
      <c r="W6" s="1187"/>
      <c r="X6" s="1187"/>
    </row>
    <row r="7" spans="1:25" s="1127" customFormat="1" ht="20.100000000000001" customHeight="1">
      <c r="A7" s="1187" t="s">
        <v>3996</v>
      </c>
      <c r="B7" s="1187"/>
      <c r="C7" s="1187"/>
      <c r="D7" s="1187"/>
      <c r="E7" s="1187"/>
      <c r="F7" s="1187"/>
      <c r="G7" s="1187"/>
      <c r="H7" s="1187"/>
      <c r="I7" s="1421"/>
      <c r="J7" s="1421"/>
      <c r="K7" s="1187" t="s">
        <v>3822</v>
      </c>
      <c r="L7" s="1187"/>
      <c r="M7" s="1187"/>
      <c r="N7" s="1187"/>
      <c r="O7" s="1187"/>
      <c r="P7" s="1187"/>
      <c r="Q7" s="1187"/>
      <c r="R7" s="1187"/>
      <c r="S7" s="1187"/>
      <c r="T7" s="1187"/>
      <c r="U7" s="1187"/>
      <c r="V7" s="1187"/>
      <c r="W7" s="1187"/>
      <c r="X7" s="1187"/>
    </row>
    <row r="8" spans="1:25" s="1127" customFormat="1" ht="20.100000000000001" customHeight="1">
      <c r="A8" s="1127" t="s">
        <v>3997</v>
      </c>
    </row>
    <row r="9" spans="1:25" s="1127" customFormat="1" ht="20.100000000000001" customHeight="1">
      <c r="B9" s="1127" t="s">
        <v>3998</v>
      </c>
      <c r="I9" s="1422"/>
      <c r="J9" s="1422"/>
      <c r="K9" s="1127" t="s">
        <v>3822</v>
      </c>
    </row>
    <row r="10" spans="1:25" s="1127" customFormat="1" ht="20.100000000000001" customHeight="1">
      <c r="B10" s="1127" t="s">
        <v>3999</v>
      </c>
      <c r="Q10" s="1191" t="s">
        <v>40</v>
      </c>
      <c r="R10" s="1118" t="s">
        <v>3889</v>
      </c>
      <c r="T10" s="1191" t="s">
        <v>40</v>
      </c>
      <c r="U10" s="1118" t="s">
        <v>3890</v>
      </c>
    </row>
    <row r="11" spans="1:25" s="1127" customFormat="1" ht="20.100000000000001" customHeight="1">
      <c r="A11" s="1123" t="s">
        <v>4000</v>
      </c>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row>
    <row r="12" spans="1:25" s="1127" customFormat="1" ht="20.100000000000001" customHeight="1">
      <c r="D12" s="1118" t="s">
        <v>4001</v>
      </c>
      <c r="E12" s="1118"/>
      <c r="F12" s="1118"/>
      <c r="G12" s="1118"/>
      <c r="H12" s="1118" t="s">
        <v>3</v>
      </c>
      <c r="I12" s="1118" t="s">
        <v>4002</v>
      </c>
      <c r="J12" s="1118"/>
      <c r="K12" s="1118"/>
      <c r="L12" s="1118"/>
      <c r="M12" s="1118"/>
      <c r="N12" s="1118"/>
      <c r="O12" s="1118"/>
      <c r="P12" s="1118" t="s">
        <v>3799</v>
      </c>
      <c r="Q12" s="1118" t="s">
        <v>4003</v>
      </c>
      <c r="R12" s="1118"/>
      <c r="S12" s="1118"/>
      <c r="T12" s="1118"/>
      <c r="U12" s="1118"/>
      <c r="V12" s="1118" t="s">
        <v>3</v>
      </c>
    </row>
    <row r="13" spans="1:25" s="1127" customFormat="1" ht="20.100000000000001" customHeight="1">
      <c r="B13" s="1118" t="s">
        <v>4004</v>
      </c>
      <c r="D13" s="1118" t="s">
        <v>2</v>
      </c>
      <c r="E13" s="1402" t="s">
        <v>34</v>
      </c>
      <c r="F13" s="1402"/>
      <c r="G13" s="1185"/>
      <c r="H13" s="1118" t="s">
        <v>3</v>
      </c>
      <c r="I13" s="1118" t="s">
        <v>2</v>
      </c>
      <c r="J13" s="1417"/>
      <c r="K13" s="1417"/>
      <c r="L13" s="1417"/>
      <c r="M13" s="1417"/>
      <c r="N13" s="1417"/>
      <c r="O13" s="1417"/>
      <c r="P13" s="1118" t="s">
        <v>3</v>
      </c>
      <c r="Q13" s="1118" t="s">
        <v>2</v>
      </c>
      <c r="R13" s="1418"/>
      <c r="S13" s="1418"/>
      <c r="T13" s="1418"/>
      <c r="U13" s="1118" t="s">
        <v>24</v>
      </c>
      <c r="V13" s="1118" t="s">
        <v>3</v>
      </c>
    </row>
    <row r="14" spans="1:25" s="1127" customFormat="1" ht="20.100000000000001" customHeight="1">
      <c r="B14" s="1118" t="s">
        <v>4005</v>
      </c>
      <c r="D14" s="1118" t="s">
        <v>2</v>
      </c>
      <c r="E14" s="1402" t="s">
        <v>34</v>
      </c>
      <c r="F14" s="1402"/>
      <c r="G14" s="1212"/>
      <c r="H14" s="1118" t="s">
        <v>3</v>
      </c>
      <c r="I14" s="1118" t="s">
        <v>2</v>
      </c>
      <c r="J14" s="1417"/>
      <c r="K14" s="1417"/>
      <c r="L14" s="1417"/>
      <c r="M14" s="1417"/>
      <c r="N14" s="1417"/>
      <c r="O14" s="1417"/>
      <c r="P14" s="1118" t="s">
        <v>3</v>
      </c>
      <c r="Q14" s="1118" t="s">
        <v>2</v>
      </c>
      <c r="R14" s="1418"/>
      <c r="S14" s="1418"/>
      <c r="T14" s="1418"/>
      <c r="U14" s="1118" t="s">
        <v>24</v>
      </c>
      <c r="V14" s="1118" t="s">
        <v>3</v>
      </c>
    </row>
    <row r="15" spans="1:25" s="1127" customFormat="1" ht="20.100000000000001" customHeight="1">
      <c r="B15" s="1118" t="s">
        <v>4006</v>
      </c>
      <c r="D15" s="1118" t="s">
        <v>2</v>
      </c>
      <c r="E15" s="1402" t="s">
        <v>34</v>
      </c>
      <c r="F15" s="1402"/>
      <c r="H15" s="1118" t="s">
        <v>3</v>
      </c>
      <c r="I15" s="1118" t="s">
        <v>2</v>
      </c>
      <c r="J15" s="1417"/>
      <c r="K15" s="1417"/>
      <c r="L15" s="1417"/>
      <c r="M15" s="1417"/>
      <c r="N15" s="1417"/>
      <c r="O15" s="1417"/>
      <c r="P15" s="1118" t="s">
        <v>3</v>
      </c>
      <c r="Q15" s="1118" t="s">
        <v>2</v>
      </c>
      <c r="R15" s="1418"/>
      <c r="S15" s="1418"/>
      <c r="T15" s="1418"/>
      <c r="U15" s="1118" t="s">
        <v>24</v>
      </c>
      <c r="V15" s="1118" t="s">
        <v>3</v>
      </c>
    </row>
    <row r="16" spans="1:25" s="1127" customFormat="1" ht="20.100000000000001" customHeight="1">
      <c r="B16" s="1118" t="s">
        <v>4007</v>
      </c>
      <c r="D16" s="1118" t="s">
        <v>2</v>
      </c>
      <c r="E16" s="1402" t="s">
        <v>34</v>
      </c>
      <c r="F16" s="1402"/>
      <c r="G16" s="1212"/>
      <c r="H16" s="1118" t="s">
        <v>3</v>
      </c>
      <c r="I16" s="1118" t="s">
        <v>2</v>
      </c>
      <c r="J16" s="1417"/>
      <c r="K16" s="1417"/>
      <c r="L16" s="1417"/>
      <c r="M16" s="1417"/>
      <c r="N16" s="1417"/>
      <c r="O16" s="1417"/>
      <c r="P16" s="1118" t="s">
        <v>3</v>
      </c>
      <c r="Q16" s="1118" t="s">
        <v>2</v>
      </c>
      <c r="R16" s="1418"/>
      <c r="S16" s="1418"/>
      <c r="T16" s="1418"/>
      <c r="U16" s="1118" t="s">
        <v>24</v>
      </c>
      <c r="V16" s="1118" t="s">
        <v>3</v>
      </c>
    </row>
    <row r="17" spans="1:24" s="1127" customFormat="1" ht="20.100000000000001" customHeight="1">
      <c r="B17" s="1118" t="s">
        <v>4008</v>
      </c>
      <c r="D17" s="1118" t="s">
        <v>2</v>
      </c>
      <c r="E17" s="1402" t="s">
        <v>34</v>
      </c>
      <c r="F17" s="1402"/>
      <c r="H17" s="1118" t="s">
        <v>3</v>
      </c>
      <c r="I17" s="1118" t="s">
        <v>2</v>
      </c>
      <c r="J17" s="1417"/>
      <c r="K17" s="1417"/>
      <c r="L17" s="1417"/>
      <c r="M17" s="1417"/>
      <c r="N17" s="1417"/>
      <c r="O17" s="1417"/>
      <c r="P17" s="1118" t="s">
        <v>3</v>
      </c>
      <c r="Q17" s="1118" t="s">
        <v>2</v>
      </c>
      <c r="R17" s="1418"/>
      <c r="S17" s="1418"/>
      <c r="T17" s="1418"/>
      <c r="U17" s="1118" t="s">
        <v>24</v>
      </c>
      <c r="V17" s="1118" t="s">
        <v>3</v>
      </c>
    </row>
    <row r="18" spans="1:24" s="1127" customFormat="1" ht="20.100000000000001" customHeight="1">
      <c r="B18" s="1118" t="s">
        <v>4009</v>
      </c>
      <c r="D18" s="1118" t="s">
        <v>2</v>
      </c>
      <c r="E18" s="1402" t="s">
        <v>34</v>
      </c>
      <c r="F18" s="1402"/>
      <c r="G18" s="1212"/>
      <c r="H18" s="1118" t="s">
        <v>3</v>
      </c>
      <c r="I18" s="1118" t="s">
        <v>2</v>
      </c>
      <c r="J18" s="1417"/>
      <c r="K18" s="1417"/>
      <c r="L18" s="1417"/>
      <c r="M18" s="1417"/>
      <c r="N18" s="1417"/>
      <c r="O18" s="1417"/>
      <c r="P18" s="1118" t="s">
        <v>3</v>
      </c>
      <c r="Q18" s="1118" t="s">
        <v>2</v>
      </c>
      <c r="R18" s="1418"/>
      <c r="S18" s="1418"/>
      <c r="T18" s="1418"/>
      <c r="U18" s="1118" t="s">
        <v>24</v>
      </c>
      <c r="V18" s="1118" t="s">
        <v>3</v>
      </c>
    </row>
    <row r="19" spans="1:24" s="1127" customFormat="1" ht="20.100000000000001" customHeight="1">
      <c r="A19" s="1123" t="s">
        <v>4010</v>
      </c>
      <c r="B19" s="1126"/>
      <c r="C19" s="1126"/>
      <c r="D19" s="1126"/>
      <c r="E19" s="1126"/>
      <c r="F19" s="1126"/>
      <c r="G19" s="1386"/>
      <c r="H19" s="1387"/>
      <c r="I19" s="1387"/>
      <c r="J19" s="1387"/>
      <c r="K19" s="1387"/>
      <c r="L19" s="1387"/>
      <c r="M19" s="1387"/>
      <c r="N19" s="1387"/>
      <c r="O19" s="1387"/>
      <c r="P19" s="1387"/>
      <c r="Q19" s="1387"/>
      <c r="R19" s="1387"/>
      <c r="S19" s="1387"/>
      <c r="T19" s="1387"/>
      <c r="U19" s="1387"/>
      <c r="V19" s="1387"/>
      <c r="W19" s="1387"/>
      <c r="X19" s="1387"/>
    </row>
    <row r="20" spans="1:24" s="1127" customFormat="1" ht="20.100000000000001" customHeight="1">
      <c r="A20" s="1123" t="s">
        <v>3809</v>
      </c>
      <c r="B20" s="1126"/>
      <c r="C20" s="1126"/>
      <c r="D20" s="1126"/>
      <c r="E20" s="1126"/>
      <c r="F20" s="1126"/>
      <c r="G20" s="1126"/>
      <c r="H20" s="1126"/>
      <c r="I20" s="1126"/>
      <c r="J20" s="1126"/>
      <c r="K20" s="1126"/>
      <c r="L20" s="1126"/>
      <c r="M20" s="1126"/>
      <c r="N20" s="1126"/>
      <c r="O20" s="1126"/>
      <c r="P20" s="1126"/>
      <c r="Q20" s="1126"/>
      <c r="R20" s="1126"/>
      <c r="S20" s="1126"/>
      <c r="T20" s="1126"/>
      <c r="U20" s="1126"/>
      <c r="V20" s="1126"/>
      <c r="W20" s="1126"/>
      <c r="X20" s="1126"/>
    </row>
    <row r="21" spans="1:24" s="1127" customFormat="1" ht="20.100000000000001" customHeight="1">
      <c r="A21" s="1207"/>
      <c r="B21" s="1409"/>
      <c r="C21" s="1410"/>
      <c r="D21" s="1410"/>
      <c r="E21" s="1410"/>
      <c r="F21" s="1410"/>
      <c r="G21" s="1410"/>
      <c r="H21" s="1410"/>
      <c r="I21" s="1410"/>
      <c r="J21" s="1410"/>
      <c r="K21" s="1410"/>
      <c r="L21" s="1410"/>
      <c r="M21" s="1410"/>
      <c r="N21" s="1410"/>
      <c r="O21" s="1410"/>
      <c r="P21" s="1410"/>
      <c r="Q21" s="1410"/>
      <c r="R21" s="1410"/>
      <c r="S21" s="1410"/>
      <c r="T21" s="1410"/>
      <c r="U21" s="1410"/>
      <c r="V21" s="1410"/>
      <c r="W21" s="1410"/>
      <c r="X21" s="1410"/>
    </row>
    <row r="22" spans="1:24" s="1127" customFormat="1" ht="20.100000000000001" customHeight="1"/>
    <row r="23" spans="1:24" s="1127" customFormat="1" ht="20.100000000000001" customHeight="1"/>
    <row r="24" spans="1:24" s="1127" customFormat="1" ht="20.100000000000001" customHeight="1">
      <c r="A24" s="1186" t="s">
        <v>3909</v>
      </c>
      <c r="B24" s="1186"/>
      <c r="C24" s="1187"/>
      <c r="D24" s="1187"/>
      <c r="E24" s="1187"/>
      <c r="F24" s="1187"/>
      <c r="G24" s="1187"/>
      <c r="H24" s="1187"/>
      <c r="I24" s="1188">
        <v>1</v>
      </c>
      <c r="J24" s="1187"/>
      <c r="K24" s="1187"/>
      <c r="L24" s="1187"/>
      <c r="M24" s="1187"/>
      <c r="N24" s="1187"/>
      <c r="O24" s="1187"/>
      <c r="P24" s="1187"/>
      <c r="Q24" s="1187"/>
      <c r="R24" s="1187"/>
      <c r="S24" s="1187"/>
      <c r="T24" s="1187"/>
      <c r="U24" s="1187"/>
      <c r="V24" s="1187"/>
      <c r="W24" s="1187"/>
      <c r="X24" s="1187"/>
    </row>
    <row r="25" spans="1:24" s="1127" customFormat="1" ht="20.100000000000001" customHeight="1">
      <c r="A25" s="1186" t="s">
        <v>3992</v>
      </c>
      <c r="B25" s="1186"/>
      <c r="C25" s="1187"/>
      <c r="D25" s="1187"/>
      <c r="E25" s="1187"/>
      <c r="F25" s="1187"/>
      <c r="G25" s="1187"/>
      <c r="H25" s="1187"/>
      <c r="I25" s="1211"/>
      <c r="J25" s="1187"/>
      <c r="K25" s="1187"/>
      <c r="L25" s="1187"/>
      <c r="M25" s="1187"/>
      <c r="N25" s="1187"/>
      <c r="O25" s="1187"/>
      <c r="P25" s="1187"/>
      <c r="Q25" s="1187"/>
      <c r="R25" s="1187"/>
      <c r="S25" s="1187"/>
      <c r="T25" s="1187"/>
      <c r="U25" s="1187"/>
      <c r="V25" s="1187"/>
      <c r="W25" s="1187"/>
      <c r="X25" s="1187"/>
    </row>
    <row r="26" spans="1:24" s="1127" customFormat="1" ht="20.100000000000001" customHeight="1">
      <c r="A26" s="1186" t="s">
        <v>3993</v>
      </c>
      <c r="B26" s="1186"/>
      <c r="C26" s="1187"/>
      <c r="D26" s="1187"/>
      <c r="E26" s="1187"/>
      <c r="F26" s="1187"/>
      <c r="G26" s="1187"/>
      <c r="H26" s="1187"/>
      <c r="I26" s="1419"/>
      <c r="J26" s="1420"/>
      <c r="K26" s="1187" t="s">
        <v>3994</v>
      </c>
      <c r="L26" s="1187"/>
      <c r="M26" s="1187"/>
      <c r="N26" s="1187"/>
      <c r="O26" s="1187"/>
      <c r="P26" s="1187"/>
      <c r="Q26" s="1187"/>
      <c r="R26" s="1187"/>
      <c r="S26" s="1187"/>
      <c r="T26" s="1187"/>
      <c r="U26" s="1187"/>
      <c r="V26" s="1187"/>
      <c r="W26" s="1187"/>
      <c r="X26" s="1187"/>
    </row>
    <row r="27" spans="1:24" s="1127" customFormat="1" ht="20.100000000000001" customHeight="1">
      <c r="A27" s="1186" t="s">
        <v>3995</v>
      </c>
      <c r="B27" s="1186"/>
      <c r="C27" s="1187"/>
      <c r="D27" s="1187"/>
      <c r="E27" s="1187"/>
      <c r="F27" s="1187"/>
      <c r="G27" s="1187"/>
      <c r="H27" s="1187"/>
      <c r="I27" s="1421"/>
      <c r="J27" s="1421"/>
      <c r="K27" s="1187" t="s">
        <v>3822</v>
      </c>
      <c r="L27" s="1187"/>
      <c r="M27" s="1187"/>
      <c r="N27" s="1187"/>
      <c r="O27" s="1187"/>
      <c r="P27" s="1187"/>
      <c r="Q27" s="1187"/>
      <c r="R27" s="1187"/>
      <c r="S27" s="1187"/>
      <c r="T27" s="1187"/>
      <c r="U27" s="1187"/>
      <c r="V27" s="1187"/>
      <c r="W27" s="1187"/>
      <c r="X27" s="1187"/>
    </row>
    <row r="28" spans="1:24" s="1127" customFormat="1" ht="20.100000000000001" customHeight="1">
      <c r="A28" s="1186" t="s">
        <v>3996</v>
      </c>
      <c r="B28" s="1186"/>
      <c r="C28" s="1187"/>
      <c r="D28" s="1187"/>
      <c r="E28" s="1187"/>
      <c r="F28" s="1187"/>
      <c r="G28" s="1187"/>
      <c r="H28" s="1187"/>
      <c r="I28" s="1421"/>
      <c r="J28" s="1421"/>
      <c r="K28" s="1187" t="s">
        <v>3822</v>
      </c>
      <c r="L28" s="1187"/>
      <c r="M28" s="1187"/>
      <c r="N28" s="1187"/>
      <c r="O28" s="1187"/>
      <c r="P28" s="1187"/>
      <c r="Q28" s="1187"/>
      <c r="R28" s="1187"/>
      <c r="S28" s="1187"/>
      <c r="T28" s="1187"/>
      <c r="U28" s="1187"/>
      <c r="V28" s="1187"/>
      <c r="W28" s="1187"/>
      <c r="X28" s="1187"/>
    </row>
    <row r="29" spans="1:24" s="1127" customFormat="1" ht="20.100000000000001" customHeight="1">
      <c r="A29" s="1118" t="s">
        <v>3997</v>
      </c>
      <c r="B29" s="1118"/>
    </row>
    <row r="30" spans="1:24" s="1127" customFormat="1" ht="20.100000000000001" customHeight="1">
      <c r="A30" s="1118"/>
      <c r="B30" s="1118" t="s">
        <v>3998</v>
      </c>
      <c r="I30" s="1422"/>
      <c r="J30" s="1422"/>
      <c r="K30" s="1127" t="s">
        <v>3822</v>
      </c>
    </row>
    <row r="31" spans="1:24" s="1127" customFormat="1" ht="20.100000000000001" customHeight="1">
      <c r="A31" s="1118"/>
      <c r="B31" s="1118" t="s">
        <v>3999</v>
      </c>
      <c r="Q31" s="1191" t="s">
        <v>40</v>
      </c>
      <c r="R31" s="1118" t="s">
        <v>3889</v>
      </c>
      <c r="T31" s="1191" t="s">
        <v>40</v>
      </c>
      <c r="U31" s="1118" t="s">
        <v>3890</v>
      </c>
    </row>
    <row r="32" spans="1:24" s="1127" customFormat="1" ht="20.100000000000001" customHeight="1">
      <c r="A32" s="1123" t="s">
        <v>4000</v>
      </c>
      <c r="B32" s="1126"/>
      <c r="C32" s="1126"/>
      <c r="D32" s="1126"/>
      <c r="E32" s="1126"/>
      <c r="F32" s="1126"/>
      <c r="G32" s="1126"/>
      <c r="H32" s="1126"/>
      <c r="I32" s="1126"/>
      <c r="J32" s="1126"/>
      <c r="K32" s="1126"/>
      <c r="L32" s="1126"/>
      <c r="M32" s="1126"/>
      <c r="N32" s="1126"/>
      <c r="O32" s="1126"/>
      <c r="P32" s="1126"/>
      <c r="Q32" s="1126"/>
      <c r="R32" s="1126"/>
      <c r="S32" s="1126"/>
      <c r="T32" s="1126"/>
      <c r="U32" s="1126"/>
      <c r="V32" s="1126"/>
      <c r="W32" s="1126"/>
      <c r="X32" s="1126"/>
    </row>
    <row r="33" spans="1:24" s="1127" customFormat="1" ht="20.100000000000001" customHeight="1">
      <c r="D33" s="1118" t="s">
        <v>4001</v>
      </c>
      <c r="E33" s="1118"/>
      <c r="F33" s="1118"/>
      <c r="G33" s="1118"/>
      <c r="H33" s="1118" t="s">
        <v>3</v>
      </c>
      <c r="I33" s="1118" t="s">
        <v>4002</v>
      </c>
      <c r="J33" s="1118"/>
      <c r="K33" s="1118"/>
      <c r="L33" s="1118"/>
      <c r="M33" s="1118"/>
      <c r="N33" s="1118"/>
      <c r="O33" s="1118"/>
      <c r="P33" s="1118" t="s">
        <v>3799</v>
      </c>
      <c r="Q33" s="1118" t="s">
        <v>4003</v>
      </c>
      <c r="R33" s="1118"/>
      <c r="S33" s="1118"/>
      <c r="T33" s="1118"/>
      <c r="U33" s="1118"/>
      <c r="V33" s="1118" t="s">
        <v>3</v>
      </c>
    </row>
    <row r="34" spans="1:24" s="1127" customFormat="1" ht="20.100000000000001" customHeight="1">
      <c r="B34" s="1118" t="s">
        <v>4004</v>
      </c>
      <c r="C34" s="1118"/>
      <c r="D34" s="1118" t="s">
        <v>2</v>
      </c>
      <c r="E34" s="1402" t="s">
        <v>34</v>
      </c>
      <c r="F34" s="1402"/>
      <c r="G34" s="1185"/>
      <c r="H34" s="1118" t="s">
        <v>3</v>
      </c>
      <c r="I34" s="1118" t="s">
        <v>2</v>
      </c>
      <c r="J34" s="1417"/>
      <c r="K34" s="1417"/>
      <c r="L34" s="1417"/>
      <c r="M34" s="1417"/>
      <c r="N34" s="1417"/>
      <c r="O34" s="1417"/>
      <c r="P34" s="1118" t="s">
        <v>3</v>
      </c>
      <c r="Q34" s="1118" t="s">
        <v>2</v>
      </c>
      <c r="R34" s="1418"/>
      <c r="S34" s="1418"/>
      <c r="T34" s="1418"/>
      <c r="U34" s="1118" t="s">
        <v>24</v>
      </c>
      <c r="V34" s="1118" t="s">
        <v>3</v>
      </c>
    </row>
    <row r="35" spans="1:24" s="1127" customFormat="1" ht="20.100000000000001" customHeight="1">
      <c r="B35" s="1118" t="s">
        <v>4005</v>
      </c>
      <c r="C35" s="1118"/>
      <c r="D35" s="1118" t="s">
        <v>2</v>
      </c>
      <c r="E35" s="1402" t="s">
        <v>34</v>
      </c>
      <c r="F35" s="1402"/>
      <c r="G35" s="1212"/>
      <c r="H35" s="1118" t="s">
        <v>3</v>
      </c>
      <c r="I35" s="1118" t="s">
        <v>2</v>
      </c>
      <c r="J35" s="1417"/>
      <c r="K35" s="1417"/>
      <c r="L35" s="1417"/>
      <c r="M35" s="1417"/>
      <c r="N35" s="1417"/>
      <c r="O35" s="1417"/>
      <c r="P35" s="1118" t="s">
        <v>3</v>
      </c>
      <c r="Q35" s="1118" t="s">
        <v>2</v>
      </c>
      <c r="R35" s="1418"/>
      <c r="S35" s="1418"/>
      <c r="T35" s="1418"/>
      <c r="U35" s="1118" t="s">
        <v>24</v>
      </c>
      <c r="V35" s="1118" t="s">
        <v>3</v>
      </c>
    </row>
    <row r="36" spans="1:24" s="1127" customFormat="1" ht="20.100000000000001" customHeight="1">
      <c r="B36" s="1118" t="s">
        <v>4006</v>
      </c>
      <c r="C36" s="1118"/>
      <c r="D36" s="1118" t="s">
        <v>2</v>
      </c>
      <c r="E36" s="1402" t="s">
        <v>34</v>
      </c>
      <c r="F36" s="1402"/>
      <c r="H36" s="1118" t="s">
        <v>3</v>
      </c>
      <c r="I36" s="1118" t="s">
        <v>2</v>
      </c>
      <c r="J36" s="1417"/>
      <c r="K36" s="1417"/>
      <c r="L36" s="1417"/>
      <c r="M36" s="1417"/>
      <c r="N36" s="1417"/>
      <c r="O36" s="1417"/>
      <c r="P36" s="1118" t="s">
        <v>3</v>
      </c>
      <c r="Q36" s="1118" t="s">
        <v>2</v>
      </c>
      <c r="R36" s="1418"/>
      <c r="S36" s="1418"/>
      <c r="T36" s="1418"/>
      <c r="U36" s="1118" t="s">
        <v>24</v>
      </c>
      <c r="V36" s="1118" t="s">
        <v>3</v>
      </c>
    </row>
    <row r="37" spans="1:24" s="1127" customFormat="1" ht="20.100000000000001" customHeight="1">
      <c r="B37" s="1118" t="s">
        <v>4007</v>
      </c>
      <c r="C37" s="1118"/>
      <c r="D37" s="1118" t="s">
        <v>2</v>
      </c>
      <c r="E37" s="1402" t="s">
        <v>34</v>
      </c>
      <c r="F37" s="1402"/>
      <c r="G37" s="1212"/>
      <c r="H37" s="1118" t="s">
        <v>3</v>
      </c>
      <c r="I37" s="1118" t="s">
        <v>2</v>
      </c>
      <c r="J37" s="1417"/>
      <c r="K37" s="1417"/>
      <c r="L37" s="1417"/>
      <c r="M37" s="1417"/>
      <c r="N37" s="1417"/>
      <c r="O37" s="1417"/>
      <c r="P37" s="1118" t="s">
        <v>3</v>
      </c>
      <c r="Q37" s="1118" t="s">
        <v>2</v>
      </c>
      <c r="R37" s="1418"/>
      <c r="S37" s="1418"/>
      <c r="T37" s="1418"/>
      <c r="U37" s="1118" t="s">
        <v>24</v>
      </c>
      <c r="V37" s="1118" t="s">
        <v>3</v>
      </c>
    </row>
    <row r="38" spans="1:24" s="1127" customFormat="1" ht="20.100000000000001" customHeight="1">
      <c r="B38" s="1118" t="s">
        <v>4008</v>
      </c>
      <c r="C38" s="1118"/>
      <c r="D38" s="1118" t="s">
        <v>2</v>
      </c>
      <c r="E38" s="1402" t="s">
        <v>34</v>
      </c>
      <c r="F38" s="1402"/>
      <c r="H38" s="1118" t="s">
        <v>3</v>
      </c>
      <c r="I38" s="1118" t="s">
        <v>2</v>
      </c>
      <c r="J38" s="1417"/>
      <c r="K38" s="1417"/>
      <c r="L38" s="1417"/>
      <c r="M38" s="1417"/>
      <c r="N38" s="1417"/>
      <c r="O38" s="1417"/>
      <c r="P38" s="1118" t="s">
        <v>3</v>
      </c>
      <c r="Q38" s="1118" t="s">
        <v>2</v>
      </c>
      <c r="R38" s="1418"/>
      <c r="S38" s="1418"/>
      <c r="T38" s="1418"/>
      <c r="U38" s="1118" t="s">
        <v>24</v>
      </c>
      <c r="V38" s="1118" t="s">
        <v>3</v>
      </c>
    </row>
    <row r="39" spans="1:24" s="1127" customFormat="1" ht="20.100000000000001" customHeight="1">
      <c r="B39" s="1118" t="s">
        <v>4009</v>
      </c>
      <c r="C39" s="1118"/>
      <c r="D39" s="1118" t="s">
        <v>2</v>
      </c>
      <c r="E39" s="1402" t="s">
        <v>34</v>
      </c>
      <c r="F39" s="1402"/>
      <c r="G39" s="1212"/>
      <c r="H39" s="1118" t="s">
        <v>3</v>
      </c>
      <c r="I39" s="1118" t="s">
        <v>2</v>
      </c>
      <c r="J39" s="1417"/>
      <c r="K39" s="1417"/>
      <c r="L39" s="1417"/>
      <c r="M39" s="1417"/>
      <c r="N39" s="1417"/>
      <c r="O39" s="1417"/>
      <c r="P39" s="1118" t="s">
        <v>3</v>
      </c>
      <c r="Q39" s="1118" t="s">
        <v>2</v>
      </c>
      <c r="R39" s="1418"/>
      <c r="S39" s="1418"/>
      <c r="T39" s="1418"/>
      <c r="U39" s="1118" t="s">
        <v>24</v>
      </c>
      <c r="V39" s="1118" t="s">
        <v>3</v>
      </c>
    </row>
    <row r="40" spans="1:24" s="1127" customFormat="1" ht="20.100000000000001" customHeight="1">
      <c r="A40" s="1186" t="s">
        <v>4010</v>
      </c>
      <c r="B40" s="1187"/>
      <c r="C40" s="1187"/>
      <c r="D40" s="1187"/>
      <c r="E40" s="1187"/>
      <c r="F40" s="1187"/>
      <c r="G40" s="1386"/>
      <c r="H40" s="1387"/>
      <c r="I40" s="1387"/>
      <c r="J40" s="1387"/>
      <c r="K40" s="1387"/>
      <c r="L40" s="1387"/>
      <c r="M40" s="1387"/>
      <c r="N40" s="1387"/>
      <c r="O40" s="1387"/>
      <c r="P40" s="1387"/>
      <c r="Q40" s="1387"/>
      <c r="R40" s="1387"/>
      <c r="S40" s="1387"/>
      <c r="T40" s="1387"/>
      <c r="U40" s="1387"/>
      <c r="V40" s="1387"/>
      <c r="W40" s="1387"/>
      <c r="X40" s="1387"/>
    </row>
    <row r="41" spans="1:24" s="1127" customFormat="1" ht="20.100000000000001" customHeight="1">
      <c r="A41" s="1118" t="s">
        <v>3809</v>
      </c>
    </row>
    <row r="42" spans="1:24" s="1127" customFormat="1" ht="20.100000000000001" customHeight="1">
      <c r="A42" s="1207"/>
      <c r="B42" s="1409"/>
      <c r="C42" s="1410"/>
      <c r="D42" s="1410"/>
      <c r="E42" s="1410"/>
      <c r="F42" s="1410"/>
      <c r="G42" s="1410"/>
      <c r="H42" s="1410"/>
      <c r="I42" s="1410"/>
      <c r="J42" s="1410"/>
      <c r="K42" s="1410"/>
      <c r="L42" s="1410"/>
      <c r="M42" s="1410"/>
      <c r="N42" s="1410"/>
      <c r="O42" s="1410"/>
      <c r="P42" s="1410"/>
      <c r="Q42" s="1410"/>
      <c r="R42" s="1410"/>
      <c r="S42" s="1410"/>
      <c r="T42" s="1410"/>
      <c r="U42" s="1410"/>
      <c r="V42" s="1410"/>
      <c r="W42" s="1410"/>
      <c r="X42" s="1410"/>
    </row>
    <row r="43" spans="1:24" s="1127" customFormat="1" ht="15" customHeight="1">
      <c r="A43" s="1413"/>
      <c r="B43" s="1413"/>
      <c r="C43" s="1413"/>
      <c r="D43" s="1413"/>
      <c r="E43" s="1413"/>
      <c r="F43" s="1413"/>
      <c r="G43" s="1413"/>
      <c r="H43" s="1413"/>
      <c r="I43" s="1413"/>
      <c r="J43" s="1413"/>
      <c r="K43" s="1413"/>
      <c r="L43" s="1413"/>
      <c r="M43" s="1413"/>
      <c r="N43" s="1413"/>
      <c r="O43" s="1413"/>
      <c r="P43" s="1413"/>
      <c r="Q43" s="1413"/>
      <c r="R43" s="1413"/>
      <c r="S43" s="1413"/>
      <c r="T43" s="1413"/>
      <c r="U43" s="1413"/>
      <c r="V43" s="1413"/>
      <c r="W43" s="1413"/>
      <c r="X43" s="1413"/>
    </row>
    <row r="44" spans="1:24" s="1127" customFormat="1" ht="15" customHeight="1"/>
    <row r="45" spans="1:24" s="1127" customFormat="1" ht="20.100000000000001" customHeight="1">
      <c r="A45" s="1186" t="s">
        <v>3909</v>
      </c>
      <c r="B45" s="1186"/>
      <c r="C45" s="1187"/>
      <c r="D45" s="1187"/>
      <c r="E45" s="1187"/>
      <c r="F45" s="1187"/>
      <c r="G45" s="1187"/>
      <c r="H45" s="1210"/>
      <c r="I45" s="1188">
        <v>1</v>
      </c>
      <c r="J45" s="1187"/>
      <c r="K45" s="1187"/>
      <c r="L45" s="1187"/>
      <c r="M45" s="1187"/>
      <c r="N45" s="1187"/>
      <c r="O45" s="1187"/>
      <c r="P45" s="1187"/>
      <c r="Q45" s="1187"/>
      <c r="R45" s="1187"/>
      <c r="S45" s="1187"/>
      <c r="T45" s="1187"/>
      <c r="U45" s="1187"/>
      <c r="V45" s="1187"/>
      <c r="W45" s="1187"/>
      <c r="X45" s="1187"/>
    </row>
    <row r="46" spans="1:24" s="1127" customFormat="1" ht="20.100000000000001" customHeight="1">
      <c r="A46" s="1186" t="s">
        <v>3992</v>
      </c>
      <c r="B46" s="1186"/>
      <c r="C46" s="1187"/>
      <c r="D46" s="1187"/>
      <c r="E46" s="1187"/>
      <c r="F46" s="1187"/>
      <c r="G46" s="1187"/>
      <c r="H46" s="1187"/>
      <c r="I46" s="1211"/>
      <c r="J46" s="1187"/>
      <c r="K46" s="1187"/>
      <c r="L46" s="1187"/>
      <c r="M46" s="1187"/>
      <c r="N46" s="1187"/>
      <c r="O46" s="1187"/>
      <c r="P46" s="1187"/>
      <c r="Q46" s="1187"/>
      <c r="R46" s="1187"/>
      <c r="S46" s="1187"/>
      <c r="T46" s="1187"/>
      <c r="U46" s="1187"/>
      <c r="V46" s="1187"/>
      <c r="W46" s="1187"/>
    </row>
    <row r="47" spans="1:24" s="1127" customFormat="1" ht="20.100000000000001" customHeight="1">
      <c r="A47" s="1186" t="s">
        <v>3993</v>
      </c>
      <c r="B47" s="1186"/>
      <c r="C47" s="1187"/>
      <c r="D47" s="1187"/>
      <c r="E47" s="1187"/>
      <c r="F47" s="1187"/>
      <c r="G47" s="1187"/>
      <c r="H47" s="1187"/>
      <c r="I47" s="1419"/>
      <c r="J47" s="1420"/>
      <c r="K47" s="1187" t="s">
        <v>3994</v>
      </c>
      <c r="L47" s="1187"/>
      <c r="M47" s="1187"/>
      <c r="N47" s="1187"/>
      <c r="O47" s="1187"/>
      <c r="P47" s="1187"/>
      <c r="Q47" s="1187"/>
      <c r="R47" s="1187"/>
      <c r="S47" s="1187"/>
      <c r="T47" s="1187"/>
      <c r="U47" s="1187"/>
      <c r="V47" s="1187"/>
      <c r="W47" s="1187"/>
      <c r="X47" s="1187"/>
    </row>
    <row r="48" spans="1:24" s="1127" customFormat="1" ht="20.100000000000001" customHeight="1">
      <c r="A48" s="1186" t="s">
        <v>3995</v>
      </c>
      <c r="B48" s="1186"/>
      <c r="C48" s="1187"/>
      <c r="D48" s="1187"/>
      <c r="E48" s="1187"/>
      <c r="F48" s="1187"/>
      <c r="G48" s="1187"/>
      <c r="H48" s="1187"/>
      <c r="I48" s="1421"/>
      <c r="J48" s="1421"/>
      <c r="K48" s="1187" t="s">
        <v>3822</v>
      </c>
      <c r="L48" s="1187"/>
      <c r="M48" s="1187"/>
      <c r="N48" s="1187"/>
      <c r="O48" s="1187"/>
      <c r="P48" s="1187"/>
      <c r="Q48" s="1187"/>
      <c r="R48" s="1187"/>
      <c r="S48" s="1187"/>
      <c r="T48" s="1187"/>
      <c r="U48" s="1187"/>
      <c r="V48" s="1187"/>
      <c r="W48" s="1187"/>
      <c r="X48" s="1187"/>
    </row>
    <row r="49" spans="1:24" s="1127" customFormat="1" ht="20.100000000000001" customHeight="1">
      <c r="A49" s="1186" t="s">
        <v>3996</v>
      </c>
      <c r="B49" s="1186"/>
      <c r="C49" s="1187"/>
      <c r="D49" s="1187"/>
      <c r="E49" s="1187"/>
      <c r="F49" s="1187"/>
      <c r="G49" s="1187"/>
      <c r="H49" s="1187"/>
      <c r="I49" s="1421"/>
      <c r="J49" s="1421"/>
      <c r="K49" s="1187" t="s">
        <v>3822</v>
      </c>
      <c r="L49" s="1187"/>
      <c r="M49" s="1187"/>
      <c r="N49" s="1187"/>
      <c r="O49" s="1187"/>
      <c r="P49" s="1187"/>
      <c r="Q49" s="1187"/>
      <c r="R49" s="1187"/>
      <c r="S49" s="1187"/>
      <c r="T49" s="1187"/>
      <c r="U49" s="1187"/>
      <c r="V49" s="1187"/>
      <c r="W49" s="1187"/>
      <c r="X49" s="1187"/>
    </row>
    <row r="50" spans="1:24" s="1127" customFormat="1" ht="20.100000000000001" customHeight="1">
      <c r="A50" s="1118" t="s">
        <v>3997</v>
      </c>
      <c r="B50" s="1118"/>
    </row>
    <row r="51" spans="1:24" s="1127" customFormat="1" ht="20.100000000000001" customHeight="1">
      <c r="A51" s="1118"/>
      <c r="B51" s="1118" t="s">
        <v>3998</v>
      </c>
      <c r="I51" s="1422"/>
      <c r="J51" s="1422"/>
      <c r="K51" s="1127" t="s">
        <v>3822</v>
      </c>
    </row>
    <row r="52" spans="1:24" s="1127" customFormat="1" ht="20.100000000000001" customHeight="1">
      <c r="A52" s="1118"/>
      <c r="B52" s="1118" t="s">
        <v>3999</v>
      </c>
      <c r="Q52" s="1191" t="s">
        <v>40</v>
      </c>
      <c r="R52" s="1118" t="s">
        <v>3889</v>
      </c>
      <c r="T52" s="1191" t="s">
        <v>40</v>
      </c>
      <c r="U52" s="1118" t="s">
        <v>3890</v>
      </c>
    </row>
    <row r="53" spans="1:24" s="1127" customFormat="1" ht="20.100000000000001" customHeight="1">
      <c r="A53" s="1123" t="s">
        <v>4000</v>
      </c>
      <c r="B53" s="1123"/>
      <c r="C53" s="1123"/>
      <c r="D53" s="1123"/>
      <c r="E53" s="1123"/>
      <c r="F53" s="1123"/>
      <c r="G53" s="1123"/>
      <c r="H53" s="1123"/>
      <c r="I53" s="1123"/>
      <c r="J53" s="1123"/>
      <c r="K53" s="1123"/>
      <c r="L53" s="1123"/>
      <c r="M53" s="1123"/>
      <c r="N53" s="1123"/>
      <c r="O53" s="1123"/>
      <c r="P53" s="1123"/>
      <c r="Q53" s="1123"/>
      <c r="R53" s="1123"/>
      <c r="S53" s="1123"/>
      <c r="T53" s="1123"/>
      <c r="U53" s="1123"/>
      <c r="V53" s="1123"/>
      <c r="W53" s="1126"/>
      <c r="X53" s="1126"/>
    </row>
    <row r="54" spans="1:24" s="1127" customFormat="1" ht="20.100000000000001" customHeight="1">
      <c r="A54" s="1118"/>
      <c r="B54" s="1118"/>
      <c r="C54" s="1118"/>
      <c r="D54" s="1118" t="s">
        <v>4001</v>
      </c>
      <c r="E54" s="1118"/>
      <c r="F54" s="1118"/>
      <c r="G54" s="1118"/>
      <c r="H54" s="1118" t="s">
        <v>3</v>
      </c>
      <c r="I54" s="1118" t="s">
        <v>4002</v>
      </c>
      <c r="J54" s="1118"/>
      <c r="K54" s="1118"/>
      <c r="L54" s="1118"/>
      <c r="M54" s="1118"/>
      <c r="N54" s="1118"/>
      <c r="O54" s="1118"/>
      <c r="P54" s="1118" t="s">
        <v>3799</v>
      </c>
      <c r="Q54" s="1118" t="s">
        <v>4003</v>
      </c>
      <c r="R54" s="1118"/>
      <c r="S54" s="1118"/>
      <c r="T54" s="1118"/>
      <c r="U54" s="1118"/>
      <c r="V54" s="1118" t="s">
        <v>3</v>
      </c>
    </row>
    <row r="55" spans="1:24" s="1127" customFormat="1" ht="20.100000000000001" customHeight="1">
      <c r="B55" s="1118" t="s">
        <v>4004</v>
      </c>
      <c r="C55" s="1118"/>
      <c r="D55" s="1118" t="s">
        <v>2</v>
      </c>
      <c r="E55" s="1402" t="s">
        <v>34</v>
      </c>
      <c r="F55" s="1402"/>
      <c r="G55" s="1185"/>
      <c r="H55" s="1118" t="s">
        <v>3</v>
      </c>
      <c r="I55" s="1118" t="s">
        <v>2</v>
      </c>
      <c r="J55" s="1417"/>
      <c r="K55" s="1417"/>
      <c r="L55" s="1417"/>
      <c r="M55" s="1417"/>
      <c r="N55" s="1417"/>
      <c r="O55" s="1417"/>
      <c r="P55" s="1118" t="s">
        <v>3</v>
      </c>
      <c r="Q55" s="1118" t="s">
        <v>2</v>
      </c>
      <c r="R55" s="1418"/>
      <c r="S55" s="1418"/>
      <c r="T55" s="1418"/>
      <c r="U55" s="1118" t="s">
        <v>24</v>
      </c>
      <c r="V55" s="1118" t="s">
        <v>3</v>
      </c>
    </row>
    <row r="56" spans="1:24" s="1127" customFormat="1" ht="20.100000000000001" customHeight="1">
      <c r="B56" s="1118" t="s">
        <v>4005</v>
      </c>
      <c r="C56" s="1118"/>
      <c r="D56" s="1118" t="s">
        <v>2</v>
      </c>
      <c r="E56" s="1402" t="s">
        <v>34</v>
      </c>
      <c r="F56" s="1402"/>
      <c r="G56" s="1212"/>
      <c r="H56" s="1118" t="s">
        <v>3</v>
      </c>
      <c r="I56" s="1118" t="s">
        <v>2</v>
      </c>
      <c r="J56" s="1417"/>
      <c r="K56" s="1417"/>
      <c r="L56" s="1417"/>
      <c r="M56" s="1417"/>
      <c r="N56" s="1417"/>
      <c r="O56" s="1417"/>
      <c r="P56" s="1118" t="s">
        <v>3</v>
      </c>
      <c r="Q56" s="1118" t="s">
        <v>2</v>
      </c>
      <c r="R56" s="1418"/>
      <c r="S56" s="1418"/>
      <c r="T56" s="1418"/>
      <c r="U56" s="1118" t="s">
        <v>24</v>
      </c>
      <c r="V56" s="1118" t="s">
        <v>3</v>
      </c>
    </row>
    <row r="57" spans="1:24" s="1127" customFormat="1" ht="20.100000000000001" customHeight="1">
      <c r="B57" s="1118" t="s">
        <v>4006</v>
      </c>
      <c r="C57" s="1118"/>
      <c r="D57" s="1118" t="s">
        <v>2</v>
      </c>
      <c r="E57" s="1402" t="s">
        <v>34</v>
      </c>
      <c r="F57" s="1402"/>
      <c r="H57" s="1118" t="s">
        <v>3</v>
      </c>
      <c r="I57" s="1118" t="s">
        <v>2</v>
      </c>
      <c r="J57" s="1417"/>
      <c r="K57" s="1417"/>
      <c r="L57" s="1417"/>
      <c r="M57" s="1417"/>
      <c r="N57" s="1417"/>
      <c r="O57" s="1417"/>
      <c r="P57" s="1118" t="s">
        <v>3</v>
      </c>
      <c r="Q57" s="1118" t="s">
        <v>2</v>
      </c>
      <c r="R57" s="1418"/>
      <c r="S57" s="1418"/>
      <c r="T57" s="1418"/>
      <c r="U57" s="1118" t="s">
        <v>24</v>
      </c>
      <c r="V57" s="1118" t="s">
        <v>3</v>
      </c>
    </row>
    <row r="58" spans="1:24" s="1127" customFormat="1" ht="20.100000000000001" customHeight="1">
      <c r="B58" s="1118" t="s">
        <v>4007</v>
      </c>
      <c r="C58" s="1118"/>
      <c r="D58" s="1118" t="s">
        <v>2</v>
      </c>
      <c r="E58" s="1402" t="s">
        <v>34</v>
      </c>
      <c r="F58" s="1402"/>
      <c r="G58" s="1212"/>
      <c r="H58" s="1118" t="s">
        <v>3</v>
      </c>
      <c r="I58" s="1118" t="s">
        <v>2</v>
      </c>
      <c r="J58" s="1417"/>
      <c r="K58" s="1417"/>
      <c r="L58" s="1417"/>
      <c r="M58" s="1417"/>
      <c r="N58" s="1417"/>
      <c r="O58" s="1417"/>
      <c r="P58" s="1118" t="s">
        <v>3</v>
      </c>
      <c r="Q58" s="1118" t="s">
        <v>2</v>
      </c>
      <c r="R58" s="1418"/>
      <c r="S58" s="1418"/>
      <c r="T58" s="1418"/>
      <c r="U58" s="1118" t="s">
        <v>24</v>
      </c>
      <c r="V58" s="1118" t="s">
        <v>3</v>
      </c>
    </row>
    <row r="59" spans="1:24" s="1127" customFormat="1" ht="20.100000000000001" customHeight="1">
      <c r="B59" s="1118" t="s">
        <v>4008</v>
      </c>
      <c r="C59" s="1118"/>
      <c r="D59" s="1118" t="s">
        <v>2</v>
      </c>
      <c r="E59" s="1402" t="s">
        <v>34</v>
      </c>
      <c r="F59" s="1402"/>
      <c r="H59" s="1118" t="s">
        <v>3</v>
      </c>
      <c r="I59" s="1118" t="s">
        <v>2</v>
      </c>
      <c r="J59" s="1417"/>
      <c r="K59" s="1417"/>
      <c r="L59" s="1417"/>
      <c r="M59" s="1417"/>
      <c r="N59" s="1417"/>
      <c r="O59" s="1417"/>
      <c r="P59" s="1118" t="s">
        <v>3</v>
      </c>
      <c r="Q59" s="1118" t="s">
        <v>2</v>
      </c>
      <c r="R59" s="1418"/>
      <c r="S59" s="1418"/>
      <c r="T59" s="1418"/>
      <c r="U59" s="1118" t="s">
        <v>24</v>
      </c>
      <c r="V59" s="1118" t="s">
        <v>3</v>
      </c>
    </row>
    <row r="60" spans="1:24" s="1127" customFormat="1" ht="20.100000000000001" customHeight="1">
      <c r="B60" s="1118" t="s">
        <v>4009</v>
      </c>
      <c r="C60" s="1118"/>
      <c r="D60" s="1118" t="s">
        <v>2</v>
      </c>
      <c r="E60" s="1402" t="s">
        <v>34</v>
      </c>
      <c r="F60" s="1402"/>
      <c r="G60" s="1212"/>
      <c r="H60" s="1118" t="s">
        <v>3</v>
      </c>
      <c r="I60" s="1118" t="s">
        <v>2</v>
      </c>
      <c r="J60" s="1417"/>
      <c r="K60" s="1417"/>
      <c r="L60" s="1417"/>
      <c r="M60" s="1417"/>
      <c r="N60" s="1417"/>
      <c r="O60" s="1417"/>
      <c r="P60" s="1118" t="s">
        <v>3</v>
      </c>
      <c r="Q60" s="1118" t="s">
        <v>2</v>
      </c>
      <c r="R60" s="1418"/>
      <c r="S60" s="1418"/>
      <c r="T60" s="1418"/>
      <c r="U60" s="1118" t="s">
        <v>24</v>
      </c>
      <c r="V60" s="1118" t="s">
        <v>3</v>
      </c>
    </row>
    <row r="61" spans="1:24" s="1127" customFormat="1" ht="20.100000000000001" customHeight="1">
      <c r="A61" s="1123" t="s">
        <v>4010</v>
      </c>
      <c r="B61" s="1126"/>
      <c r="C61" s="1126"/>
      <c r="D61" s="1126"/>
      <c r="E61" s="1126"/>
      <c r="F61" s="1126"/>
      <c r="G61" s="1386"/>
      <c r="H61" s="1387"/>
      <c r="I61" s="1387"/>
      <c r="J61" s="1387"/>
      <c r="K61" s="1387"/>
      <c r="L61" s="1387"/>
      <c r="M61" s="1387"/>
      <c r="N61" s="1387"/>
      <c r="O61" s="1387"/>
      <c r="P61" s="1387"/>
      <c r="Q61" s="1387"/>
      <c r="R61" s="1387"/>
      <c r="S61" s="1387"/>
      <c r="T61" s="1387"/>
      <c r="U61" s="1387"/>
      <c r="V61" s="1387"/>
      <c r="W61" s="1387"/>
      <c r="X61" s="1387"/>
    </row>
    <row r="62" spans="1:24" s="1127" customFormat="1" ht="20.100000000000001" customHeight="1">
      <c r="A62" s="1123" t="s">
        <v>3809</v>
      </c>
      <c r="B62" s="1126"/>
      <c r="C62" s="1126"/>
      <c r="D62" s="1126"/>
      <c r="E62" s="1126"/>
      <c r="F62" s="1126"/>
      <c r="G62" s="1126"/>
      <c r="H62" s="1126"/>
      <c r="I62" s="1126"/>
      <c r="J62" s="1126"/>
      <c r="K62" s="1126"/>
      <c r="L62" s="1126"/>
      <c r="M62" s="1126"/>
      <c r="N62" s="1126"/>
      <c r="O62" s="1126"/>
      <c r="P62" s="1126"/>
      <c r="Q62" s="1126"/>
      <c r="R62" s="1126"/>
      <c r="S62" s="1126"/>
      <c r="T62" s="1126"/>
      <c r="U62" s="1126"/>
      <c r="V62" s="1126"/>
      <c r="W62" s="1126"/>
      <c r="X62" s="1126"/>
    </row>
    <row r="63" spans="1:24" s="1127" customFormat="1" ht="20.100000000000001" customHeight="1">
      <c r="A63" s="1207"/>
      <c r="B63" s="1409"/>
      <c r="C63" s="1410"/>
      <c r="D63" s="1410"/>
      <c r="E63" s="1410"/>
      <c r="F63" s="1410"/>
      <c r="G63" s="1410"/>
      <c r="H63" s="1410"/>
      <c r="I63" s="1410"/>
      <c r="J63" s="1410"/>
      <c r="K63" s="1410"/>
      <c r="L63" s="1410"/>
      <c r="M63" s="1410"/>
      <c r="N63" s="1410"/>
      <c r="O63" s="1410"/>
      <c r="P63" s="1410"/>
      <c r="Q63" s="1410"/>
      <c r="R63" s="1410"/>
      <c r="S63" s="1410"/>
      <c r="T63" s="1410"/>
      <c r="U63" s="1410"/>
      <c r="V63" s="1410"/>
      <c r="W63" s="1410"/>
      <c r="X63" s="1410"/>
    </row>
    <row r="64" spans="1:24" s="1127" customFormat="1" ht="20.100000000000001" customHeight="1"/>
    <row r="65" spans="1:24" s="1127" customFormat="1" ht="20.100000000000001" customHeight="1"/>
    <row r="66" spans="1:24" s="1127" customFormat="1" ht="20.100000000000001" customHeight="1">
      <c r="A66" s="1186" t="s">
        <v>3909</v>
      </c>
      <c r="B66" s="1186"/>
      <c r="C66" s="1187"/>
      <c r="D66" s="1187"/>
      <c r="E66" s="1187"/>
      <c r="F66" s="1187"/>
      <c r="G66" s="1187"/>
      <c r="H66" s="1187"/>
      <c r="I66" s="1188">
        <v>1</v>
      </c>
      <c r="J66" s="1187"/>
      <c r="K66" s="1187"/>
      <c r="L66" s="1187"/>
      <c r="M66" s="1187"/>
      <c r="N66" s="1187"/>
      <c r="O66" s="1187"/>
      <c r="P66" s="1187"/>
      <c r="Q66" s="1187"/>
      <c r="R66" s="1187"/>
      <c r="S66" s="1187"/>
      <c r="T66" s="1187"/>
      <c r="U66" s="1187"/>
      <c r="V66" s="1187"/>
      <c r="W66" s="1187"/>
      <c r="X66" s="1187"/>
    </row>
    <row r="67" spans="1:24" s="1127" customFormat="1" ht="20.100000000000001" customHeight="1">
      <c r="A67" s="1186" t="s">
        <v>3992</v>
      </c>
      <c r="B67" s="1186"/>
      <c r="C67" s="1187"/>
      <c r="D67" s="1187"/>
      <c r="E67" s="1187"/>
      <c r="F67" s="1187"/>
      <c r="G67" s="1187"/>
      <c r="H67" s="1187"/>
      <c r="I67" s="1211"/>
      <c r="J67" s="1187"/>
      <c r="K67" s="1187"/>
      <c r="L67" s="1187"/>
      <c r="M67" s="1187"/>
      <c r="N67" s="1187"/>
      <c r="O67" s="1187"/>
      <c r="P67" s="1187"/>
      <c r="Q67" s="1187"/>
      <c r="R67" s="1187"/>
      <c r="S67" s="1187"/>
      <c r="T67" s="1187"/>
      <c r="U67" s="1187"/>
      <c r="V67" s="1187"/>
      <c r="W67" s="1187"/>
      <c r="X67" s="1187"/>
    </row>
    <row r="68" spans="1:24" s="1127" customFormat="1" ht="20.100000000000001" customHeight="1">
      <c r="A68" s="1186" t="s">
        <v>3993</v>
      </c>
      <c r="B68" s="1186"/>
      <c r="C68" s="1187"/>
      <c r="D68" s="1187"/>
      <c r="E68" s="1187"/>
      <c r="F68" s="1187"/>
      <c r="G68" s="1187"/>
      <c r="H68" s="1187"/>
      <c r="I68" s="1419"/>
      <c r="J68" s="1420"/>
      <c r="K68" s="1187" t="s">
        <v>3994</v>
      </c>
      <c r="L68" s="1187"/>
      <c r="M68" s="1187"/>
      <c r="N68" s="1187"/>
      <c r="O68" s="1187"/>
      <c r="P68" s="1187"/>
      <c r="Q68" s="1187"/>
      <c r="R68" s="1187"/>
      <c r="S68" s="1187"/>
      <c r="T68" s="1187"/>
      <c r="U68" s="1187"/>
      <c r="V68" s="1187"/>
      <c r="W68" s="1187"/>
      <c r="X68" s="1187"/>
    </row>
    <row r="69" spans="1:24" s="1127" customFormat="1" ht="20.100000000000001" customHeight="1">
      <c r="A69" s="1186" t="s">
        <v>3995</v>
      </c>
      <c r="B69" s="1186"/>
      <c r="C69" s="1187"/>
      <c r="D69" s="1187"/>
      <c r="E69" s="1187"/>
      <c r="F69" s="1187"/>
      <c r="G69" s="1187"/>
      <c r="H69" s="1187"/>
      <c r="I69" s="1421"/>
      <c r="J69" s="1421"/>
      <c r="K69" s="1187" t="s">
        <v>3822</v>
      </c>
      <c r="L69" s="1187"/>
      <c r="M69" s="1187"/>
      <c r="N69" s="1187"/>
      <c r="O69" s="1187"/>
      <c r="P69" s="1187"/>
      <c r="Q69" s="1187"/>
      <c r="R69" s="1187"/>
      <c r="S69" s="1187"/>
      <c r="T69" s="1187"/>
      <c r="U69" s="1187"/>
      <c r="V69" s="1187"/>
      <c r="W69" s="1187"/>
      <c r="X69" s="1187"/>
    </row>
    <row r="70" spans="1:24" s="1127" customFormat="1" ht="20.100000000000001" customHeight="1">
      <c r="A70" s="1186" t="s">
        <v>3996</v>
      </c>
      <c r="B70" s="1186"/>
      <c r="C70" s="1187"/>
      <c r="D70" s="1187"/>
      <c r="E70" s="1187"/>
      <c r="F70" s="1187"/>
      <c r="G70" s="1187"/>
      <c r="H70" s="1187"/>
      <c r="I70" s="1421"/>
      <c r="J70" s="1421"/>
      <c r="K70" s="1187" t="s">
        <v>3822</v>
      </c>
      <c r="L70" s="1187"/>
      <c r="M70" s="1187"/>
      <c r="N70" s="1187"/>
      <c r="O70" s="1187"/>
      <c r="P70" s="1187"/>
      <c r="Q70" s="1187"/>
      <c r="R70" s="1187"/>
      <c r="S70" s="1187"/>
      <c r="T70" s="1187"/>
      <c r="U70" s="1187"/>
      <c r="V70" s="1187"/>
      <c r="W70" s="1187"/>
      <c r="X70" s="1187"/>
    </row>
    <row r="71" spans="1:24" s="1127" customFormat="1" ht="20.100000000000001" customHeight="1">
      <c r="A71" s="1118" t="s">
        <v>3997</v>
      </c>
      <c r="B71" s="1118"/>
    </row>
    <row r="72" spans="1:24" s="1127" customFormat="1" ht="20.100000000000001" customHeight="1">
      <c r="A72" s="1118"/>
      <c r="B72" s="1118" t="s">
        <v>3998</v>
      </c>
      <c r="I72" s="1422"/>
      <c r="J72" s="1422"/>
      <c r="K72" s="1127" t="s">
        <v>3822</v>
      </c>
    </row>
    <row r="73" spans="1:24" s="1127" customFormat="1" ht="20.100000000000001" customHeight="1">
      <c r="A73" s="1118"/>
      <c r="B73" s="1118" t="s">
        <v>3999</v>
      </c>
      <c r="Q73" s="1191" t="s">
        <v>40</v>
      </c>
      <c r="R73" s="1118" t="s">
        <v>3889</v>
      </c>
      <c r="T73" s="1191" t="s">
        <v>40</v>
      </c>
      <c r="U73" s="1118" t="s">
        <v>3890</v>
      </c>
    </row>
    <row r="74" spans="1:24" s="1127" customFormat="1" ht="20.100000000000001" customHeight="1">
      <c r="A74" s="1123" t="s">
        <v>4000</v>
      </c>
      <c r="B74" s="1123"/>
      <c r="C74" s="1123"/>
      <c r="D74" s="1123"/>
      <c r="E74" s="1123"/>
      <c r="F74" s="1123"/>
      <c r="G74" s="1123"/>
      <c r="H74" s="1123"/>
      <c r="I74" s="1123"/>
      <c r="J74" s="1123"/>
      <c r="K74" s="1123"/>
      <c r="L74" s="1123"/>
      <c r="M74" s="1123"/>
      <c r="N74" s="1123"/>
      <c r="O74" s="1123"/>
      <c r="P74" s="1123"/>
      <c r="Q74" s="1123"/>
      <c r="R74" s="1123"/>
      <c r="S74" s="1123"/>
      <c r="T74" s="1123"/>
      <c r="U74" s="1123"/>
      <c r="V74" s="1123"/>
      <c r="W74" s="1126"/>
      <c r="X74" s="1126"/>
    </row>
    <row r="75" spans="1:24" s="1127" customFormat="1" ht="20.100000000000001" customHeight="1">
      <c r="A75" s="1118"/>
      <c r="B75" s="1118"/>
      <c r="C75" s="1118"/>
      <c r="D75" s="1118" t="s">
        <v>4001</v>
      </c>
      <c r="E75" s="1118"/>
      <c r="F75" s="1118"/>
      <c r="G75" s="1118"/>
      <c r="H75" s="1118" t="s">
        <v>3</v>
      </c>
      <c r="I75" s="1118" t="s">
        <v>4002</v>
      </c>
      <c r="J75" s="1118"/>
      <c r="K75" s="1118"/>
      <c r="L75" s="1118"/>
      <c r="M75" s="1118"/>
      <c r="N75" s="1118"/>
      <c r="O75" s="1118"/>
      <c r="P75" s="1118" t="s">
        <v>3799</v>
      </c>
      <c r="Q75" s="1118" t="s">
        <v>4003</v>
      </c>
      <c r="R75" s="1118"/>
      <c r="S75" s="1118"/>
      <c r="T75" s="1118"/>
      <c r="U75" s="1118"/>
      <c r="V75" s="1118" t="s">
        <v>3</v>
      </c>
    </row>
    <row r="76" spans="1:24" s="1127" customFormat="1" ht="20.100000000000001" customHeight="1">
      <c r="B76" s="1127" t="s">
        <v>4004</v>
      </c>
      <c r="D76" s="1127" t="s">
        <v>2</v>
      </c>
      <c r="E76" s="1402" t="s">
        <v>34</v>
      </c>
      <c r="F76" s="1402"/>
      <c r="G76" s="1113"/>
      <c r="H76" s="1118" t="s">
        <v>3</v>
      </c>
      <c r="I76" s="1118" t="s">
        <v>2</v>
      </c>
      <c r="J76" s="1417"/>
      <c r="K76" s="1417"/>
      <c r="L76" s="1417"/>
      <c r="M76" s="1417"/>
      <c r="N76" s="1417"/>
      <c r="O76" s="1417"/>
      <c r="P76" s="1118" t="s">
        <v>3</v>
      </c>
      <c r="Q76" s="1118" t="s">
        <v>2</v>
      </c>
      <c r="R76" s="1418"/>
      <c r="S76" s="1418"/>
      <c r="T76" s="1418"/>
      <c r="U76" s="1118" t="s">
        <v>24</v>
      </c>
      <c r="V76" s="1118" t="s">
        <v>3</v>
      </c>
    </row>
    <row r="77" spans="1:24" s="1127" customFormat="1" ht="20.100000000000001" customHeight="1">
      <c r="B77" s="1127" t="s">
        <v>4005</v>
      </c>
      <c r="D77" s="1127" t="s">
        <v>2</v>
      </c>
      <c r="E77" s="1402" t="s">
        <v>34</v>
      </c>
      <c r="F77" s="1402"/>
      <c r="G77" s="1213"/>
      <c r="H77" s="1118" t="s">
        <v>3</v>
      </c>
      <c r="I77" s="1118" t="s">
        <v>2</v>
      </c>
      <c r="J77" s="1417"/>
      <c r="K77" s="1417"/>
      <c r="L77" s="1417"/>
      <c r="M77" s="1417"/>
      <c r="N77" s="1417"/>
      <c r="O77" s="1417"/>
      <c r="P77" s="1118" t="s">
        <v>3</v>
      </c>
      <c r="Q77" s="1118" t="s">
        <v>2</v>
      </c>
      <c r="R77" s="1418"/>
      <c r="S77" s="1418"/>
      <c r="T77" s="1418"/>
      <c r="U77" s="1118" t="s">
        <v>24</v>
      </c>
      <c r="V77" s="1118" t="s">
        <v>3</v>
      </c>
    </row>
    <row r="78" spans="1:24" s="1127" customFormat="1" ht="20.100000000000001" customHeight="1">
      <c r="B78" s="1127" t="s">
        <v>4006</v>
      </c>
      <c r="D78" s="1127" t="s">
        <v>2</v>
      </c>
      <c r="E78" s="1402" t="s">
        <v>34</v>
      </c>
      <c r="F78" s="1402"/>
      <c r="G78" s="1118"/>
      <c r="H78" s="1118" t="s">
        <v>3</v>
      </c>
      <c r="I78" s="1118" t="s">
        <v>2</v>
      </c>
      <c r="J78" s="1417"/>
      <c r="K78" s="1417"/>
      <c r="L78" s="1417"/>
      <c r="M78" s="1417"/>
      <c r="N78" s="1417"/>
      <c r="O78" s="1417"/>
      <c r="P78" s="1118" t="s">
        <v>3</v>
      </c>
      <c r="Q78" s="1118" t="s">
        <v>2</v>
      </c>
      <c r="R78" s="1418"/>
      <c r="S78" s="1418"/>
      <c r="T78" s="1418"/>
      <c r="U78" s="1118" t="s">
        <v>24</v>
      </c>
      <c r="V78" s="1118" t="s">
        <v>3</v>
      </c>
    </row>
    <row r="79" spans="1:24" s="1127" customFormat="1" ht="20.100000000000001" customHeight="1">
      <c r="B79" s="1127" t="s">
        <v>4007</v>
      </c>
      <c r="D79" s="1127" t="s">
        <v>2</v>
      </c>
      <c r="E79" s="1402" t="s">
        <v>34</v>
      </c>
      <c r="F79" s="1402"/>
      <c r="G79" s="1213"/>
      <c r="H79" s="1118" t="s">
        <v>3</v>
      </c>
      <c r="I79" s="1118" t="s">
        <v>2</v>
      </c>
      <c r="J79" s="1417"/>
      <c r="K79" s="1417"/>
      <c r="L79" s="1417"/>
      <c r="M79" s="1417"/>
      <c r="N79" s="1417"/>
      <c r="O79" s="1417"/>
      <c r="P79" s="1118" t="s">
        <v>3</v>
      </c>
      <c r="Q79" s="1118" t="s">
        <v>2</v>
      </c>
      <c r="R79" s="1418"/>
      <c r="S79" s="1418"/>
      <c r="T79" s="1418"/>
      <c r="U79" s="1118" t="s">
        <v>24</v>
      </c>
      <c r="V79" s="1118" t="s">
        <v>3</v>
      </c>
    </row>
    <row r="80" spans="1:24" s="1127" customFormat="1" ht="20.100000000000001" customHeight="1">
      <c r="B80" s="1127" t="s">
        <v>4008</v>
      </c>
      <c r="D80" s="1127" t="s">
        <v>2</v>
      </c>
      <c r="E80" s="1402" t="s">
        <v>34</v>
      </c>
      <c r="F80" s="1402"/>
      <c r="G80" s="1118"/>
      <c r="H80" s="1118" t="s">
        <v>3</v>
      </c>
      <c r="I80" s="1118" t="s">
        <v>2</v>
      </c>
      <c r="J80" s="1417"/>
      <c r="K80" s="1417"/>
      <c r="L80" s="1417"/>
      <c r="M80" s="1417"/>
      <c r="N80" s="1417"/>
      <c r="O80" s="1417"/>
      <c r="P80" s="1118" t="s">
        <v>3</v>
      </c>
      <c r="Q80" s="1118" t="s">
        <v>2</v>
      </c>
      <c r="R80" s="1418"/>
      <c r="S80" s="1418"/>
      <c r="T80" s="1418"/>
      <c r="U80" s="1118" t="s">
        <v>24</v>
      </c>
      <c r="V80" s="1118" t="s">
        <v>3</v>
      </c>
    </row>
    <row r="81" spans="1:25" s="1127" customFormat="1" ht="20.100000000000001" customHeight="1">
      <c r="B81" s="1127" t="s">
        <v>4009</v>
      </c>
      <c r="D81" s="1127" t="s">
        <v>2</v>
      </c>
      <c r="E81" s="1402" t="s">
        <v>34</v>
      </c>
      <c r="F81" s="1402"/>
      <c r="G81" s="1213"/>
      <c r="H81" s="1118" t="s">
        <v>3</v>
      </c>
      <c r="I81" s="1118" t="s">
        <v>2</v>
      </c>
      <c r="J81" s="1417"/>
      <c r="K81" s="1417"/>
      <c r="L81" s="1417"/>
      <c r="M81" s="1417"/>
      <c r="N81" s="1417"/>
      <c r="O81" s="1417"/>
      <c r="P81" s="1118" t="s">
        <v>3</v>
      </c>
      <c r="Q81" s="1118" t="s">
        <v>2</v>
      </c>
      <c r="R81" s="1418"/>
      <c r="S81" s="1418"/>
      <c r="T81" s="1418"/>
      <c r="U81" s="1118" t="s">
        <v>24</v>
      </c>
      <c r="V81" s="1118" t="s">
        <v>3</v>
      </c>
    </row>
    <row r="82" spans="1:25" s="1127" customFormat="1" ht="20.100000000000001" customHeight="1">
      <c r="A82" s="1186" t="s">
        <v>4010</v>
      </c>
      <c r="B82" s="1187"/>
      <c r="C82" s="1187"/>
      <c r="D82" s="1187"/>
      <c r="E82" s="1187"/>
      <c r="F82" s="1187"/>
      <c r="G82" s="1386"/>
      <c r="H82" s="1387"/>
      <c r="I82" s="1387"/>
      <c r="J82" s="1387"/>
      <c r="K82" s="1387"/>
      <c r="L82" s="1387"/>
      <c r="M82" s="1387"/>
      <c r="N82" s="1387"/>
      <c r="O82" s="1387"/>
      <c r="P82" s="1387"/>
      <c r="Q82" s="1387"/>
      <c r="R82" s="1387"/>
      <c r="S82" s="1387"/>
      <c r="T82" s="1387"/>
      <c r="U82" s="1387"/>
      <c r="V82" s="1387"/>
      <c r="W82" s="1387"/>
      <c r="X82" s="1387"/>
    </row>
    <row r="83" spans="1:25" s="1127" customFormat="1" ht="20.100000000000001" customHeight="1">
      <c r="A83" s="1118" t="s">
        <v>3809</v>
      </c>
    </row>
    <row r="84" spans="1:25" s="1127" customFormat="1" ht="20.100000000000001" customHeight="1">
      <c r="A84" s="1207"/>
      <c r="B84" s="1409"/>
      <c r="C84" s="1410"/>
      <c r="D84" s="1410"/>
      <c r="E84" s="1410"/>
      <c r="F84" s="1410"/>
      <c r="G84" s="1410"/>
      <c r="H84" s="1410"/>
      <c r="I84" s="1410"/>
      <c r="J84" s="1410"/>
      <c r="K84" s="1410"/>
      <c r="L84" s="1410"/>
      <c r="M84" s="1410"/>
      <c r="N84" s="1410"/>
      <c r="O84" s="1410"/>
      <c r="P84" s="1410"/>
      <c r="Q84" s="1410"/>
      <c r="R84" s="1410"/>
      <c r="S84" s="1410"/>
      <c r="T84" s="1410"/>
      <c r="U84" s="1410"/>
      <c r="V84" s="1410"/>
      <c r="W84" s="1410"/>
      <c r="X84" s="1410"/>
      <c r="Y84" s="1129" t="s">
        <v>3811</v>
      </c>
    </row>
    <row r="85" spans="1:25" s="1127" customFormat="1" ht="15" customHeight="1"/>
    <row r="86" spans="1:25" s="1127" customFormat="1" ht="15" customHeight="1"/>
    <row r="87" spans="1:25" s="1127" customFormat="1" ht="15" customHeight="1"/>
  </sheetData>
  <sheetProtection formatCells="0"/>
  <mergeCells count="98">
    <mergeCell ref="E13:F13"/>
    <mergeCell ref="J13:O13"/>
    <mergeCell ref="R13:T13"/>
    <mergeCell ref="A1:X1"/>
    <mergeCell ref="I5:J5"/>
    <mergeCell ref="I6:J6"/>
    <mergeCell ref="I7:J7"/>
    <mergeCell ref="I9:J9"/>
    <mergeCell ref="E14:F14"/>
    <mergeCell ref="J14:O14"/>
    <mergeCell ref="R14:T14"/>
    <mergeCell ref="E15:F15"/>
    <mergeCell ref="J15:O15"/>
    <mergeCell ref="R15:T15"/>
    <mergeCell ref="E16:F16"/>
    <mergeCell ref="J16:O16"/>
    <mergeCell ref="R16:T16"/>
    <mergeCell ref="E17:F17"/>
    <mergeCell ref="J17:O17"/>
    <mergeCell ref="R17:T17"/>
    <mergeCell ref="R34:T34"/>
    <mergeCell ref="E18:F18"/>
    <mergeCell ref="J18:O18"/>
    <mergeCell ref="R18:T18"/>
    <mergeCell ref="G19:X19"/>
    <mergeCell ref="B21:X21"/>
    <mergeCell ref="I26:J26"/>
    <mergeCell ref="I27:J27"/>
    <mergeCell ref="I28:J28"/>
    <mergeCell ref="I30:J30"/>
    <mergeCell ref="E34:F34"/>
    <mergeCell ref="J34:O34"/>
    <mergeCell ref="E35:F35"/>
    <mergeCell ref="J35:O35"/>
    <mergeCell ref="R35:T35"/>
    <mergeCell ref="E36:F36"/>
    <mergeCell ref="J36:O36"/>
    <mergeCell ref="R36:T36"/>
    <mergeCell ref="A43:X43"/>
    <mergeCell ref="E37:F37"/>
    <mergeCell ref="J37:O37"/>
    <mergeCell ref="R37:T37"/>
    <mergeCell ref="E38:F38"/>
    <mergeCell ref="J38:O38"/>
    <mergeCell ref="R38:T38"/>
    <mergeCell ref="E39:F39"/>
    <mergeCell ref="J39:O39"/>
    <mergeCell ref="R39:T39"/>
    <mergeCell ref="G40:X40"/>
    <mergeCell ref="B42:X42"/>
    <mergeCell ref="I47:J47"/>
    <mergeCell ref="I48:J48"/>
    <mergeCell ref="I49:J49"/>
    <mergeCell ref="I51:J51"/>
    <mergeCell ref="E55:F55"/>
    <mergeCell ref="J55:O55"/>
    <mergeCell ref="R55:T55"/>
    <mergeCell ref="E56:F56"/>
    <mergeCell ref="J56:O56"/>
    <mergeCell ref="R56:T56"/>
    <mergeCell ref="E57:F57"/>
    <mergeCell ref="J57:O57"/>
    <mergeCell ref="R57:T57"/>
    <mergeCell ref="E58:F58"/>
    <mergeCell ref="J58:O58"/>
    <mergeCell ref="R58:T58"/>
    <mergeCell ref="E59:F59"/>
    <mergeCell ref="J59:O59"/>
    <mergeCell ref="R59:T59"/>
    <mergeCell ref="R76:T76"/>
    <mergeCell ref="E60:F60"/>
    <mergeCell ref="J60:O60"/>
    <mergeCell ref="R60:T60"/>
    <mergeCell ref="G61:X61"/>
    <mergeCell ref="B63:X63"/>
    <mergeCell ref="I68:J68"/>
    <mergeCell ref="I69:J69"/>
    <mergeCell ref="I70:J70"/>
    <mergeCell ref="I72:J72"/>
    <mergeCell ref="E76:F76"/>
    <mergeCell ref="J76:O76"/>
    <mergeCell ref="E77:F77"/>
    <mergeCell ref="J77:O77"/>
    <mergeCell ref="R77:T77"/>
    <mergeCell ref="E78:F78"/>
    <mergeCell ref="J78:O78"/>
    <mergeCell ref="R78:T78"/>
    <mergeCell ref="E79:F79"/>
    <mergeCell ref="J79:O79"/>
    <mergeCell ref="R79:T79"/>
    <mergeCell ref="E80:F80"/>
    <mergeCell ref="J80:O80"/>
    <mergeCell ref="R80:T80"/>
    <mergeCell ref="E81:F81"/>
    <mergeCell ref="J81:O81"/>
    <mergeCell ref="R81:T81"/>
    <mergeCell ref="G82:X82"/>
    <mergeCell ref="B84:X84"/>
  </mergeCells>
  <phoneticPr fontId="122"/>
  <hyperlinks>
    <hyperlink ref="Y84" location="第五面!Y1" display="ページ上部へ" xr:uid="{00000000-0004-0000-0E00-000000000000}"/>
  </hyperlinks>
  <pageMargins left="0.70866141732283472" right="0.70866141732283472" top="0.59055118110236227" bottom="0.59055118110236227" header="0.31496062992125984" footer="0.31496062992125984"/>
  <pageSetup paperSize="9" fitToHeight="2"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B6808F-0FE9-4131-A73B-C9DDADAC6593}">
          <x14:formula1>
            <xm:f>しろくろ</xm:f>
          </x14:formula1>
          <xm:sqref>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Q65546 JM65546 TI65546 ADE65546 ANA65546 AWW65546 BGS65546 BQO65546 CAK65546 CKG65546 CUC65546 DDY65546 DNU65546 DXQ65546 EHM65546 ERI65546 FBE65546 FLA65546 FUW65546 GES65546 GOO65546 GYK65546 HIG65546 HSC65546 IBY65546 ILU65546 IVQ65546 JFM65546 JPI65546 JZE65546 KJA65546 KSW65546 LCS65546 LMO65546 LWK65546 MGG65546 MQC65546 MZY65546 NJU65546 NTQ65546 ODM65546 ONI65546 OXE65546 PHA65546 PQW65546 QAS65546 QKO65546 QUK65546 REG65546 ROC65546 RXY65546 SHU65546 SRQ65546 TBM65546 TLI65546 TVE65546 UFA65546 UOW65546 UYS65546 VIO65546 VSK65546 WCG65546 WMC65546 WVY65546 Q131082 JM131082 TI131082 ADE131082 ANA131082 AWW131082 BGS131082 BQO131082 CAK131082 CKG131082 CUC131082 DDY131082 DNU131082 DXQ131082 EHM131082 ERI131082 FBE131082 FLA131082 FUW131082 GES131082 GOO131082 GYK131082 HIG131082 HSC131082 IBY131082 ILU131082 IVQ131082 JFM131082 JPI131082 JZE131082 KJA131082 KSW131082 LCS131082 LMO131082 LWK131082 MGG131082 MQC131082 MZY131082 NJU131082 NTQ131082 ODM131082 ONI131082 OXE131082 PHA131082 PQW131082 QAS131082 QKO131082 QUK131082 REG131082 ROC131082 RXY131082 SHU131082 SRQ131082 TBM131082 TLI131082 TVE131082 UFA131082 UOW131082 UYS131082 VIO131082 VSK131082 WCG131082 WMC131082 WVY131082 Q196618 JM196618 TI196618 ADE196618 ANA196618 AWW196618 BGS196618 BQO196618 CAK196618 CKG196618 CUC196618 DDY196618 DNU196618 DXQ196618 EHM196618 ERI196618 FBE196618 FLA196618 FUW196618 GES196618 GOO196618 GYK196618 HIG196618 HSC196618 IBY196618 ILU196618 IVQ196618 JFM196618 JPI196618 JZE196618 KJA196618 KSW196618 LCS196618 LMO196618 LWK196618 MGG196618 MQC196618 MZY196618 NJU196618 NTQ196618 ODM196618 ONI196618 OXE196618 PHA196618 PQW196618 QAS196618 QKO196618 QUK196618 REG196618 ROC196618 RXY196618 SHU196618 SRQ196618 TBM196618 TLI196618 TVE196618 UFA196618 UOW196618 UYS196618 VIO196618 VSK196618 WCG196618 WMC196618 WVY196618 Q262154 JM262154 TI262154 ADE262154 ANA262154 AWW262154 BGS262154 BQO262154 CAK262154 CKG262154 CUC262154 DDY262154 DNU262154 DXQ262154 EHM262154 ERI262154 FBE262154 FLA262154 FUW262154 GES262154 GOO262154 GYK262154 HIG262154 HSC262154 IBY262154 ILU262154 IVQ262154 JFM262154 JPI262154 JZE262154 KJA262154 KSW262154 LCS262154 LMO262154 LWK262154 MGG262154 MQC262154 MZY262154 NJU262154 NTQ262154 ODM262154 ONI262154 OXE262154 PHA262154 PQW262154 QAS262154 QKO262154 QUK262154 REG262154 ROC262154 RXY262154 SHU262154 SRQ262154 TBM262154 TLI262154 TVE262154 UFA262154 UOW262154 UYS262154 VIO262154 VSK262154 WCG262154 WMC262154 WVY262154 Q327690 JM327690 TI327690 ADE327690 ANA327690 AWW327690 BGS327690 BQO327690 CAK327690 CKG327690 CUC327690 DDY327690 DNU327690 DXQ327690 EHM327690 ERI327690 FBE327690 FLA327690 FUW327690 GES327690 GOO327690 GYK327690 HIG327690 HSC327690 IBY327690 ILU327690 IVQ327690 JFM327690 JPI327690 JZE327690 KJA327690 KSW327690 LCS327690 LMO327690 LWK327690 MGG327690 MQC327690 MZY327690 NJU327690 NTQ327690 ODM327690 ONI327690 OXE327690 PHA327690 PQW327690 QAS327690 QKO327690 QUK327690 REG327690 ROC327690 RXY327690 SHU327690 SRQ327690 TBM327690 TLI327690 TVE327690 UFA327690 UOW327690 UYS327690 VIO327690 VSK327690 WCG327690 WMC327690 WVY327690 Q393226 JM393226 TI393226 ADE393226 ANA393226 AWW393226 BGS393226 BQO393226 CAK393226 CKG393226 CUC393226 DDY393226 DNU393226 DXQ393226 EHM393226 ERI393226 FBE393226 FLA393226 FUW393226 GES393226 GOO393226 GYK393226 HIG393226 HSC393226 IBY393226 ILU393226 IVQ393226 JFM393226 JPI393226 JZE393226 KJA393226 KSW393226 LCS393226 LMO393226 LWK393226 MGG393226 MQC393226 MZY393226 NJU393226 NTQ393226 ODM393226 ONI393226 OXE393226 PHA393226 PQW393226 QAS393226 QKO393226 QUK393226 REG393226 ROC393226 RXY393226 SHU393226 SRQ393226 TBM393226 TLI393226 TVE393226 UFA393226 UOW393226 UYS393226 VIO393226 VSK393226 WCG393226 WMC393226 WVY393226 Q458762 JM458762 TI458762 ADE458762 ANA458762 AWW458762 BGS458762 BQO458762 CAK458762 CKG458762 CUC458762 DDY458762 DNU458762 DXQ458762 EHM458762 ERI458762 FBE458762 FLA458762 FUW458762 GES458762 GOO458762 GYK458762 HIG458762 HSC458762 IBY458762 ILU458762 IVQ458762 JFM458762 JPI458762 JZE458762 KJA458762 KSW458762 LCS458762 LMO458762 LWK458762 MGG458762 MQC458762 MZY458762 NJU458762 NTQ458762 ODM458762 ONI458762 OXE458762 PHA458762 PQW458762 QAS458762 QKO458762 QUK458762 REG458762 ROC458762 RXY458762 SHU458762 SRQ458762 TBM458762 TLI458762 TVE458762 UFA458762 UOW458762 UYS458762 VIO458762 VSK458762 WCG458762 WMC458762 WVY458762 Q524298 JM524298 TI524298 ADE524298 ANA524298 AWW524298 BGS524298 BQO524298 CAK524298 CKG524298 CUC524298 DDY524298 DNU524298 DXQ524298 EHM524298 ERI524298 FBE524298 FLA524298 FUW524298 GES524298 GOO524298 GYK524298 HIG524298 HSC524298 IBY524298 ILU524298 IVQ524298 JFM524298 JPI524298 JZE524298 KJA524298 KSW524298 LCS524298 LMO524298 LWK524298 MGG524298 MQC524298 MZY524298 NJU524298 NTQ524298 ODM524298 ONI524298 OXE524298 PHA524298 PQW524298 QAS524298 QKO524298 QUK524298 REG524298 ROC524298 RXY524298 SHU524298 SRQ524298 TBM524298 TLI524298 TVE524298 UFA524298 UOW524298 UYS524298 VIO524298 VSK524298 WCG524298 WMC524298 WVY524298 Q589834 JM589834 TI589834 ADE589834 ANA589834 AWW589834 BGS589834 BQO589834 CAK589834 CKG589834 CUC589834 DDY589834 DNU589834 DXQ589834 EHM589834 ERI589834 FBE589834 FLA589834 FUW589834 GES589834 GOO589834 GYK589834 HIG589834 HSC589834 IBY589834 ILU589834 IVQ589834 JFM589834 JPI589834 JZE589834 KJA589834 KSW589834 LCS589834 LMO589834 LWK589834 MGG589834 MQC589834 MZY589834 NJU589834 NTQ589834 ODM589834 ONI589834 OXE589834 PHA589834 PQW589834 QAS589834 QKO589834 QUK589834 REG589834 ROC589834 RXY589834 SHU589834 SRQ589834 TBM589834 TLI589834 TVE589834 UFA589834 UOW589834 UYS589834 VIO589834 VSK589834 WCG589834 WMC589834 WVY589834 Q655370 JM655370 TI655370 ADE655370 ANA655370 AWW655370 BGS655370 BQO655370 CAK655370 CKG655370 CUC655370 DDY655370 DNU655370 DXQ655370 EHM655370 ERI655370 FBE655370 FLA655370 FUW655370 GES655370 GOO655370 GYK655370 HIG655370 HSC655370 IBY655370 ILU655370 IVQ655370 JFM655370 JPI655370 JZE655370 KJA655370 KSW655370 LCS655370 LMO655370 LWK655370 MGG655370 MQC655370 MZY655370 NJU655370 NTQ655370 ODM655370 ONI655370 OXE655370 PHA655370 PQW655370 QAS655370 QKO655370 QUK655370 REG655370 ROC655370 RXY655370 SHU655370 SRQ655370 TBM655370 TLI655370 TVE655370 UFA655370 UOW655370 UYS655370 VIO655370 VSK655370 WCG655370 WMC655370 WVY655370 Q720906 JM720906 TI720906 ADE720906 ANA720906 AWW720906 BGS720906 BQO720906 CAK720906 CKG720906 CUC720906 DDY720906 DNU720906 DXQ720906 EHM720906 ERI720906 FBE720906 FLA720906 FUW720906 GES720906 GOO720906 GYK720906 HIG720906 HSC720906 IBY720906 ILU720906 IVQ720906 JFM720906 JPI720906 JZE720906 KJA720906 KSW720906 LCS720906 LMO720906 LWK720906 MGG720906 MQC720906 MZY720906 NJU720906 NTQ720906 ODM720906 ONI720906 OXE720906 PHA720906 PQW720906 QAS720906 QKO720906 QUK720906 REG720906 ROC720906 RXY720906 SHU720906 SRQ720906 TBM720906 TLI720906 TVE720906 UFA720906 UOW720906 UYS720906 VIO720906 VSK720906 WCG720906 WMC720906 WVY720906 Q786442 JM786442 TI786442 ADE786442 ANA786442 AWW786442 BGS786442 BQO786442 CAK786442 CKG786442 CUC786442 DDY786442 DNU786442 DXQ786442 EHM786442 ERI786442 FBE786442 FLA786442 FUW786442 GES786442 GOO786442 GYK786442 HIG786442 HSC786442 IBY786442 ILU786442 IVQ786442 JFM786442 JPI786442 JZE786442 KJA786442 KSW786442 LCS786442 LMO786442 LWK786442 MGG786442 MQC786442 MZY786442 NJU786442 NTQ786442 ODM786442 ONI786442 OXE786442 PHA786442 PQW786442 QAS786442 QKO786442 QUK786442 REG786442 ROC786442 RXY786442 SHU786442 SRQ786442 TBM786442 TLI786442 TVE786442 UFA786442 UOW786442 UYS786442 VIO786442 VSK786442 WCG786442 WMC786442 WVY786442 Q851978 JM851978 TI851978 ADE851978 ANA851978 AWW851978 BGS851978 BQO851978 CAK851978 CKG851978 CUC851978 DDY851978 DNU851978 DXQ851978 EHM851978 ERI851978 FBE851978 FLA851978 FUW851978 GES851978 GOO851978 GYK851978 HIG851978 HSC851978 IBY851978 ILU851978 IVQ851978 JFM851978 JPI851978 JZE851978 KJA851978 KSW851978 LCS851978 LMO851978 LWK851978 MGG851978 MQC851978 MZY851978 NJU851978 NTQ851978 ODM851978 ONI851978 OXE851978 PHA851978 PQW851978 QAS851978 QKO851978 QUK851978 REG851978 ROC851978 RXY851978 SHU851978 SRQ851978 TBM851978 TLI851978 TVE851978 UFA851978 UOW851978 UYS851978 VIO851978 VSK851978 WCG851978 WMC851978 WVY851978 Q917514 JM917514 TI917514 ADE917514 ANA917514 AWW917514 BGS917514 BQO917514 CAK917514 CKG917514 CUC917514 DDY917514 DNU917514 DXQ917514 EHM917514 ERI917514 FBE917514 FLA917514 FUW917514 GES917514 GOO917514 GYK917514 HIG917514 HSC917514 IBY917514 ILU917514 IVQ917514 JFM917514 JPI917514 JZE917514 KJA917514 KSW917514 LCS917514 LMO917514 LWK917514 MGG917514 MQC917514 MZY917514 NJU917514 NTQ917514 ODM917514 ONI917514 OXE917514 PHA917514 PQW917514 QAS917514 QKO917514 QUK917514 REG917514 ROC917514 RXY917514 SHU917514 SRQ917514 TBM917514 TLI917514 TVE917514 UFA917514 UOW917514 UYS917514 VIO917514 VSK917514 WCG917514 WMC917514 WVY917514 Q983050 JM983050 TI983050 ADE983050 ANA983050 AWW983050 BGS983050 BQO983050 CAK983050 CKG983050 CUC983050 DDY983050 DNU983050 DXQ983050 EHM983050 ERI983050 FBE983050 FLA983050 FUW983050 GES983050 GOO983050 GYK983050 HIG983050 HSC983050 IBY983050 ILU983050 IVQ983050 JFM983050 JPI983050 JZE983050 KJA983050 KSW983050 LCS983050 LMO983050 LWK983050 MGG983050 MQC983050 MZY983050 NJU983050 NTQ983050 ODM983050 ONI983050 OXE983050 PHA983050 PQW983050 QAS983050 QKO983050 QUK983050 REG983050 ROC983050 RXY983050 SHU983050 SRQ983050 TBM983050 TLI983050 TVE983050 UFA983050 UOW983050 UYS983050 VIO983050 VSK983050 WCG983050 WMC983050 WVY983050 T10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Q31 JM31 TI31 ADE31 ANA31 AWW31 BGS31 BQO31 CAK31 CKG31 CUC31 DDY31 DNU31 DXQ31 EHM31 ERI31 FBE31 FLA31 FUW31 GES31 GOO31 GYK31 HIG31 HSC31 IBY31 ILU31 IVQ31 JFM31 JPI31 JZE31 KJA31 KSW31 LCS31 LMO31 LWK31 MGG31 MQC31 MZY31 NJU31 NTQ31 ODM31 ONI31 OXE31 PHA31 PQW31 QAS31 QKO31 QUK31 REG31 ROC31 RXY31 SHU31 SRQ31 TBM31 TLI31 TVE31 UFA31 UOW31 UYS31 VIO31 VSK31 WCG31 WMC31 WVY31 Q65567 JM65567 TI65567 ADE65567 ANA65567 AWW65567 BGS65567 BQO65567 CAK65567 CKG65567 CUC65567 DDY65567 DNU65567 DXQ65567 EHM65567 ERI65567 FBE65567 FLA65567 FUW65567 GES65567 GOO65567 GYK65567 HIG65567 HSC65567 IBY65567 ILU65567 IVQ65567 JFM65567 JPI65567 JZE65567 KJA65567 KSW65567 LCS65567 LMO65567 LWK65567 MGG65567 MQC65567 MZY65567 NJU65567 NTQ65567 ODM65567 ONI65567 OXE65567 PHA65567 PQW65567 QAS65567 QKO65567 QUK65567 REG65567 ROC65567 RXY65567 SHU65567 SRQ65567 TBM65567 TLI65567 TVE65567 UFA65567 UOW65567 UYS65567 VIO65567 VSK65567 WCG65567 WMC65567 WVY65567 Q131103 JM131103 TI131103 ADE131103 ANA131103 AWW131103 BGS131103 BQO131103 CAK131103 CKG131103 CUC131103 DDY131103 DNU131103 DXQ131103 EHM131103 ERI131103 FBE131103 FLA131103 FUW131103 GES131103 GOO131103 GYK131103 HIG131103 HSC131103 IBY131103 ILU131103 IVQ131103 JFM131103 JPI131103 JZE131103 KJA131103 KSW131103 LCS131103 LMO131103 LWK131103 MGG131103 MQC131103 MZY131103 NJU131103 NTQ131103 ODM131103 ONI131103 OXE131103 PHA131103 PQW131103 QAS131103 QKO131103 QUK131103 REG131103 ROC131103 RXY131103 SHU131103 SRQ131103 TBM131103 TLI131103 TVE131103 UFA131103 UOW131103 UYS131103 VIO131103 VSK131103 WCG131103 WMC131103 WVY131103 Q196639 JM196639 TI196639 ADE196639 ANA196639 AWW196639 BGS196639 BQO196639 CAK196639 CKG196639 CUC196639 DDY196639 DNU196639 DXQ196639 EHM196639 ERI196639 FBE196639 FLA196639 FUW196639 GES196639 GOO196639 GYK196639 HIG196639 HSC196639 IBY196639 ILU196639 IVQ196639 JFM196639 JPI196639 JZE196639 KJA196639 KSW196639 LCS196639 LMO196639 LWK196639 MGG196639 MQC196639 MZY196639 NJU196639 NTQ196639 ODM196639 ONI196639 OXE196639 PHA196639 PQW196639 QAS196639 QKO196639 QUK196639 REG196639 ROC196639 RXY196639 SHU196639 SRQ196639 TBM196639 TLI196639 TVE196639 UFA196639 UOW196639 UYS196639 VIO196639 VSK196639 WCG196639 WMC196639 WVY196639 Q262175 JM262175 TI262175 ADE262175 ANA262175 AWW262175 BGS262175 BQO262175 CAK262175 CKG262175 CUC262175 DDY262175 DNU262175 DXQ262175 EHM262175 ERI262175 FBE262175 FLA262175 FUW262175 GES262175 GOO262175 GYK262175 HIG262175 HSC262175 IBY262175 ILU262175 IVQ262175 JFM262175 JPI262175 JZE262175 KJA262175 KSW262175 LCS262175 LMO262175 LWK262175 MGG262175 MQC262175 MZY262175 NJU262175 NTQ262175 ODM262175 ONI262175 OXE262175 PHA262175 PQW262175 QAS262175 QKO262175 QUK262175 REG262175 ROC262175 RXY262175 SHU262175 SRQ262175 TBM262175 TLI262175 TVE262175 UFA262175 UOW262175 UYS262175 VIO262175 VSK262175 WCG262175 WMC262175 WVY262175 Q327711 JM327711 TI327711 ADE327711 ANA327711 AWW327711 BGS327711 BQO327711 CAK327711 CKG327711 CUC327711 DDY327711 DNU327711 DXQ327711 EHM327711 ERI327711 FBE327711 FLA327711 FUW327711 GES327711 GOO327711 GYK327711 HIG327711 HSC327711 IBY327711 ILU327711 IVQ327711 JFM327711 JPI327711 JZE327711 KJA327711 KSW327711 LCS327711 LMO327711 LWK327711 MGG327711 MQC327711 MZY327711 NJU327711 NTQ327711 ODM327711 ONI327711 OXE327711 PHA327711 PQW327711 QAS327711 QKO327711 QUK327711 REG327711 ROC327711 RXY327711 SHU327711 SRQ327711 TBM327711 TLI327711 TVE327711 UFA327711 UOW327711 UYS327711 VIO327711 VSK327711 WCG327711 WMC327711 WVY327711 Q393247 JM393247 TI393247 ADE393247 ANA393247 AWW393247 BGS393247 BQO393247 CAK393247 CKG393247 CUC393247 DDY393247 DNU393247 DXQ393247 EHM393247 ERI393247 FBE393247 FLA393247 FUW393247 GES393247 GOO393247 GYK393247 HIG393247 HSC393247 IBY393247 ILU393247 IVQ393247 JFM393247 JPI393247 JZE393247 KJA393247 KSW393247 LCS393247 LMO393247 LWK393247 MGG393247 MQC393247 MZY393247 NJU393247 NTQ393247 ODM393247 ONI393247 OXE393247 PHA393247 PQW393247 QAS393247 QKO393247 QUK393247 REG393247 ROC393247 RXY393247 SHU393247 SRQ393247 TBM393247 TLI393247 TVE393247 UFA393247 UOW393247 UYS393247 VIO393247 VSK393247 WCG393247 WMC393247 WVY393247 Q458783 JM458783 TI458783 ADE458783 ANA458783 AWW458783 BGS458783 BQO458783 CAK458783 CKG458783 CUC458783 DDY458783 DNU458783 DXQ458783 EHM458783 ERI458783 FBE458783 FLA458783 FUW458783 GES458783 GOO458783 GYK458783 HIG458783 HSC458783 IBY458783 ILU458783 IVQ458783 JFM458783 JPI458783 JZE458783 KJA458783 KSW458783 LCS458783 LMO458783 LWK458783 MGG458783 MQC458783 MZY458783 NJU458783 NTQ458783 ODM458783 ONI458783 OXE458783 PHA458783 PQW458783 QAS458783 QKO458783 QUK458783 REG458783 ROC458783 RXY458783 SHU458783 SRQ458783 TBM458783 TLI458783 TVE458783 UFA458783 UOW458783 UYS458783 VIO458783 VSK458783 WCG458783 WMC458783 WVY458783 Q524319 JM524319 TI524319 ADE524319 ANA524319 AWW524319 BGS524319 BQO524319 CAK524319 CKG524319 CUC524319 DDY524319 DNU524319 DXQ524319 EHM524319 ERI524319 FBE524319 FLA524319 FUW524319 GES524319 GOO524319 GYK524319 HIG524319 HSC524319 IBY524319 ILU524319 IVQ524319 JFM524319 JPI524319 JZE524319 KJA524319 KSW524319 LCS524319 LMO524319 LWK524319 MGG524319 MQC524319 MZY524319 NJU524319 NTQ524319 ODM524319 ONI524319 OXE524319 PHA524319 PQW524319 QAS524319 QKO524319 QUK524319 REG524319 ROC524319 RXY524319 SHU524319 SRQ524319 TBM524319 TLI524319 TVE524319 UFA524319 UOW524319 UYS524319 VIO524319 VSK524319 WCG524319 WMC524319 WVY524319 Q589855 JM589855 TI589855 ADE589855 ANA589855 AWW589855 BGS589855 BQO589855 CAK589855 CKG589855 CUC589855 DDY589855 DNU589855 DXQ589855 EHM589855 ERI589855 FBE589855 FLA589855 FUW589855 GES589855 GOO589855 GYK589855 HIG589855 HSC589855 IBY589855 ILU589855 IVQ589855 JFM589855 JPI589855 JZE589855 KJA589855 KSW589855 LCS589855 LMO589855 LWK589855 MGG589855 MQC589855 MZY589855 NJU589855 NTQ589855 ODM589855 ONI589855 OXE589855 PHA589855 PQW589855 QAS589855 QKO589855 QUK589855 REG589855 ROC589855 RXY589855 SHU589855 SRQ589855 TBM589855 TLI589855 TVE589855 UFA589855 UOW589855 UYS589855 VIO589855 VSK589855 WCG589855 WMC589855 WVY589855 Q655391 JM655391 TI655391 ADE655391 ANA655391 AWW655391 BGS655391 BQO655391 CAK655391 CKG655391 CUC655391 DDY655391 DNU655391 DXQ655391 EHM655391 ERI655391 FBE655391 FLA655391 FUW655391 GES655391 GOO655391 GYK655391 HIG655391 HSC655391 IBY655391 ILU655391 IVQ655391 JFM655391 JPI655391 JZE655391 KJA655391 KSW655391 LCS655391 LMO655391 LWK655391 MGG655391 MQC655391 MZY655391 NJU655391 NTQ655391 ODM655391 ONI655391 OXE655391 PHA655391 PQW655391 QAS655391 QKO655391 QUK655391 REG655391 ROC655391 RXY655391 SHU655391 SRQ655391 TBM655391 TLI655391 TVE655391 UFA655391 UOW655391 UYS655391 VIO655391 VSK655391 WCG655391 WMC655391 WVY655391 Q720927 JM720927 TI720927 ADE720927 ANA720927 AWW720927 BGS720927 BQO720927 CAK720927 CKG720927 CUC720927 DDY720927 DNU720927 DXQ720927 EHM720927 ERI720927 FBE720927 FLA720927 FUW720927 GES720927 GOO720927 GYK720927 HIG720927 HSC720927 IBY720927 ILU720927 IVQ720927 JFM720927 JPI720927 JZE720927 KJA720927 KSW720927 LCS720927 LMO720927 LWK720927 MGG720927 MQC720927 MZY720927 NJU720927 NTQ720927 ODM720927 ONI720927 OXE720927 PHA720927 PQW720927 QAS720927 QKO720927 QUK720927 REG720927 ROC720927 RXY720927 SHU720927 SRQ720927 TBM720927 TLI720927 TVE720927 UFA720927 UOW720927 UYS720927 VIO720927 VSK720927 WCG720927 WMC720927 WVY720927 Q786463 JM786463 TI786463 ADE786463 ANA786463 AWW786463 BGS786463 BQO786463 CAK786463 CKG786463 CUC786463 DDY786463 DNU786463 DXQ786463 EHM786463 ERI786463 FBE786463 FLA786463 FUW786463 GES786463 GOO786463 GYK786463 HIG786463 HSC786463 IBY786463 ILU786463 IVQ786463 JFM786463 JPI786463 JZE786463 KJA786463 KSW786463 LCS786463 LMO786463 LWK786463 MGG786463 MQC786463 MZY786463 NJU786463 NTQ786463 ODM786463 ONI786463 OXE786463 PHA786463 PQW786463 QAS786463 QKO786463 QUK786463 REG786463 ROC786463 RXY786463 SHU786463 SRQ786463 TBM786463 TLI786463 TVE786463 UFA786463 UOW786463 UYS786463 VIO786463 VSK786463 WCG786463 WMC786463 WVY786463 Q851999 JM851999 TI851999 ADE851999 ANA851999 AWW851999 BGS851999 BQO851999 CAK851999 CKG851999 CUC851999 DDY851999 DNU851999 DXQ851999 EHM851999 ERI851999 FBE851999 FLA851999 FUW851999 GES851999 GOO851999 GYK851999 HIG851999 HSC851999 IBY851999 ILU851999 IVQ851999 JFM851999 JPI851999 JZE851999 KJA851999 KSW851999 LCS851999 LMO851999 LWK851999 MGG851999 MQC851999 MZY851999 NJU851999 NTQ851999 ODM851999 ONI851999 OXE851999 PHA851999 PQW851999 QAS851999 QKO851999 QUK851999 REG851999 ROC851999 RXY851999 SHU851999 SRQ851999 TBM851999 TLI851999 TVE851999 UFA851999 UOW851999 UYS851999 VIO851999 VSK851999 WCG851999 WMC851999 WVY851999 Q917535 JM917535 TI917535 ADE917535 ANA917535 AWW917535 BGS917535 BQO917535 CAK917535 CKG917535 CUC917535 DDY917535 DNU917535 DXQ917535 EHM917535 ERI917535 FBE917535 FLA917535 FUW917535 GES917535 GOO917535 GYK917535 HIG917535 HSC917535 IBY917535 ILU917535 IVQ917535 JFM917535 JPI917535 JZE917535 KJA917535 KSW917535 LCS917535 LMO917535 LWK917535 MGG917535 MQC917535 MZY917535 NJU917535 NTQ917535 ODM917535 ONI917535 OXE917535 PHA917535 PQW917535 QAS917535 QKO917535 QUK917535 REG917535 ROC917535 RXY917535 SHU917535 SRQ917535 TBM917535 TLI917535 TVE917535 UFA917535 UOW917535 UYS917535 VIO917535 VSK917535 WCG917535 WMC917535 WVY917535 Q983071 JM983071 TI983071 ADE983071 ANA983071 AWW983071 BGS983071 BQO983071 CAK983071 CKG983071 CUC983071 DDY983071 DNU983071 DXQ983071 EHM983071 ERI983071 FBE983071 FLA983071 FUW983071 GES983071 GOO983071 GYK983071 HIG983071 HSC983071 IBY983071 ILU983071 IVQ983071 JFM983071 JPI983071 JZE983071 KJA983071 KSW983071 LCS983071 LMO983071 LWK983071 MGG983071 MQC983071 MZY983071 NJU983071 NTQ983071 ODM983071 ONI983071 OXE983071 PHA983071 PQW983071 QAS983071 QKO983071 QUK983071 REG983071 ROC983071 RXY983071 SHU983071 SRQ983071 TBM983071 TLI983071 TVE983071 UFA983071 UOW983071 UYS983071 VIO983071 VSK983071 WCG983071 WMC983071 WVY983071 T31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T52 JP52 TL52 ADH52 AND52 AWZ52 BGV52 BQR52 CAN52 CKJ52 CUF52 DEB52 DNX52 DXT52 EHP52 ERL52 FBH52 FLD52 FUZ52 GEV52 GOR52 GYN52 HIJ52 HSF52 ICB52 ILX52 IVT52 JFP52 JPL52 JZH52 KJD52 KSZ52 LCV52 LMR52 LWN52 MGJ52 MQF52 NAB52 NJX52 NTT52 ODP52 ONL52 OXH52 PHD52 PQZ52 QAV52 QKR52 QUN52 REJ52 ROF52 RYB52 SHX52 SRT52 TBP52 TLL52 TVH52 UFD52 UOZ52 UYV52 VIR52 VSN52 WCJ52 WMF52 WWB52 T65588 JP65588 TL65588 ADH65588 AND65588 AWZ65588 BGV65588 BQR65588 CAN65588 CKJ65588 CUF65588 DEB65588 DNX65588 DXT65588 EHP65588 ERL65588 FBH65588 FLD65588 FUZ65588 GEV65588 GOR65588 GYN65588 HIJ65588 HSF65588 ICB65588 ILX65588 IVT65588 JFP65588 JPL65588 JZH65588 KJD65588 KSZ65588 LCV65588 LMR65588 LWN65588 MGJ65588 MQF65588 NAB65588 NJX65588 NTT65588 ODP65588 ONL65588 OXH65588 PHD65588 PQZ65588 QAV65588 QKR65588 QUN65588 REJ65588 ROF65588 RYB65588 SHX65588 SRT65588 TBP65588 TLL65588 TVH65588 UFD65588 UOZ65588 UYV65588 VIR65588 VSN65588 WCJ65588 WMF65588 WWB65588 T131124 JP131124 TL131124 ADH131124 AND131124 AWZ131124 BGV131124 BQR131124 CAN131124 CKJ131124 CUF131124 DEB131124 DNX131124 DXT131124 EHP131124 ERL131124 FBH131124 FLD131124 FUZ131124 GEV131124 GOR131124 GYN131124 HIJ131124 HSF131124 ICB131124 ILX131124 IVT131124 JFP131124 JPL131124 JZH131124 KJD131124 KSZ131124 LCV131124 LMR131124 LWN131124 MGJ131124 MQF131124 NAB131124 NJX131124 NTT131124 ODP131124 ONL131124 OXH131124 PHD131124 PQZ131124 QAV131124 QKR131124 QUN131124 REJ131124 ROF131124 RYB131124 SHX131124 SRT131124 TBP131124 TLL131124 TVH131124 UFD131124 UOZ131124 UYV131124 VIR131124 VSN131124 WCJ131124 WMF131124 WWB131124 T196660 JP196660 TL196660 ADH196660 AND196660 AWZ196660 BGV196660 BQR196660 CAN196660 CKJ196660 CUF196660 DEB196660 DNX196660 DXT196660 EHP196660 ERL196660 FBH196660 FLD196660 FUZ196660 GEV196660 GOR196660 GYN196660 HIJ196660 HSF196660 ICB196660 ILX196660 IVT196660 JFP196660 JPL196660 JZH196660 KJD196660 KSZ196660 LCV196660 LMR196660 LWN196660 MGJ196660 MQF196660 NAB196660 NJX196660 NTT196660 ODP196660 ONL196660 OXH196660 PHD196660 PQZ196660 QAV196660 QKR196660 QUN196660 REJ196660 ROF196660 RYB196660 SHX196660 SRT196660 TBP196660 TLL196660 TVH196660 UFD196660 UOZ196660 UYV196660 VIR196660 VSN196660 WCJ196660 WMF196660 WWB196660 T262196 JP262196 TL262196 ADH262196 AND262196 AWZ262196 BGV262196 BQR262196 CAN262196 CKJ262196 CUF262196 DEB262196 DNX262196 DXT262196 EHP262196 ERL262196 FBH262196 FLD262196 FUZ262196 GEV262196 GOR262196 GYN262196 HIJ262196 HSF262196 ICB262196 ILX262196 IVT262196 JFP262196 JPL262196 JZH262196 KJD262196 KSZ262196 LCV262196 LMR262196 LWN262196 MGJ262196 MQF262196 NAB262196 NJX262196 NTT262196 ODP262196 ONL262196 OXH262196 PHD262196 PQZ262196 QAV262196 QKR262196 QUN262196 REJ262196 ROF262196 RYB262196 SHX262196 SRT262196 TBP262196 TLL262196 TVH262196 UFD262196 UOZ262196 UYV262196 VIR262196 VSN262196 WCJ262196 WMF262196 WWB262196 T327732 JP327732 TL327732 ADH327732 AND327732 AWZ327732 BGV327732 BQR327732 CAN327732 CKJ327732 CUF327732 DEB327732 DNX327732 DXT327732 EHP327732 ERL327732 FBH327732 FLD327732 FUZ327732 GEV327732 GOR327732 GYN327732 HIJ327732 HSF327732 ICB327732 ILX327732 IVT327732 JFP327732 JPL327732 JZH327732 KJD327732 KSZ327732 LCV327732 LMR327732 LWN327732 MGJ327732 MQF327732 NAB327732 NJX327732 NTT327732 ODP327732 ONL327732 OXH327732 PHD327732 PQZ327732 QAV327732 QKR327732 QUN327732 REJ327732 ROF327732 RYB327732 SHX327732 SRT327732 TBP327732 TLL327732 TVH327732 UFD327732 UOZ327732 UYV327732 VIR327732 VSN327732 WCJ327732 WMF327732 WWB327732 T393268 JP393268 TL393268 ADH393268 AND393268 AWZ393268 BGV393268 BQR393268 CAN393268 CKJ393268 CUF393268 DEB393268 DNX393268 DXT393268 EHP393268 ERL393268 FBH393268 FLD393268 FUZ393268 GEV393268 GOR393268 GYN393268 HIJ393268 HSF393268 ICB393268 ILX393268 IVT393268 JFP393268 JPL393268 JZH393268 KJD393268 KSZ393268 LCV393268 LMR393268 LWN393268 MGJ393268 MQF393268 NAB393268 NJX393268 NTT393268 ODP393268 ONL393268 OXH393268 PHD393268 PQZ393268 QAV393268 QKR393268 QUN393268 REJ393268 ROF393268 RYB393268 SHX393268 SRT393268 TBP393268 TLL393268 TVH393268 UFD393268 UOZ393268 UYV393268 VIR393268 VSN393268 WCJ393268 WMF393268 WWB393268 T458804 JP458804 TL458804 ADH458804 AND458804 AWZ458804 BGV458804 BQR458804 CAN458804 CKJ458804 CUF458804 DEB458804 DNX458804 DXT458804 EHP458804 ERL458804 FBH458804 FLD458804 FUZ458804 GEV458804 GOR458804 GYN458804 HIJ458804 HSF458804 ICB458804 ILX458804 IVT458804 JFP458804 JPL458804 JZH458804 KJD458804 KSZ458804 LCV458804 LMR458804 LWN458804 MGJ458804 MQF458804 NAB458804 NJX458804 NTT458804 ODP458804 ONL458804 OXH458804 PHD458804 PQZ458804 QAV458804 QKR458804 QUN458804 REJ458804 ROF458804 RYB458804 SHX458804 SRT458804 TBP458804 TLL458804 TVH458804 UFD458804 UOZ458804 UYV458804 VIR458804 VSN458804 WCJ458804 WMF458804 WWB458804 T524340 JP524340 TL524340 ADH524340 AND524340 AWZ524340 BGV524340 BQR524340 CAN524340 CKJ524340 CUF524340 DEB524340 DNX524340 DXT524340 EHP524340 ERL524340 FBH524340 FLD524340 FUZ524340 GEV524340 GOR524340 GYN524340 HIJ524340 HSF524340 ICB524340 ILX524340 IVT524340 JFP524340 JPL524340 JZH524340 KJD524340 KSZ524340 LCV524340 LMR524340 LWN524340 MGJ524340 MQF524340 NAB524340 NJX524340 NTT524340 ODP524340 ONL524340 OXH524340 PHD524340 PQZ524340 QAV524340 QKR524340 QUN524340 REJ524340 ROF524340 RYB524340 SHX524340 SRT524340 TBP524340 TLL524340 TVH524340 UFD524340 UOZ524340 UYV524340 VIR524340 VSN524340 WCJ524340 WMF524340 WWB524340 T589876 JP589876 TL589876 ADH589876 AND589876 AWZ589876 BGV589876 BQR589876 CAN589876 CKJ589876 CUF589876 DEB589876 DNX589876 DXT589876 EHP589876 ERL589876 FBH589876 FLD589876 FUZ589876 GEV589876 GOR589876 GYN589876 HIJ589876 HSF589876 ICB589876 ILX589876 IVT589876 JFP589876 JPL589876 JZH589876 KJD589876 KSZ589876 LCV589876 LMR589876 LWN589876 MGJ589876 MQF589876 NAB589876 NJX589876 NTT589876 ODP589876 ONL589876 OXH589876 PHD589876 PQZ589876 QAV589876 QKR589876 QUN589876 REJ589876 ROF589876 RYB589876 SHX589876 SRT589876 TBP589876 TLL589876 TVH589876 UFD589876 UOZ589876 UYV589876 VIR589876 VSN589876 WCJ589876 WMF589876 WWB589876 T655412 JP655412 TL655412 ADH655412 AND655412 AWZ655412 BGV655412 BQR655412 CAN655412 CKJ655412 CUF655412 DEB655412 DNX655412 DXT655412 EHP655412 ERL655412 FBH655412 FLD655412 FUZ655412 GEV655412 GOR655412 GYN655412 HIJ655412 HSF655412 ICB655412 ILX655412 IVT655412 JFP655412 JPL655412 JZH655412 KJD655412 KSZ655412 LCV655412 LMR655412 LWN655412 MGJ655412 MQF655412 NAB655412 NJX655412 NTT655412 ODP655412 ONL655412 OXH655412 PHD655412 PQZ655412 QAV655412 QKR655412 QUN655412 REJ655412 ROF655412 RYB655412 SHX655412 SRT655412 TBP655412 TLL655412 TVH655412 UFD655412 UOZ655412 UYV655412 VIR655412 VSN655412 WCJ655412 WMF655412 WWB655412 T720948 JP720948 TL720948 ADH720948 AND720948 AWZ720948 BGV720948 BQR720948 CAN720948 CKJ720948 CUF720948 DEB720948 DNX720948 DXT720948 EHP720948 ERL720948 FBH720948 FLD720948 FUZ720948 GEV720948 GOR720948 GYN720948 HIJ720948 HSF720948 ICB720948 ILX720948 IVT720948 JFP720948 JPL720948 JZH720948 KJD720948 KSZ720948 LCV720948 LMR720948 LWN720948 MGJ720948 MQF720948 NAB720948 NJX720948 NTT720948 ODP720948 ONL720948 OXH720948 PHD720948 PQZ720948 QAV720948 QKR720948 QUN720948 REJ720948 ROF720948 RYB720948 SHX720948 SRT720948 TBP720948 TLL720948 TVH720948 UFD720948 UOZ720948 UYV720948 VIR720948 VSN720948 WCJ720948 WMF720948 WWB720948 T786484 JP786484 TL786484 ADH786484 AND786484 AWZ786484 BGV786484 BQR786484 CAN786484 CKJ786484 CUF786484 DEB786484 DNX786484 DXT786484 EHP786484 ERL786484 FBH786484 FLD786484 FUZ786484 GEV786484 GOR786484 GYN786484 HIJ786484 HSF786484 ICB786484 ILX786484 IVT786484 JFP786484 JPL786484 JZH786484 KJD786484 KSZ786484 LCV786484 LMR786484 LWN786484 MGJ786484 MQF786484 NAB786484 NJX786484 NTT786484 ODP786484 ONL786484 OXH786484 PHD786484 PQZ786484 QAV786484 QKR786484 QUN786484 REJ786484 ROF786484 RYB786484 SHX786484 SRT786484 TBP786484 TLL786484 TVH786484 UFD786484 UOZ786484 UYV786484 VIR786484 VSN786484 WCJ786484 WMF786484 WWB786484 T852020 JP852020 TL852020 ADH852020 AND852020 AWZ852020 BGV852020 BQR852020 CAN852020 CKJ852020 CUF852020 DEB852020 DNX852020 DXT852020 EHP852020 ERL852020 FBH852020 FLD852020 FUZ852020 GEV852020 GOR852020 GYN852020 HIJ852020 HSF852020 ICB852020 ILX852020 IVT852020 JFP852020 JPL852020 JZH852020 KJD852020 KSZ852020 LCV852020 LMR852020 LWN852020 MGJ852020 MQF852020 NAB852020 NJX852020 NTT852020 ODP852020 ONL852020 OXH852020 PHD852020 PQZ852020 QAV852020 QKR852020 QUN852020 REJ852020 ROF852020 RYB852020 SHX852020 SRT852020 TBP852020 TLL852020 TVH852020 UFD852020 UOZ852020 UYV852020 VIR852020 VSN852020 WCJ852020 WMF852020 WWB852020 T917556 JP917556 TL917556 ADH917556 AND917556 AWZ917556 BGV917556 BQR917556 CAN917556 CKJ917556 CUF917556 DEB917556 DNX917556 DXT917556 EHP917556 ERL917556 FBH917556 FLD917556 FUZ917556 GEV917556 GOR917556 GYN917556 HIJ917556 HSF917556 ICB917556 ILX917556 IVT917556 JFP917556 JPL917556 JZH917556 KJD917556 KSZ917556 LCV917556 LMR917556 LWN917556 MGJ917556 MQF917556 NAB917556 NJX917556 NTT917556 ODP917556 ONL917556 OXH917556 PHD917556 PQZ917556 QAV917556 QKR917556 QUN917556 REJ917556 ROF917556 RYB917556 SHX917556 SRT917556 TBP917556 TLL917556 TVH917556 UFD917556 UOZ917556 UYV917556 VIR917556 VSN917556 WCJ917556 WMF917556 WWB917556 T983092 JP983092 TL983092 ADH983092 AND983092 AWZ983092 BGV983092 BQR983092 CAN983092 CKJ983092 CUF983092 DEB983092 DNX983092 DXT983092 EHP983092 ERL983092 FBH983092 FLD983092 FUZ983092 GEV983092 GOR983092 GYN983092 HIJ983092 HSF983092 ICB983092 ILX983092 IVT983092 JFP983092 JPL983092 JZH983092 KJD983092 KSZ983092 LCV983092 LMR983092 LWN983092 MGJ983092 MQF983092 NAB983092 NJX983092 NTT983092 ODP983092 ONL983092 OXH983092 PHD983092 PQZ983092 QAV983092 QKR983092 QUN983092 REJ983092 ROF983092 RYB983092 SHX983092 SRT983092 TBP983092 TLL983092 TVH983092 UFD983092 UOZ983092 UYV983092 VIR983092 VSN983092 WCJ983092 WMF983092 WWB983092 Q73 JM73 TI73 ADE73 ANA73 AWW73 BGS73 BQO73 CAK73 CKG73 CUC73 DDY73 DNU73 DXQ73 EHM73 ERI73 FBE73 FLA73 FUW73 GES73 GOO73 GYK73 HIG73 HSC73 IBY73 ILU73 IVQ73 JFM73 JPI73 JZE73 KJA73 KSW73 LCS73 LMO73 LWK73 MGG73 MQC73 MZY73 NJU73 NTQ73 ODM73 ONI73 OXE73 PHA73 PQW73 QAS73 QKO73 QUK73 REG73 ROC73 RXY73 SHU73 SRQ73 TBM73 TLI73 TVE73 UFA73 UOW73 UYS73 VIO73 VSK73 WCG73 WMC73 WVY73 Q65609 JM65609 TI65609 ADE65609 ANA65609 AWW65609 BGS65609 BQO65609 CAK65609 CKG65609 CUC65609 DDY65609 DNU65609 DXQ65609 EHM65609 ERI65609 FBE65609 FLA65609 FUW65609 GES65609 GOO65609 GYK65609 HIG65609 HSC65609 IBY65609 ILU65609 IVQ65609 JFM65609 JPI65609 JZE65609 KJA65609 KSW65609 LCS65609 LMO65609 LWK65609 MGG65609 MQC65609 MZY65609 NJU65609 NTQ65609 ODM65609 ONI65609 OXE65609 PHA65609 PQW65609 QAS65609 QKO65609 QUK65609 REG65609 ROC65609 RXY65609 SHU65609 SRQ65609 TBM65609 TLI65609 TVE65609 UFA65609 UOW65609 UYS65609 VIO65609 VSK65609 WCG65609 WMC65609 WVY65609 Q131145 JM131145 TI131145 ADE131145 ANA131145 AWW131145 BGS131145 BQO131145 CAK131145 CKG131145 CUC131145 DDY131145 DNU131145 DXQ131145 EHM131145 ERI131145 FBE131145 FLA131145 FUW131145 GES131145 GOO131145 GYK131145 HIG131145 HSC131145 IBY131145 ILU131145 IVQ131145 JFM131145 JPI131145 JZE131145 KJA131145 KSW131145 LCS131145 LMO131145 LWK131145 MGG131145 MQC131145 MZY131145 NJU131145 NTQ131145 ODM131145 ONI131145 OXE131145 PHA131145 PQW131145 QAS131145 QKO131145 QUK131145 REG131145 ROC131145 RXY131145 SHU131145 SRQ131145 TBM131145 TLI131145 TVE131145 UFA131145 UOW131145 UYS131145 VIO131145 VSK131145 WCG131145 WMC131145 WVY131145 Q196681 JM196681 TI196681 ADE196681 ANA196681 AWW196681 BGS196681 BQO196681 CAK196681 CKG196681 CUC196681 DDY196681 DNU196681 DXQ196681 EHM196681 ERI196681 FBE196681 FLA196681 FUW196681 GES196681 GOO196681 GYK196681 HIG196681 HSC196681 IBY196681 ILU196681 IVQ196681 JFM196681 JPI196681 JZE196681 KJA196681 KSW196681 LCS196681 LMO196681 LWK196681 MGG196681 MQC196681 MZY196681 NJU196681 NTQ196681 ODM196681 ONI196681 OXE196681 PHA196681 PQW196681 QAS196681 QKO196681 QUK196681 REG196681 ROC196681 RXY196681 SHU196681 SRQ196681 TBM196681 TLI196681 TVE196681 UFA196681 UOW196681 UYS196681 VIO196681 VSK196681 WCG196681 WMC196681 WVY196681 Q262217 JM262217 TI262217 ADE262217 ANA262217 AWW262217 BGS262217 BQO262217 CAK262217 CKG262217 CUC262217 DDY262217 DNU262217 DXQ262217 EHM262217 ERI262217 FBE262217 FLA262217 FUW262217 GES262217 GOO262217 GYK262217 HIG262217 HSC262217 IBY262217 ILU262217 IVQ262217 JFM262217 JPI262217 JZE262217 KJA262217 KSW262217 LCS262217 LMO262217 LWK262217 MGG262217 MQC262217 MZY262217 NJU262217 NTQ262217 ODM262217 ONI262217 OXE262217 PHA262217 PQW262217 QAS262217 QKO262217 QUK262217 REG262217 ROC262217 RXY262217 SHU262217 SRQ262217 TBM262217 TLI262217 TVE262217 UFA262217 UOW262217 UYS262217 VIO262217 VSK262217 WCG262217 WMC262217 WVY262217 Q327753 JM327753 TI327753 ADE327753 ANA327753 AWW327753 BGS327753 BQO327753 CAK327753 CKG327753 CUC327753 DDY327753 DNU327753 DXQ327753 EHM327753 ERI327753 FBE327753 FLA327753 FUW327753 GES327753 GOO327753 GYK327753 HIG327753 HSC327753 IBY327753 ILU327753 IVQ327753 JFM327753 JPI327753 JZE327753 KJA327753 KSW327753 LCS327753 LMO327753 LWK327753 MGG327753 MQC327753 MZY327753 NJU327753 NTQ327753 ODM327753 ONI327753 OXE327753 PHA327753 PQW327753 QAS327753 QKO327753 QUK327753 REG327753 ROC327753 RXY327753 SHU327753 SRQ327753 TBM327753 TLI327753 TVE327753 UFA327753 UOW327753 UYS327753 VIO327753 VSK327753 WCG327753 WMC327753 WVY327753 Q393289 JM393289 TI393289 ADE393289 ANA393289 AWW393289 BGS393289 BQO393289 CAK393289 CKG393289 CUC393289 DDY393289 DNU393289 DXQ393289 EHM393289 ERI393289 FBE393289 FLA393289 FUW393289 GES393289 GOO393289 GYK393289 HIG393289 HSC393289 IBY393289 ILU393289 IVQ393289 JFM393289 JPI393289 JZE393289 KJA393289 KSW393289 LCS393289 LMO393289 LWK393289 MGG393289 MQC393289 MZY393289 NJU393289 NTQ393289 ODM393289 ONI393289 OXE393289 PHA393289 PQW393289 QAS393289 QKO393289 QUK393289 REG393289 ROC393289 RXY393289 SHU393289 SRQ393289 TBM393289 TLI393289 TVE393289 UFA393289 UOW393289 UYS393289 VIO393289 VSK393289 WCG393289 WMC393289 WVY393289 Q458825 JM458825 TI458825 ADE458825 ANA458825 AWW458825 BGS458825 BQO458825 CAK458825 CKG458825 CUC458825 DDY458825 DNU458825 DXQ458825 EHM458825 ERI458825 FBE458825 FLA458825 FUW458825 GES458825 GOO458825 GYK458825 HIG458825 HSC458825 IBY458825 ILU458825 IVQ458825 JFM458825 JPI458825 JZE458825 KJA458825 KSW458825 LCS458825 LMO458825 LWK458825 MGG458825 MQC458825 MZY458825 NJU458825 NTQ458825 ODM458825 ONI458825 OXE458825 PHA458825 PQW458825 QAS458825 QKO458825 QUK458825 REG458825 ROC458825 RXY458825 SHU458825 SRQ458825 TBM458825 TLI458825 TVE458825 UFA458825 UOW458825 UYS458825 VIO458825 VSK458825 WCG458825 WMC458825 WVY458825 Q524361 JM524361 TI524361 ADE524361 ANA524361 AWW524361 BGS524361 BQO524361 CAK524361 CKG524361 CUC524361 DDY524361 DNU524361 DXQ524361 EHM524361 ERI524361 FBE524361 FLA524361 FUW524361 GES524361 GOO524361 GYK524361 HIG524361 HSC524361 IBY524361 ILU524361 IVQ524361 JFM524361 JPI524361 JZE524361 KJA524361 KSW524361 LCS524361 LMO524361 LWK524361 MGG524361 MQC524361 MZY524361 NJU524361 NTQ524361 ODM524361 ONI524361 OXE524361 PHA524361 PQW524361 QAS524361 QKO524361 QUK524361 REG524361 ROC524361 RXY524361 SHU524361 SRQ524361 TBM524361 TLI524361 TVE524361 UFA524361 UOW524361 UYS524361 VIO524361 VSK524361 WCG524361 WMC524361 WVY524361 Q589897 JM589897 TI589897 ADE589897 ANA589897 AWW589897 BGS589897 BQO589897 CAK589897 CKG589897 CUC589897 DDY589897 DNU589897 DXQ589897 EHM589897 ERI589897 FBE589897 FLA589897 FUW589897 GES589897 GOO589897 GYK589897 HIG589897 HSC589897 IBY589897 ILU589897 IVQ589897 JFM589897 JPI589897 JZE589897 KJA589897 KSW589897 LCS589897 LMO589897 LWK589897 MGG589897 MQC589897 MZY589897 NJU589897 NTQ589897 ODM589897 ONI589897 OXE589897 PHA589897 PQW589897 QAS589897 QKO589897 QUK589897 REG589897 ROC589897 RXY589897 SHU589897 SRQ589897 TBM589897 TLI589897 TVE589897 UFA589897 UOW589897 UYS589897 VIO589897 VSK589897 WCG589897 WMC589897 WVY589897 Q655433 JM655433 TI655433 ADE655433 ANA655433 AWW655433 BGS655433 BQO655433 CAK655433 CKG655433 CUC655433 DDY655433 DNU655433 DXQ655433 EHM655433 ERI655433 FBE655433 FLA655433 FUW655433 GES655433 GOO655433 GYK655433 HIG655433 HSC655433 IBY655433 ILU655433 IVQ655433 JFM655433 JPI655433 JZE655433 KJA655433 KSW655433 LCS655433 LMO655433 LWK655433 MGG655433 MQC655433 MZY655433 NJU655433 NTQ655433 ODM655433 ONI655433 OXE655433 PHA655433 PQW655433 QAS655433 QKO655433 QUK655433 REG655433 ROC655433 RXY655433 SHU655433 SRQ655433 TBM655433 TLI655433 TVE655433 UFA655433 UOW655433 UYS655433 VIO655433 VSK655433 WCG655433 WMC655433 WVY655433 Q720969 JM720969 TI720969 ADE720969 ANA720969 AWW720969 BGS720969 BQO720969 CAK720969 CKG720969 CUC720969 DDY720969 DNU720969 DXQ720969 EHM720969 ERI720969 FBE720969 FLA720969 FUW720969 GES720969 GOO720969 GYK720969 HIG720969 HSC720969 IBY720969 ILU720969 IVQ720969 JFM720969 JPI720969 JZE720969 KJA720969 KSW720969 LCS720969 LMO720969 LWK720969 MGG720969 MQC720969 MZY720969 NJU720969 NTQ720969 ODM720969 ONI720969 OXE720969 PHA720969 PQW720969 QAS720969 QKO720969 QUK720969 REG720969 ROC720969 RXY720969 SHU720969 SRQ720969 TBM720969 TLI720969 TVE720969 UFA720969 UOW720969 UYS720969 VIO720969 VSK720969 WCG720969 WMC720969 WVY720969 Q786505 JM786505 TI786505 ADE786505 ANA786505 AWW786505 BGS786505 BQO786505 CAK786505 CKG786505 CUC786505 DDY786505 DNU786505 DXQ786505 EHM786505 ERI786505 FBE786505 FLA786505 FUW786505 GES786505 GOO786505 GYK786505 HIG786505 HSC786505 IBY786505 ILU786505 IVQ786505 JFM786505 JPI786505 JZE786505 KJA786505 KSW786505 LCS786505 LMO786505 LWK786505 MGG786505 MQC786505 MZY786505 NJU786505 NTQ786505 ODM786505 ONI786505 OXE786505 PHA786505 PQW786505 QAS786505 QKO786505 QUK786505 REG786505 ROC786505 RXY786505 SHU786505 SRQ786505 TBM786505 TLI786505 TVE786505 UFA786505 UOW786505 UYS786505 VIO786505 VSK786505 WCG786505 WMC786505 WVY786505 Q852041 JM852041 TI852041 ADE852041 ANA852041 AWW852041 BGS852041 BQO852041 CAK852041 CKG852041 CUC852041 DDY852041 DNU852041 DXQ852041 EHM852041 ERI852041 FBE852041 FLA852041 FUW852041 GES852041 GOO852041 GYK852041 HIG852041 HSC852041 IBY852041 ILU852041 IVQ852041 JFM852041 JPI852041 JZE852041 KJA852041 KSW852041 LCS852041 LMO852041 LWK852041 MGG852041 MQC852041 MZY852041 NJU852041 NTQ852041 ODM852041 ONI852041 OXE852041 PHA852041 PQW852041 QAS852041 QKO852041 QUK852041 REG852041 ROC852041 RXY852041 SHU852041 SRQ852041 TBM852041 TLI852041 TVE852041 UFA852041 UOW852041 UYS852041 VIO852041 VSK852041 WCG852041 WMC852041 WVY852041 Q917577 JM917577 TI917577 ADE917577 ANA917577 AWW917577 BGS917577 BQO917577 CAK917577 CKG917577 CUC917577 DDY917577 DNU917577 DXQ917577 EHM917577 ERI917577 FBE917577 FLA917577 FUW917577 GES917577 GOO917577 GYK917577 HIG917577 HSC917577 IBY917577 ILU917577 IVQ917577 JFM917577 JPI917577 JZE917577 KJA917577 KSW917577 LCS917577 LMO917577 LWK917577 MGG917577 MQC917577 MZY917577 NJU917577 NTQ917577 ODM917577 ONI917577 OXE917577 PHA917577 PQW917577 QAS917577 QKO917577 QUK917577 REG917577 ROC917577 RXY917577 SHU917577 SRQ917577 TBM917577 TLI917577 TVE917577 UFA917577 UOW917577 UYS917577 VIO917577 VSK917577 WCG917577 WMC917577 WVY917577 Q983113 JM983113 TI983113 ADE983113 ANA983113 AWW983113 BGS983113 BQO983113 CAK983113 CKG983113 CUC983113 DDY983113 DNU983113 DXQ983113 EHM983113 ERI983113 FBE983113 FLA983113 FUW983113 GES983113 GOO983113 GYK983113 HIG983113 HSC983113 IBY983113 ILU983113 IVQ983113 JFM983113 JPI983113 JZE983113 KJA983113 KSW983113 LCS983113 LMO983113 LWK983113 MGG983113 MQC983113 MZY983113 NJU983113 NTQ983113 ODM983113 ONI983113 OXE983113 PHA983113 PQW983113 QAS983113 QKO983113 QUK983113 REG983113 ROC983113 RXY983113 SHU983113 SRQ983113 TBM983113 TLI983113 TVE983113 UFA983113 UOW983113 UYS983113 VIO983113 VSK983113 WCG983113 WMC983113 WVY983113 T73 JP73 TL73 ADH73 AND73 AWZ73 BGV73 BQR73 CAN73 CKJ73 CUF73 DEB73 DNX73 DXT73 EHP73 ERL73 FBH73 FLD73 FUZ73 GEV73 GOR73 GYN73 HIJ73 HSF73 ICB73 ILX73 IVT73 JFP73 JPL73 JZH73 KJD73 KSZ73 LCV73 LMR73 LWN73 MGJ73 MQF73 NAB73 NJX73 NTT73 ODP73 ONL73 OXH73 PHD73 PQZ73 QAV73 QKR73 QUN73 REJ73 ROF73 RYB73 SHX73 SRT73 TBP73 TLL73 TVH73 UFD73 UOZ73 UYV73 VIR73 VSN73 WCJ73 WMF73 WWB73 T65609 JP65609 TL65609 ADH65609 AND65609 AWZ65609 BGV65609 BQR65609 CAN65609 CKJ65609 CUF65609 DEB65609 DNX65609 DXT65609 EHP65609 ERL65609 FBH65609 FLD65609 FUZ65609 GEV65609 GOR65609 GYN65609 HIJ65609 HSF65609 ICB65609 ILX65609 IVT65609 JFP65609 JPL65609 JZH65609 KJD65609 KSZ65609 LCV65609 LMR65609 LWN65609 MGJ65609 MQF65609 NAB65609 NJX65609 NTT65609 ODP65609 ONL65609 OXH65609 PHD65609 PQZ65609 QAV65609 QKR65609 QUN65609 REJ65609 ROF65609 RYB65609 SHX65609 SRT65609 TBP65609 TLL65609 TVH65609 UFD65609 UOZ65609 UYV65609 VIR65609 VSN65609 WCJ65609 WMF65609 WWB65609 T131145 JP131145 TL131145 ADH131145 AND131145 AWZ131145 BGV131145 BQR131145 CAN131145 CKJ131145 CUF131145 DEB131145 DNX131145 DXT131145 EHP131145 ERL131145 FBH131145 FLD131145 FUZ131145 GEV131145 GOR131145 GYN131145 HIJ131145 HSF131145 ICB131145 ILX131145 IVT131145 JFP131145 JPL131145 JZH131145 KJD131145 KSZ131145 LCV131145 LMR131145 LWN131145 MGJ131145 MQF131145 NAB131145 NJX131145 NTT131145 ODP131145 ONL131145 OXH131145 PHD131145 PQZ131145 QAV131145 QKR131145 QUN131145 REJ131145 ROF131145 RYB131145 SHX131145 SRT131145 TBP131145 TLL131145 TVH131145 UFD131145 UOZ131145 UYV131145 VIR131145 VSN131145 WCJ131145 WMF131145 WWB131145 T196681 JP196681 TL196681 ADH196681 AND196681 AWZ196681 BGV196681 BQR196681 CAN196681 CKJ196681 CUF196681 DEB196681 DNX196681 DXT196681 EHP196681 ERL196681 FBH196681 FLD196681 FUZ196681 GEV196681 GOR196681 GYN196681 HIJ196681 HSF196681 ICB196681 ILX196681 IVT196681 JFP196681 JPL196681 JZH196681 KJD196681 KSZ196681 LCV196681 LMR196681 LWN196681 MGJ196681 MQF196681 NAB196681 NJX196681 NTT196681 ODP196681 ONL196681 OXH196681 PHD196681 PQZ196681 QAV196681 QKR196681 QUN196681 REJ196681 ROF196681 RYB196681 SHX196681 SRT196681 TBP196681 TLL196681 TVH196681 UFD196681 UOZ196681 UYV196681 VIR196681 VSN196681 WCJ196681 WMF196681 WWB196681 T262217 JP262217 TL262217 ADH262217 AND262217 AWZ262217 BGV262217 BQR262217 CAN262217 CKJ262217 CUF262217 DEB262217 DNX262217 DXT262217 EHP262217 ERL262217 FBH262217 FLD262217 FUZ262217 GEV262217 GOR262217 GYN262217 HIJ262217 HSF262217 ICB262217 ILX262217 IVT262217 JFP262217 JPL262217 JZH262217 KJD262217 KSZ262217 LCV262217 LMR262217 LWN262217 MGJ262217 MQF262217 NAB262217 NJX262217 NTT262217 ODP262217 ONL262217 OXH262217 PHD262217 PQZ262217 QAV262217 QKR262217 QUN262217 REJ262217 ROF262217 RYB262217 SHX262217 SRT262217 TBP262217 TLL262217 TVH262217 UFD262217 UOZ262217 UYV262217 VIR262217 VSN262217 WCJ262217 WMF262217 WWB262217 T327753 JP327753 TL327753 ADH327753 AND327753 AWZ327753 BGV327753 BQR327753 CAN327753 CKJ327753 CUF327753 DEB327753 DNX327753 DXT327753 EHP327753 ERL327753 FBH327753 FLD327753 FUZ327753 GEV327753 GOR327753 GYN327753 HIJ327753 HSF327753 ICB327753 ILX327753 IVT327753 JFP327753 JPL327753 JZH327753 KJD327753 KSZ327753 LCV327753 LMR327753 LWN327753 MGJ327753 MQF327753 NAB327753 NJX327753 NTT327753 ODP327753 ONL327753 OXH327753 PHD327753 PQZ327753 QAV327753 QKR327753 QUN327753 REJ327753 ROF327753 RYB327753 SHX327753 SRT327753 TBP327753 TLL327753 TVH327753 UFD327753 UOZ327753 UYV327753 VIR327753 VSN327753 WCJ327753 WMF327753 WWB327753 T393289 JP393289 TL393289 ADH393289 AND393289 AWZ393289 BGV393289 BQR393289 CAN393289 CKJ393289 CUF393289 DEB393289 DNX393289 DXT393289 EHP393289 ERL393289 FBH393289 FLD393289 FUZ393289 GEV393289 GOR393289 GYN393289 HIJ393289 HSF393289 ICB393289 ILX393289 IVT393289 JFP393289 JPL393289 JZH393289 KJD393289 KSZ393289 LCV393289 LMR393289 LWN393289 MGJ393289 MQF393289 NAB393289 NJX393289 NTT393289 ODP393289 ONL393289 OXH393289 PHD393289 PQZ393289 QAV393289 QKR393289 QUN393289 REJ393289 ROF393289 RYB393289 SHX393289 SRT393289 TBP393289 TLL393289 TVH393289 UFD393289 UOZ393289 UYV393289 VIR393289 VSN393289 WCJ393289 WMF393289 WWB393289 T458825 JP458825 TL458825 ADH458825 AND458825 AWZ458825 BGV458825 BQR458825 CAN458825 CKJ458825 CUF458825 DEB458825 DNX458825 DXT458825 EHP458825 ERL458825 FBH458825 FLD458825 FUZ458825 GEV458825 GOR458825 GYN458825 HIJ458825 HSF458825 ICB458825 ILX458825 IVT458825 JFP458825 JPL458825 JZH458825 KJD458825 KSZ458825 LCV458825 LMR458825 LWN458825 MGJ458825 MQF458825 NAB458825 NJX458825 NTT458825 ODP458825 ONL458825 OXH458825 PHD458825 PQZ458825 QAV458825 QKR458825 QUN458825 REJ458825 ROF458825 RYB458825 SHX458825 SRT458825 TBP458825 TLL458825 TVH458825 UFD458825 UOZ458825 UYV458825 VIR458825 VSN458825 WCJ458825 WMF458825 WWB458825 T524361 JP524361 TL524361 ADH524361 AND524361 AWZ524361 BGV524361 BQR524361 CAN524361 CKJ524361 CUF524361 DEB524361 DNX524361 DXT524361 EHP524361 ERL524361 FBH524361 FLD524361 FUZ524361 GEV524361 GOR524361 GYN524361 HIJ524361 HSF524361 ICB524361 ILX524361 IVT524361 JFP524361 JPL524361 JZH524361 KJD524361 KSZ524361 LCV524361 LMR524361 LWN524361 MGJ524361 MQF524361 NAB524361 NJX524361 NTT524361 ODP524361 ONL524361 OXH524361 PHD524361 PQZ524361 QAV524361 QKR524361 QUN524361 REJ524361 ROF524361 RYB524361 SHX524361 SRT524361 TBP524361 TLL524361 TVH524361 UFD524361 UOZ524361 UYV524361 VIR524361 VSN524361 WCJ524361 WMF524361 WWB524361 T589897 JP589897 TL589897 ADH589897 AND589897 AWZ589897 BGV589897 BQR589897 CAN589897 CKJ589897 CUF589897 DEB589897 DNX589897 DXT589897 EHP589897 ERL589897 FBH589897 FLD589897 FUZ589897 GEV589897 GOR589897 GYN589897 HIJ589897 HSF589897 ICB589897 ILX589897 IVT589897 JFP589897 JPL589897 JZH589897 KJD589897 KSZ589897 LCV589897 LMR589897 LWN589897 MGJ589897 MQF589897 NAB589897 NJX589897 NTT589897 ODP589897 ONL589897 OXH589897 PHD589897 PQZ589897 QAV589897 QKR589897 QUN589897 REJ589897 ROF589897 RYB589897 SHX589897 SRT589897 TBP589897 TLL589897 TVH589897 UFD589897 UOZ589897 UYV589897 VIR589897 VSN589897 WCJ589897 WMF589897 WWB589897 T655433 JP655433 TL655433 ADH655433 AND655433 AWZ655433 BGV655433 BQR655433 CAN655433 CKJ655433 CUF655433 DEB655433 DNX655433 DXT655433 EHP655433 ERL655433 FBH655433 FLD655433 FUZ655433 GEV655433 GOR655433 GYN655433 HIJ655433 HSF655433 ICB655433 ILX655433 IVT655433 JFP655433 JPL655433 JZH655433 KJD655433 KSZ655433 LCV655433 LMR655433 LWN655433 MGJ655433 MQF655433 NAB655433 NJX655433 NTT655433 ODP655433 ONL655433 OXH655433 PHD655433 PQZ655433 QAV655433 QKR655433 QUN655433 REJ655433 ROF655433 RYB655433 SHX655433 SRT655433 TBP655433 TLL655433 TVH655433 UFD655433 UOZ655433 UYV655433 VIR655433 VSN655433 WCJ655433 WMF655433 WWB655433 T720969 JP720969 TL720969 ADH720969 AND720969 AWZ720969 BGV720969 BQR720969 CAN720969 CKJ720969 CUF720969 DEB720969 DNX720969 DXT720969 EHP720969 ERL720969 FBH720969 FLD720969 FUZ720969 GEV720969 GOR720969 GYN720969 HIJ720969 HSF720969 ICB720969 ILX720969 IVT720969 JFP720969 JPL720969 JZH720969 KJD720969 KSZ720969 LCV720969 LMR720969 LWN720969 MGJ720969 MQF720969 NAB720969 NJX720969 NTT720969 ODP720969 ONL720969 OXH720969 PHD720969 PQZ720969 QAV720969 QKR720969 QUN720969 REJ720969 ROF720969 RYB720969 SHX720969 SRT720969 TBP720969 TLL720969 TVH720969 UFD720969 UOZ720969 UYV720969 VIR720969 VSN720969 WCJ720969 WMF720969 WWB720969 T786505 JP786505 TL786505 ADH786505 AND786505 AWZ786505 BGV786505 BQR786505 CAN786505 CKJ786505 CUF786505 DEB786505 DNX786505 DXT786505 EHP786505 ERL786505 FBH786505 FLD786505 FUZ786505 GEV786505 GOR786505 GYN786505 HIJ786505 HSF786505 ICB786505 ILX786505 IVT786505 JFP786505 JPL786505 JZH786505 KJD786505 KSZ786505 LCV786505 LMR786505 LWN786505 MGJ786505 MQF786505 NAB786505 NJX786505 NTT786505 ODP786505 ONL786505 OXH786505 PHD786505 PQZ786505 QAV786505 QKR786505 QUN786505 REJ786505 ROF786505 RYB786505 SHX786505 SRT786505 TBP786505 TLL786505 TVH786505 UFD786505 UOZ786505 UYV786505 VIR786505 VSN786505 WCJ786505 WMF786505 WWB786505 T852041 JP852041 TL852041 ADH852041 AND852041 AWZ852041 BGV852041 BQR852041 CAN852041 CKJ852041 CUF852041 DEB852041 DNX852041 DXT852041 EHP852041 ERL852041 FBH852041 FLD852041 FUZ852041 GEV852041 GOR852041 GYN852041 HIJ852041 HSF852041 ICB852041 ILX852041 IVT852041 JFP852041 JPL852041 JZH852041 KJD852041 KSZ852041 LCV852041 LMR852041 LWN852041 MGJ852041 MQF852041 NAB852041 NJX852041 NTT852041 ODP852041 ONL852041 OXH852041 PHD852041 PQZ852041 QAV852041 QKR852041 QUN852041 REJ852041 ROF852041 RYB852041 SHX852041 SRT852041 TBP852041 TLL852041 TVH852041 UFD852041 UOZ852041 UYV852041 VIR852041 VSN852041 WCJ852041 WMF852041 WWB852041 T917577 JP917577 TL917577 ADH917577 AND917577 AWZ917577 BGV917577 BQR917577 CAN917577 CKJ917577 CUF917577 DEB917577 DNX917577 DXT917577 EHP917577 ERL917577 FBH917577 FLD917577 FUZ917577 GEV917577 GOR917577 GYN917577 HIJ917577 HSF917577 ICB917577 ILX917577 IVT917577 JFP917577 JPL917577 JZH917577 KJD917577 KSZ917577 LCV917577 LMR917577 LWN917577 MGJ917577 MQF917577 NAB917577 NJX917577 NTT917577 ODP917577 ONL917577 OXH917577 PHD917577 PQZ917577 QAV917577 QKR917577 QUN917577 REJ917577 ROF917577 RYB917577 SHX917577 SRT917577 TBP917577 TLL917577 TVH917577 UFD917577 UOZ917577 UYV917577 VIR917577 VSN917577 WCJ917577 WMF917577 WWB917577 T983113 JP983113 TL983113 ADH983113 AND983113 AWZ983113 BGV983113 BQR983113 CAN983113 CKJ983113 CUF983113 DEB983113 DNX983113 DXT983113 EHP983113 ERL983113 FBH983113 FLD983113 FUZ983113 GEV983113 GOR983113 GYN983113 HIJ983113 HSF983113 ICB983113 ILX983113 IVT983113 JFP983113 JPL983113 JZH983113 KJD983113 KSZ983113 LCV983113 LMR983113 LWN983113 MGJ983113 MQF983113 NAB983113 NJX983113 NTT983113 ODP983113 ONL983113 OXH983113 PHD983113 PQZ983113 QAV983113 QKR983113 QUN983113 REJ983113 ROF983113 RYB983113 SHX983113 SRT983113 TBP983113 TLL983113 TVH983113 UFD983113 UOZ983113 UYV983113 VIR983113 VSN983113 WCJ983113 WMF983113 WWB983113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48"/>
  <sheetViews>
    <sheetView zoomScaleNormal="100" workbookViewId="0"/>
  </sheetViews>
  <sheetFormatPr defaultColWidth="9" defaultRowHeight="13.2"/>
  <cols>
    <col min="1" max="24" width="3.6640625" style="1209" customWidth="1"/>
    <col min="25" max="256" width="9" style="1209" customWidth="1"/>
    <col min="257" max="280" width="3.6640625" style="1209" customWidth="1"/>
    <col min="281" max="512" width="9" style="1209" customWidth="1"/>
    <col min="513" max="536" width="3.6640625" style="1209" customWidth="1"/>
    <col min="537" max="768" width="9" style="1209" customWidth="1"/>
    <col min="769" max="792" width="3.6640625" style="1209" customWidth="1"/>
    <col min="793" max="1024" width="9" style="1209" customWidth="1"/>
    <col min="1025" max="1048" width="3.6640625" style="1209" customWidth="1"/>
    <col min="1049" max="1280" width="9" style="1209" customWidth="1"/>
    <col min="1281" max="1304" width="3.6640625" style="1209" customWidth="1"/>
    <col min="1305" max="1536" width="9" style="1209" customWidth="1"/>
    <col min="1537" max="1560" width="3.6640625" style="1209" customWidth="1"/>
    <col min="1561" max="1792" width="9" style="1209" customWidth="1"/>
    <col min="1793" max="1816" width="3.6640625" style="1209" customWidth="1"/>
    <col min="1817" max="2048" width="9" style="1209" customWidth="1"/>
    <col min="2049" max="2072" width="3.6640625" style="1209" customWidth="1"/>
    <col min="2073" max="2304" width="9" style="1209" customWidth="1"/>
    <col min="2305" max="2328" width="3.6640625" style="1209" customWidth="1"/>
    <col min="2329" max="2560" width="9" style="1209" customWidth="1"/>
    <col min="2561" max="2584" width="3.6640625" style="1209" customWidth="1"/>
    <col min="2585" max="2816" width="9" style="1209" customWidth="1"/>
    <col min="2817" max="2840" width="3.6640625" style="1209" customWidth="1"/>
    <col min="2841" max="3072" width="9" style="1209" customWidth="1"/>
    <col min="3073" max="3096" width="3.6640625" style="1209" customWidth="1"/>
    <col min="3097" max="3328" width="9" style="1209" customWidth="1"/>
    <col min="3329" max="3352" width="3.6640625" style="1209" customWidth="1"/>
    <col min="3353" max="3584" width="9" style="1209" customWidth="1"/>
    <col min="3585" max="3608" width="3.6640625" style="1209" customWidth="1"/>
    <col min="3609" max="3840" width="9" style="1209" customWidth="1"/>
    <col min="3841" max="3864" width="3.6640625" style="1209" customWidth="1"/>
    <col min="3865" max="4096" width="9" style="1209" customWidth="1"/>
    <col min="4097" max="4120" width="3.6640625" style="1209" customWidth="1"/>
    <col min="4121" max="4352" width="9" style="1209" customWidth="1"/>
    <col min="4353" max="4376" width="3.6640625" style="1209" customWidth="1"/>
    <col min="4377" max="4608" width="9" style="1209" customWidth="1"/>
    <col min="4609" max="4632" width="3.6640625" style="1209" customWidth="1"/>
    <col min="4633" max="4864" width="9" style="1209" customWidth="1"/>
    <col min="4865" max="4888" width="3.6640625" style="1209" customWidth="1"/>
    <col min="4889" max="5120" width="9" style="1209" customWidth="1"/>
    <col min="5121" max="5144" width="3.6640625" style="1209" customWidth="1"/>
    <col min="5145" max="5376" width="9" style="1209" customWidth="1"/>
    <col min="5377" max="5400" width="3.6640625" style="1209" customWidth="1"/>
    <col min="5401" max="5632" width="9" style="1209" customWidth="1"/>
    <col min="5633" max="5656" width="3.6640625" style="1209" customWidth="1"/>
    <col min="5657" max="5888" width="9" style="1209" customWidth="1"/>
    <col min="5889" max="5912" width="3.6640625" style="1209" customWidth="1"/>
    <col min="5913" max="6144" width="9" style="1209" customWidth="1"/>
    <col min="6145" max="6168" width="3.6640625" style="1209" customWidth="1"/>
    <col min="6169" max="6400" width="9" style="1209" customWidth="1"/>
    <col min="6401" max="6424" width="3.6640625" style="1209" customWidth="1"/>
    <col min="6425" max="6656" width="9" style="1209" customWidth="1"/>
    <col min="6657" max="6680" width="3.6640625" style="1209" customWidth="1"/>
    <col min="6681" max="6912" width="9" style="1209" customWidth="1"/>
    <col min="6913" max="6936" width="3.6640625" style="1209" customWidth="1"/>
    <col min="6937" max="7168" width="9" style="1209" customWidth="1"/>
    <col min="7169" max="7192" width="3.6640625" style="1209" customWidth="1"/>
    <col min="7193" max="7424" width="9" style="1209" customWidth="1"/>
    <col min="7425" max="7448" width="3.6640625" style="1209" customWidth="1"/>
    <col min="7449" max="7680" width="9" style="1209" customWidth="1"/>
    <col min="7681" max="7704" width="3.6640625" style="1209" customWidth="1"/>
    <col min="7705" max="7936" width="9" style="1209" customWidth="1"/>
    <col min="7937" max="7960" width="3.6640625" style="1209" customWidth="1"/>
    <col min="7961" max="8192" width="9" style="1209" customWidth="1"/>
    <col min="8193" max="8216" width="3.6640625" style="1209" customWidth="1"/>
    <col min="8217" max="8448" width="9" style="1209" customWidth="1"/>
    <col min="8449" max="8472" width="3.6640625" style="1209" customWidth="1"/>
    <col min="8473" max="8704" width="9" style="1209" customWidth="1"/>
    <col min="8705" max="8728" width="3.6640625" style="1209" customWidth="1"/>
    <col min="8729" max="8960" width="9" style="1209" customWidth="1"/>
    <col min="8961" max="8984" width="3.6640625" style="1209" customWidth="1"/>
    <col min="8985" max="9216" width="9" style="1209" customWidth="1"/>
    <col min="9217" max="9240" width="3.6640625" style="1209" customWidth="1"/>
    <col min="9241" max="9472" width="9" style="1209" customWidth="1"/>
    <col min="9473" max="9496" width="3.6640625" style="1209" customWidth="1"/>
    <col min="9497" max="9728" width="9" style="1209" customWidth="1"/>
    <col min="9729" max="9752" width="3.6640625" style="1209" customWidth="1"/>
    <col min="9753" max="9984" width="9" style="1209" customWidth="1"/>
    <col min="9985" max="10008" width="3.6640625" style="1209" customWidth="1"/>
    <col min="10009" max="10240" width="9" style="1209" customWidth="1"/>
    <col min="10241" max="10264" width="3.6640625" style="1209" customWidth="1"/>
    <col min="10265" max="10496" width="9" style="1209" customWidth="1"/>
    <col min="10497" max="10520" width="3.6640625" style="1209" customWidth="1"/>
    <col min="10521" max="10752" width="9" style="1209" customWidth="1"/>
    <col min="10753" max="10776" width="3.6640625" style="1209" customWidth="1"/>
    <col min="10777" max="11008" width="9" style="1209" customWidth="1"/>
    <col min="11009" max="11032" width="3.6640625" style="1209" customWidth="1"/>
    <col min="11033" max="11264" width="9" style="1209" customWidth="1"/>
    <col min="11265" max="11288" width="3.6640625" style="1209" customWidth="1"/>
    <col min="11289" max="11520" width="9" style="1209" customWidth="1"/>
    <col min="11521" max="11544" width="3.6640625" style="1209" customWidth="1"/>
    <col min="11545" max="11776" width="9" style="1209" customWidth="1"/>
    <col min="11777" max="11800" width="3.6640625" style="1209" customWidth="1"/>
    <col min="11801" max="12032" width="9" style="1209" customWidth="1"/>
    <col min="12033" max="12056" width="3.6640625" style="1209" customWidth="1"/>
    <col min="12057" max="12288" width="9" style="1209" customWidth="1"/>
    <col min="12289" max="12312" width="3.6640625" style="1209" customWidth="1"/>
    <col min="12313" max="12544" width="9" style="1209" customWidth="1"/>
    <col min="12545" max="12568" width="3.6640625" style="1209" customWidth="1"/>
    <col min="12569" max="12800" width="9" style="1209" customWidth="1"/>
    <col min="12801" max="12824" width="3.6640625" style="1209" customWidth="1"/>
    <col min="12825" max="13056" width="9" style="1209" customWidth="1"/>
    <col min="13057" max="13080" width="3.6640625" style="1209" customWidth="1"/>
    <col min="13081" max="13312" width="9" style="1209" customWidth="1"/>
    <col min="13313" max="13336" width="3.6640625" style="1209" customWidth="1"/>
    <col min="13337" max="13568" width="9" style="1209" customWidth="1"/>
    <col min="13569" max="13592" width="3.6640625" style="1209" customWidth="1"/>
    <col min="13593" max="13824" width="9" style="1209" customWidth="1"/>
    <col min="13825" max="13848" width="3.6640625" style="1209" customWidth="1"/>
    <col min="13849" max="14080" width="9" style="1209" customWidth="1"/>
    <col min="14081" max="14104" width="3.6640625" style="1209" customWidth="1"/>
    <col min="14105" max="14336" width="9" style="1209" customWidth="1"/>
    <col min="14337" max="14360" width="3.6640625" style="1209" customWidth="1"/>
    <col min="14361" max="14592" width="9" style="1209" customWidth="1"/>
    <col min="14593" max="14616" width="3.6640625" style="1209" customWidth="1"/>
    <col min="14617" max="14848" width="9" style="1209" customWidth="1"/>
    <col min="14849" max="14872" width="3.6640625" style="1209" customWidth="1"/>
    <col min="14873" max="15104" width="9" style="1209" customWidth="1"/>
    <col min="15105" max="15128" width="3.6640625" style="1209" customWidth="1"/>
    <col min="15129" max="15360" width="9" style="1209" customWidth="1"/>
    <col min="15361" max="15384" width="3.6640625" style="1209" customWidth="1"/>
    <col min="15385" max="15616" width="9" style="1209" customWidth="1"/>
    <col min="15617" max="15640" width="3.6640625" style="1209" customWidth="1"/>
    <col min="15641" max="15872" width="9" style="1209" customWidth="1"/>
    <col min="15873" max="15896" width="3.6640625" style="1209" customWidth="1"/>
    <col min="15897" max="16128" width="9" style="1209" customWidth="1"/>
    <col min="16129" max="16152" width="3.6640625" style="1209" customWidth="1"/>
    <col min="16153" max="16384" width="9" style="1209" customWidth="1"/>
  </cols>
  <sheetData>
    <row r="1" spans="1:25" s="1127" customFormat="1" ht="15" customHeight="1">
      <c r="A1" s="1413" t="s">
        <v>4011</v>
      </c>
      <c r="B1" s="1413"/>
      <c r="C1" s="1413"/>
      <c r="D1" s="1413"/>
      <c r="E1" s="1413"/>
      <c r="F1" s="1413"/>
      <c r="G1" s="1413"/>
      <c r="H1" s="1413"/>
      <c r="I1" s="1413"/>
      <c r="J1" s="1413"/>
      <c r="K1" s="1413"/>
      <c r="L1" s="1413"/>
      <c r="M1" s="1413"/>
      <c r="N1" s="1413"/>
      <c r="O1" s="1413"/>
      <c r="P1" s="1413"/>
      <c r="Q1" s="1413"/>
      <c r="R1" s="1413"/>
      <c r="S1" s="1413"/>
      <c r="T1" s="1413"/>
      <c r="U1" s="1413"/>
      <c r="V1" s="1413"/>
      <c r="W1" s="1413"/>
      <c r="X1" s="1413"/>
      <c r="Y1" s="1114"/>
    </row>
    <row r="2" spans="1:25" s="1127" customFormat="1" ht="15" customHeight="1">
      <c r="A2" s="1127" t="s">
        <v>4012</v>
      </c>
    </row>
    <row r="3" spans="1:25" s="1127" customFormat="1" ht="20.100000000000001" customHeight="1">
      <c r="A3" s="1186" t="s">
        <v>3909</v>
      </c>
      <c r="B3" s="1186"/>
      <c r="C3" s="1187"/>
      <c r="D3" s="1187"/>
      <c r="E3" s="1187"/>
      <c r="F3" s="1187"/>
      <c r="G3" s="1187"/>
      <c r="H3" s="1188">
        <v>1</v>
      </c>
      <c r="I3" s="1187"/>
      <c r="J3" s="1187"/>
      <c r="K3" s="1187"/>
      <c r="L3" s="1187"/>
      <c r="M3" s="1187"/>
      <c r="N3" s="1187"/>
      <c r="O3" s="1187"/>
      <c r="P3" s="1187"/>
      <c r="Q3" s="1187"/>
      <c r="R3" s="1187"/>
      <c r="S3" s="1187"/>
      <c r="T3" s="1187"/>
      <c r="U3" s="1187"/>
      <c r="V3" s="1187"/>
      <c r="W3" s="1187"/>
      <c r="X3" s="1187"/>
    </row>
    <row r="4" spans="1:25" s="1127" customFormat="1" ht="20.100000000000001" customHeight="1">
      <c r="A4" s="1186" t="s">
        <v>4013</v>
      </c>
      <c r="B4" s="1186"/>
      <c r="C4" s="1187"/>
      <c r="D4" s="1187"/>
      <c r="E4" s="1187"/>
      <c r="F4" s="1187"/>
      <c r="G4" s="1187"/>
      <c r="H4" s="1424"/>
      <c r="I4" s="1424"/>
      <c r="J4" s="1187" t="s">
        <v>24</v>
      </c>
      <c r="K4" s="1187"/>
      <c r="L4" s="1187"/>
      <c r="M4" s="1187"/>
      <c r="N4" s="1187"/>
      <c r="O4" s="1187"/>
      <c r="P4" s="1187"/>
      <c r="Q4" s="1187"/>
      <c r="R4" s="1187"/>
      <c r="S4" s="1187"/>
      <c r="T4" s="1187"/>
      <c r="U4" s="1187"/>
      <c r="V4" s="1187"/>
      <c r="W4" s="1187"/>
      <c r="X4" s="1187"/>
    </row>
    <row r="5" spans="1:25" s="1127" customFormat="1" ht="20.100000000000001" customHeight="1">
      <c r="A5" s="1118" t="s">
        <v>4014</v>
      </c>
      <c r="B5" s="1118"/>
    </row>
    <row r="6" spans="1:25" s="1127" customFormat="1" ht="20.100000000000001" customHeight="1">
      <c r="A6" s="1118"/>
      <c r="B6" s="1118" t="s">
        <v>4015</v>
      </c>
      <c r="H6" s="1422"/>
      <c r="I6" s="1422"/>
      <c r="J6" s="1127" t="s">
        <v>3822</v>
      </c>
    </row>
    <row r="7" spans="1:25" s="1127" customFormat="1" ht="20.100000000000001" customHeight="1">
      <c r="A7" s="1118"/>
      <c r="B7" s="1118" t="s">
        <v>3945</v>
      </c>
      <c r="H7" s="1422"/>
      <c r="I7" s="1422"/>
      <c r="J7" s="1127" t="s">
        <v>3822</v>
      </c>
    </row>
    <row r="8" spans="1:25" s="1127" customFormat="1" ht="20.100000000000001" customHeight="1">
      <c r="A8" s="1118"/>
      <c r="B8" s="1118" t="s">
        <v>4016</v>
      </c>
      <c r="F8" s="1118" t="s">
        <v>3886</v>
      </c>
      <c r="I8" s="1214"/>
      <c r="J8" s="1127" t="s">
        <v>382</v>
      </c>
      <c r="M8" s="1118" t="s">
        <v>3113</v>
      </c>
      <c r="P8" s="1214"/>
      <c r="Q8" s="1127" t="s">
        <v>382</v>
      </c>
    </row>
    <row r="9" spans="1:25" s="1127" customFormat="1" ht="20.100000000000001" customHeight="1">
      <c r="A9" s="1118"/>
      <c r="B9" s="1118" t="s">
        <v>4017</v>
      </c>
      <c r="E9" s="1409"/>
      <c r="F9" s="1410"/>
      <c r="G9" s="1410"/>
      <c r="H9" s="1410"/>
      <c r="I9" s="1410"/>
      <c r="J9" s="1410"/>
      <c r="K9" s="1410"/>
      <c r="L9" s="1410"/>
    </row>
    <row r="10" spans="1:25" s="1127" customFormat="1" ht="20.100000000000001" customHeight="1">
      <c r="A10" s="1123" t="s">
        <v>4018</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row>
    <row r="11" spans="1:25" s="1127" customFormat="1" ht="20.100000000000001" customHeight="1">
      <c r="B11" s="1191" t="s">
        <v>40</v>
      </c>
      <c r="C11" s="1118" t="s">
        <v>4019</v>
      </c>
    </row>
    <row r="12" spans="1:25" s="1127" customFormat="1" ht="20.100000000000001" customHeight="1">
      <c r="B12" s="1191" t="s">
        <v>40</v>
      </c>
      <c r="C12" s="1118" t="s">
        <v>4020</v>
      </c>
    </row>
    <row r="13" spans="1:25" s="1127" customFormat="1" ht="20.100000000000001" customHeight="1">
      <c r="A13" s="1123" t="s">
        <v>4021</v>
      </c>
      <c r="B13" s="1126"/>
      <c r="C13" s="1123"/>
      <c r="D13" s="1126"/>
      <c r="E13" s="1126"/>
      <c r="F13" s="1126"/>
      <c r="G13" s="1126"/>
      <c r="H13" s="1126"/>
      <c r="I13" s="1126"/>
      <c r="J13" s="1126"/>
      <c r="K13" s="1126"/>
      <c r="L13" s="1126"/>
      <c r="M13" s="1126"/>
      <c r="N13" s="1126"/>
      <c r="O13" s="1126"/>
      <c r="P13" s="1126"/>
      <c r="Q13" s="1126"/>
      <c r="R13" s="1126"/>
      <c r="S13" s="1126"/>
      <c r="T13" s="1126"/>
      <c r="U13" s="1126"/>
      <c r="V13" s="1126"/>
      <c r="W13" s="1126"/>
      <c r="X13" s="1126"/>
    </row>
    <row r="14" spans="1:25" s="1127" customFormat="1" ht="20.100000000000001" customHeight="1">
      <c r="B14" s="1191" t="s">
        <v>40</v>
      </c>
      <c r="C14" s="1118" t="s">
        <v>4022</v>
      </c>
    </row>
    <row r="15" spans="1:25" s="1127" customFormat="1" ht="20.100000000000001" customHeight="1">
      <c r="B15" s="1191" t="s">
        <v>40</v>
      </c>
      <c r="C15" s="1118" t="s">
        <v>4023</v>
      </c>
    </row>
    <row r="16" spans="1:25" s="1127" customFormat="1" ht="20.100000000000001" customHeight="1">
      <c r="B16" s="1191" t="s">
        <v>40</v>
      </c>
      <c r="C16" s="1118" t="s">
        <v>4024</v>
      </c>
    </row>
    <row r="17" spans="1:24" s="1127" customFormat="1" ht="20.100000000000001" customHeight="1">
      <c r="B17" s="1191" t="s">
        <v>40</v>
      </c>
      <c r="C17" s="1118" t="s">
        <v>4025</v>
      </c>
    </row>
    <row r="18" spans="1:24" s="1127" customFormat="1" ht="20.100000000000001" customHeight="1">
      <c r="B18" s="1191" t="s">
        <v>40</v>
      </c>
      <c r="C18" s="1116" t="s">
        <v>4026</v>
      </c>
    </row>
    <row r="19" spans="1:24" s="1127" customFormat="1" ht="20.100000000000001" customHeight="1">
      <c r="A19" s="1123" t="s">
        <v>4027</v>
      </c>
      <c r="B19" s="1123"/>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row>
    <row r="20" spans="1:24" s="1127" customFormat="1" ht="20.100000000000001" customHeight="1">
      <c r="A20" s="1118"/>
      <c r="B20" s="1118" t="s">
        <v>4028</v>
      </c>
      <c r="E20" s="1423"/>
      <c r="F20" s="1423"/>
      <c r="G20" s="1423"/>
      <c r="H20" s="1423"/>
      <c r="I20" s="1423"/>
      <c r="J20" s="1423"/>
      <c r="K20" s="1423"/>
      <c r="L20" s="1423"/>
      <c r="M20" s="1423"/>
      <c r="N20" s="1423"/>
      <c r="O20" s="1423"/>
      <c r="P20" s="1423"/>
      <c r="Q20" s="1423"/>
      <c r="R20" s="1406"/>
      <c r="S20" s="1406"/>
      <c r="T20" s="1406"/>
      <c r="U20" s="1406"/>
      <c r="V20" s="1406"/>
      <c r="W20" s="1406"/>
      <c r="X20" s="1406"/>
    </row>
    <row r="21" spans="1:24" s="1127" customFormat="1" ht="20.100000000000001" customHeight="1">
      <c r="A21" s="1118"/>
      <c r="B21" s="1118" t="s">
        <v>4029</v>
      </c>
      <c r="E21" s="1423"/>
      <c r="F21" s="1423"/>
      <c r="G21" s="1423"/>
      <c r="H21" s="1423"/>
      <c r="I21" s="1423"/>
      <c r="J21" s="1423"/>
      <c r="K21" s="1423"/>
      <c r="L21" s="1423"/>
      <c r="M21" s="1423"/>
      <c r="N21" s="1423"/>
      <c r="O21" s="1423"/>
      <c r="P21" s="1423"/>
      <c r="Q21" s="1423"/>
      <c r="R21" s="1406"/>
      <c r="S21" s="1406"/>
      <c r="T21" s="1406"/>
      <c r="U21" s="1406"/>
      <c r="V21" s="1406"/>
      <c r="W21" s="1406"/>
      <c r="X21" s="1406"/>
    </row>
    <row r="22" spans="1:24" s="1127" customFormat="1" ht="20.100000000000001" customHeight="1">
      <c r="B22" s="1191" t="s">
        <v>40</v>
      </c>
      <c r="C22" s="1118" t="s">
        <v>4030</v>
      </c>
    </row>
    <row r="23" spans="1:24" s="1127" customFormat="1" ht="20.100000000000001" customHeight="1">
      <c r="M23" s="1118" t="s">
        <v>4031</v>
      </c>
      <c r="Q23" s="1423"/>
      <c r="R23" s="1406"/>
      <c r="S23" s="1406"/>
      <c r="T23" s="1406"/>
      <c r="U23" s="1406"/>
      <c r="V23" s="1127" t="s">
        <v>3</v>
      </c>
    </row>
    <row r="24" spans="1:24" s="1127" customFormat="1" ht="20.100000000000001" customHeight="1">
      <c r="B24" s="1191" t="s">
        <v>40</v>
      </c>
      <c r="C24" s="1118" t="s">
        <v>4032</v>
      </c>
    </row>
    <row r="25" spans="1:24" s="1127" customFormat="1" ht="20.100000000000001" customHeight="1">
      <c r="A25" s="1186" t="s">
        <v>4033</v>
      </c>
      <c r="B25" s="1187"/>
      <c r="C25" s="1187"/>
      <c r="D25" s="1187"/>
      <c r="E25" s="1187"/>
      <c r="F25" s="1187"/>
      <c r="G25" s="1187"/>
      <c r="H25" s="1187"/>
      <c r="I25" s="1187"/>
      <c r="J25" s="1187"/>
      <c r="K25" s="1187"/>
      <c r="L25" s="1187"/>
      <c r="M25" s="1187"/>
      <c r="N25" s="1187"/>
      <c r="O25" s="1187"/>
      <c r="P25" s="1187"/>
      <c r="Q25" s="1187" t="s">
        <v>2</v>
      </c>
      <c r="R25" s="1386"/>
      <c r="S25" s="1387"/>
      <c r="T25" s="1387"/>
      <c r="U25" s="1387"/>
      <c r="V25" s="1387"/>
      <c r="W25" s="1187" t="s">
        <v>3</v>
      </c>
      <c r="X25" s="1187"/>
    </row>
    <row r="26" spans="1:24" s="1127" customFormat="1" ht="20.100000000000001" customHeight="1">
      <c r="A26" s="1118" t="s">
        <v>4034</v>
      </c>
    </row>
    <row r="27" spans="1:24" s="1127" customFormat="1" ht="20.100000000000001" customHeight="1">
      <c r="A27" s="1207"/>
      <c r="B27" s="1409"/>
      <c r="C27" s="1410"/>
      <c r="D27" s="1410"/>
      <c r="E27" s="1410"/>
      <c r="F27" s="1410"/>
      <c r="G27" s="1410"/>
      <c r="H27" s="1410"/>
      <c r="I27" s="1410"/>
      <c r="J27" s="1410"/>
      <c r="K27" s="1410"/>
      <c r="L27" s="1410"/>
      <c r="M27" s="1410"/>
      <c r="N27" s="1410"/>
      <c r="O27" s="1410"/>
      <c r="P27" s="1410"/>
      <c r="Q27" s="1410"/>
      <c r="R27" s="1410"/>
      <c r="S27" s="1410"/>
      <c r="T27" s="1410"/>
      <c r="U27" s="1410"/>
      <c r="V27" s="1410"/>
      <c r="W27" s="1410"/>
      <c r="X27" s="1410"/>
    </row>
    <row r="28" spans="1:24" s="1114" customFormat="1" ht="20.100000000000001" customHeight="1"/>
    <row r="29" spans="1:24" s="1114" customFormat="1" ht="20.100000000000001" customHeight="1"/>
    <row r="30" spans="1:24" s="1114" customFormat="1" ht="20.100000000000001" customHeight="1"/>
    <row r="31" spans="1:24" s="1114" customFormat="1" ht="20.100000000000001" customHeight="1"/>
    <row r="32" spans="1:24" s="1114" customFormat="1" ht="20.100000000000001" customHeight="1"/>
    <row r="33" s="1114" customFormat="1" ht="20.100000000000001" customHeight="1"/>
    <row r="34" s="1114" customFormat="1" ht="20.100000000000001" customHeight="1"/>
    <row r="35" s="1114" customFormat="1" ht="20.100000000000001" customHeight="1"/>
    <row r="36" s="1114" customFormat="1" ht="20.100000000000001" customHeight="1"/>
    <row r="37" s="1114" customFormat="1" ht="20.100000000000001" customHeight="1"/>
    <row r="38" s="1114" customFormat="1" ht="20.100000000000001" customHeight="1"/>
    <row r="39" s="1114" customFormat="1" ht="20.100000000000001" customHeight="1"/>
    <row r="40" s="1114" customFormat="1" ht="20.100000000000001" customHeight="1"/>
    <row r="41" s="1114" customFormat="1" ht="20.100000000000001" customHeight="1"/>
    <row r="42" s="1114" customFormat="1" ht="20.100000000000001" customHeight="1"/>
    <row r="43" s="1114" customFormat="1" ht="20.100000000000001" customHeight="1"/>
    <row r="44" s="1114" customFormat="1" ht="20.100000000000001" customHeight="1"/>
    <row r="45" s="1114" customFormat="1" ht="17.399999999999999" customHeight="1"/>
    <row r="46" s="1114" customFormat="1" ht="17.399999999999999" customHeight="1"/>
    <row r="47" s="1114" customFormat="1" ht="17.399999999999999" customHeight="1"/>
    <row r="48" s="1114" customFormat="1" ht="17.399999999999999" customHeight="1"/>
  </sheetData>
  <sheetProtection formatCells="0"/>
  <mergeCells count="10">
    <mergeCell ref="E21:X21"/>
    <mergeCell ref="Q23:U23"/>
    <mergeCell ref="R25:V25"/>
    <mergeCell ref="B27:X27"/>
    <mergeCell ref="A1:X1"/>
    <mergeCell ref="H4:I4"/>
    <mergeCell ref="H6:I6"/>
    <mergeCell ref="H7:I7"/>
    <mergeCell ref="E9:L9"/>
    <mergeCell ref="E20:X20"/>
  </mergeCells>
  <phoneticPr fontId="122"/>
  <dataValidations count="1">
    <dataValidation type="list" allowBlank="1" showInputMessage="1" showErrorMessage="1" sqref="B11:B12 B14:B18 B22 B24 B65547:B65548 B65550:B65554 B65558 B65560 B131083:B131084 B131086:B131090 B131094 B131096 B196619:B196620 B196622:B196626 B196630 B196632 B262155:B262156 B262158:B262162 B262166 B262168 B327691:B327692 B327694:B327698 B327702 B327704 B393227:B393228 B393230:B393234 B393238 B393240 B458763:B458764 B458766:B458770 B458774 B458776 B524299:B524300 B524302:B524306 B524310 B524312 B589835:B589836 B589838:B589842 B589846 B589848 B655371:B655372 B655374:B655378 B655382 B655384 B720907:B720908 B720910:B720914 B720918 B720920 B786443:B786444 B786446:B786450 B786454 B786456 B851979:B851980 B851982:B851986 B851990 B851992 B917515:B917516 B917518:B917522 B917526 B917528 B983051:B983052 B983054:B983058 B983062 B983064 IX11:IX12 IX14:IX18 IX22 IX24 IX65547:IX65548 IX65550:IX65554 IX65558 IX65560 IX131083:IX131084 IX131086:IX131090 IX131094 IX131096 IX196619:IX196620 IX196622:IX196626 IX196630 IX196632 IX262155:IX262156 IX262158:IX262162 IX262166 IX262168 IX327691:IX327692 IX327694:IX327698 IX327702 IX327704 IX393227:IX393228 IX393230:IX393234 IX393238 IX393240 IX458763:IX458764 IX458766:IX458770 IX458774 IX458776 IX524299:IX524300 IX524302:IX524306 IX524310 IX524312 IX589835:IX589836 IX589838:IX589842 IX589846 IX589848 IX655371:IX655372 IX655374:IX655378 IX655382 IX655384 IX720907:IX720908 IX720910:IX720914 IX720918 IX720920 IX786443:IX786444 IX786446:IX786450 IX786454 IX786456 IX851979:IX851980 IX851982:IX851986 IX851990 IX851992 IX917515:IX917516 IX917518:IX917522 IX917526 IX917528 IX983051:IX983052 IX983054:IX983058 IX983062 IX983064 ST11:ST12 ST14:ST18 ST22 ST24 ST65547:ST65548 ST65550:ST65554 ST65558 ST65560 ST131083:ST131084 ST131086:ST131090 ST131094 ST131096 ST196619:ST196620 ST196622:ST196626 ST196630 ST196632 ST262155:ST262156 ST262158:ST262162 ST262166 ST262168 ST327691:ST327692 ST327694:ST327698 ST327702 ST327704 ST393227:ST393228 ST393230:ST393234 ST393238 ST393240 ST458763:ST458764 ST458766:ST458770 ST458774 ST458776 ST524299:ST524300 ST524302:ST524306 ST524310 ST524312 ST589835:ST589836 ST589838:ST589842 ST589846 ST589848 ST655371:ST655372 ST655374:ST655378 ST655382 ST655384 ST720907:ST720908 ST720910:ST720914 ST720918 ST720920 ST786443:ST786444 ST786446:ST786450 ST786454 ST786456 ST851979:ST851980 ST851982:ST851986 ST851990 ST851992 ST917515:ST917516 ST917518:ST917522 ST917526 ST917528 ST983051:ST983052 ST983054:ST983058 ST983062 ST983064 ACP11:ACP12 ACP14:ACP18 ACP22 ACP24 ACP65547:ACP65548 ACP65550:ACP65554 ACP65558 ACP65560 ACP131083:ACP131084 ACP131086:ACP131090 ACP131094 ACP131096 ACP196619:ACP196620 ACP196622:ACP196626 ACP196630 ACP196632 ACP262155:ACP262156 ACP262158:ACP262162 ACP262166 ACP262168 ACP327691:ACP327692 ACP327694:ACP327698 ACP327702 ACP327704 ACP393227:ACP393228 ACP393230:ACP393234 ACP393238 ACP393240 ACP458763:ACP458764 ACP458766:ACP458770 ACP458774 ACP458776 ACP524299:ACP524300 ACP524302:ACP524306 ACP524310 ACP524312 ACP589835:ACP589836 ACP589838:ACP589842 ACP589846 ACP589848 ACP655371:ACP655372 ACP655374:ACP655378 ACP655382 ACP655384 ACP720907:ACP720908 ACP720910:ACP720914 ACP720918 ACP720920 ACP786443:ACP786444 ACP786446:ACP786450 ACP786454 ACP786456 ACP851979:ACP851980 ACP851982:ACP851986 ACP851990 ACP851992 ACP917515:ACP917516 ACP917518:ACP917522 ACP917526 ACP917528 ACP983051:ACP983052 ACP983054:ACP983058 ACP983062 ACP983064 AML11:AML12 AML14:AML18 AML22 AML24 AML65547:AML65548 AML65550:AML65554 AML65558 AML65560 AML131083:AML131084 AML131086:AML131090 AML131094 AML131096 AML196619:AML196620 AML196622:AML196626 AML196630 AML196632 AML262155:AML262156 AML262158:AML262162 AML262166 AML262168 AML327691:AML327692 AML327694:AML327698 AML327702 AML327704 AML393227:AML393228 AML393230:AML393234 AML393238 AML393240 AML458763:AML458764 AML458766:AML458770 AML458774 AML458776 AML524299:AML524300 AML524302:AML524306 AML524310 AML524312 AML589835:AML589836 AML589838:AML589842 AML589846 AML589848 AML655371:AML655372 AML655374:AML655378 AML655382 AML655384 AML720907:AML720908 AML720910:AML720914 AML720918 AML720920 AML786443:AML786444 AML786446:AML786450 AML786454 AML786456 AML851979:AML851980 AML851982:AML851986 AML851990 AML851992 AML917515:AML917516 AML917518:AML917522 AML917526 AML917528 AML983051:AML983052 AML983054:AML983058 AML983062 AML983064 AWH11:AWH12 AWH14:AWH18 AWH22 AWH24 AWH65547:AWH65548 AWH65550:AWH65554 AWH65558 AWH65560 AWH131083:AWH131084 AWH131086:AWH131090 AWH131094 AWH131096 AWH196619:AWH196620 AWH196622:AWH196626 AWH196630 AWH196632 AWH262155:AWH262156 AWH262158:AWH262162 AWH262166 AWH262168 AWH327691:AWH327692 AWH327694:AWH327698 AWH327702 AWH327704 AWH393227:AWH393228 AWH393230:AWH393234 AWH393238 AWH393240 AWH458763:AWH458764 AWH458766:AWH458770 AWH458774 AWH458776 AWH524299:AWH524300 AWH524302:AWH524306 AWH524310 AWH524312 AWH589835:AWH589836 AWH589838:AWH589842 AWH589846 AWH589848 AWH655371:AWH655372 AWH655374:AWH655378 AWH655382 AWH655384 AWH720907:AWH720908 AWH720910:AWH720914 AWH720918 AWH720920 AWH786443:AWH786444 AWH786446:AWH786450 AWH786454 AWH786456 AWH851979:AWH851980 AWH851982:AWH851986 AWH851990 AWH851992 AWH917515:AWH917516 AWH917518:AWH917522 AWH917526 AWH917528 AWH983051:AWH983052 AWH983054:AWH983058 AWH983062 AWH983064 BGD11:BGD12 BGD14:BGD18 BGD22 BGD24 BGD65547:BGD65548 BGD65550:BGD65554 BGD65558 BGD65560 BGD131083:BGD131084 BGD131086:BGD131090 BGD131094 BGD131096 BGD196619:BGD196620 BGD196622:BGD196626 BGD196630 BGD196632 BGD262155:BGD262156 BGD262158:BGD262162 BGD262166 BGD262168 BGD327691:BGD327692 BGD327694:BGD327698 BGD327702 BGD327704 BGD393227:BGD393228 BGD393230:BGD393234 BGD393238 BGD393240 BGD458763:BGD458764 BGD458766:BGD458770 BGD458774 BGD458776 BGD524299:BGD524300 BGD524302:BGD524306 BGD524310 BGD524312 BGD589835:BGD589836 BGD589838:BGD589842 BGD589846 BGD589848 BGD655371:BGD655372 BGD655374:BGD655378 BGD655382 BGD655384 BGD720907:BGD720908 BGD720910:BGD720914 BGD720918 BGD720920 BGD786443:BGD786444 BGD786446:BGD786450 BGD786454 BGD786456 BGD851979:BGD851980 BGD851982:BGD851986 BGD851990 BGD851992 BGD917515:BGD917516 BGD917518:BGD917522 BGD917526 BGD917528 BGD983051:BGD983052 BGD983054:BGD983058 BGD983062 BGD983064 BPZ11:BPZ12 BPZ14:BPZ18 BPZ22 BPZ24 BPZ65547:BPZ65548 BPZ65550:BPZ65554 BPZ65558 BPZ65560 BPZ131083:BPZ131084 BPZ131086:BPZ131090 BPZ131094 BPZ131096 BPZ196619:BPZ196620 BPZ196622:BPZ196626 BPZ196630 BPZ196632 BPZ262155:BPZ262156 BPZ262158:BPZ262162 BPZ262166 BPZ262168 BPZ327691:BPZ327692 BPZ327694:BPZ327698 BPZ327702 BPZ327704 BPZ393227:BPZ393228 BPZ393230:BPZ393234 BPZ393238 BPZ393240 BPZ458763:BPZ458764 BPZ458766:BPZ458770 BPZ458774 BPZ458776 BPZ524299:BPZ524300 BPZ524302:BPZ524306 BPZ524310 BPZ524312 BPZ589835:BPZ589836 BPZ589838:BPZ589842 BPZ589846 BPZ589848 BPZ655371:BPZ655372 BPZ655374:BPZ655378 BPZ655382 BPZ655384 BPZ720907:BPZ720908 BPZ720910:BPZ720914 BPZ720918 BPZ720920 BPZ786443:BPZ786444 BPZ786446:BPZ786450 BPZ786454 BPZ786456 BPZ851979:BPZ851980 BPZ851982:BPZ851986 BPZ851990 BPZ851992 BPZ917515:BPZ917516 BPZ917518:BPZ917522 BPZ917526 BPZ917528 BPZ983051:BPZ983052 BPZ983054:BPZ983058 BPZ983062 BPZ983064 BZV11:BZV12 BZV14:BZV18 BZV22 BZV24 BZV65547:BZV65548 BZV65550:BZV65554 BZV65558 BZV65560 BZV131083:BZV131084 BZV131086:BZV131090 BZV131094 BZV131096 BZV196619:BZV196620 BZV196622:BZV196626 BZV196630 BZV196632 BZV262155:BZV262156 BZV262158:BZV262162 BZV262166 BZV262168 BZV327691:BZV327692 BZV327694:BZV327698 BZV327702 BZV327704 BZV393227:BZV393228 BZV393230:BZV393234 BZV393238 BZV393240 BZV458763:BZV458764 BZV458766:BZV458770 BZV458774 BZV458776 BZV524299:BZV524300 BZV524302:BZV524306 BZV524310 BZV524312 BZV589835:BZV589836 BZV589838:BZV589842 BZV589846 BZV589848 BZV655371:BZV655372 BZV655374:BZV655378 BZV655382 BZV655384 BZV720907:BZV720908 BZV720910:BZV720914 BZV720918 BZV720920 BZV786443:BZV786444 BZV786446:BZV786450 BZV786454 BZV786456 BZV851979:BZV851980 BZV851982:BZV851986 BZV851990 BZV851992 BZV917515:BZV917516 BZV917518:BZV917522 BZV917526 BZV917528 BZV983051:BZV983052 BZV983054:BZV983058 BZV983062 BZV983064 CJR11:CJR12 CJR14:CJR18 CJR22 CJR24 CJR65547:CJR65548 CJR65550:CJR65554 CJR65558 CJR65560 CJR131083:CJR131084 CJR131086:CJR131090 CJR131094 CJR131096 CJR196619:CJR196620 CJR196622:CJR196626 CJR196630 CJR196632 CJR262155:CJR262156 CJR262158:CJR262162 CJR262166 CJR262168 CJR327691:CJR327692 CJR327694:CJR327698 CJR327702 CJR327704 CJR393227:CJR393228 CJR393230:CJR393234 CJR393238 CJR393240 CJR458763:CJR458764 CJR458766:CJR458770 CJR458774 CJR458776 CJR524299:CJR524300 CJR524302:CJR524306 CJR524310 CJR524312 CJR589835:CJR589836 CJR589838:CJR589842 CJR589846 CJR589848 CJR655371:CJR655372 CJR655374:CJR655378 CJR655382 CJR655384 CJR720907:CJR720908 CJR720910:CJR720914 CJR720918 CJR720920 CJR786443:CJR786444 CJR786446:CJR786450 CJR786454 CJR786456 CJR851979:CJR851980 CJR851982:CJR851986 CJR851990 CJR851992 CJR917515:CJR917516 CJR917518:CJR917522 CJR917526 CJR917528 CJR983051:CJR983052 CJR983054:CJR983058 CJR983062 CJR983064 CTN11:CTN12 CTN14:CTN18 CTN22 CTN24 CTN65547:CTN65548 CTN65550:CTN65554 CTN65558 CTN65560 CTN131083:CTN131084 CTN131086:CTN131090 CTN131094 CTN131096 CTN196619:CTN196620 CTN196622:CTN196626 CTN196630 CTN196632 CTN262155:CTN262156 CTN262158:CTN262162 CTN262166 CTN262168 CTN327691:CTN327692 CTN327694:CTN327698 CTN327702 CTN327704 CTN393227:CTN393228 CTN393230:CTN393234 CTN393238 CTN393240 CTN458763:CTN458764 CTN458766:CTN458770 CTN458774 CTN458776 CTN524299:CTN524300 CTN524302:CTN524306 CTN524310 CTN524312 CTN589835:CTN589836 CTN589838:CTN589842 CTN589846 CTN589848 CTN655371:CTN655372 CTN655374:CTN655378 CTN655382 CTN655384 CTN720907:CTN720908 CTN720910:CTN720914 CTN720918 CTN720920 CTN786443:CTN786444 CTN786446:CTN786450 CTN786454 CTN786456 CTN851979:CTN851980 CTN851982:CTN851986 CTN851990 CTN851992 CTN917515:CTN917516 CTN917518:CTN917522 CTN917526 CTN917528 CTN983051:CTN983052 CTN983054:CTN983058 CTN983062 CTN983064 DDJ11:DDJ12 DDJ14:DDJ18 DDJ22 DDJ24 DDJ65547:DDJ65548 DDJ65550:DDJ65554 DDJ65558 DDJ65560 DDJ131083:DDJ131084 DDJ131086:DDJ131090 DDJ131094 DDJ131096 DDJ196619:DDJ196620 DDJ196622:DDJ196626 DDJ196630 DDJ196632 DDJ262155:DDJ262156 DDJ262158:DDJ262162 DDJ262166 DDJ262168 DDJ327691:DDJ327692 DDJ327694:DDJ327698 DDJ327702 DDJ327704 DDJ393227:DDJ393228 DDJ393230:DDJ393234 DDJ393238 DDJ393240 DDJ458763:DDJ458764 DDJ458766:DDJ458770 DDJ458774 DDJ458776 DDJ524299:DDJ524300 DDJ524302:DDJ524306 DDJ524310 DDJ524312 DDJ589835:DDJ589836 DDJ589838:DDJ589842 DDJ589846 DDJ589848 DDJ655371:DDJ655372 DDJ655374:DDJ655378 DDJ655382 DDJ655384 DDJ720907:DDJ720908 DDJ720910:DDJ720914 DDJ720918 DDJ720920 DDJ786443:DDJ786444 DDJ786446:DDJ786450 DDJ786454 DDJ786456 DDJ851979:DDJ851980 DDJ851982:DDJ851986 DDJ851990 DDJ851992 DDJ917515:DDJ917516 DDJ917518:DDJ917522 DDJ917526 DDJ917528 DDJ983051:DDJ983052 DDJ983054:DDJ983058 DDJ983062 DDJ983064 DNF11:DNF12 DNF14:DNF18 DNF22 DNF24 DNF65547:DNF65548 DNF65550:DNF65554 DNF65558 DNF65560 DNF131083:DNF131084 DNF131086:DNF131090 DNF131094 DNF131096 DNF196619:DNF196620 DNF196622:DNF196626 DNF196630 DNF196632 DNF262155:DNF262156 DNF262158:DNF262162 DNF262166 DNF262168 DNF327691:DNF327692 DNF327694:DNF327698 DNF327702 DNF327704 DNF393227:DNF393228 DNF393230:DNF393234 DNF393238 DNF393240 DNF458763:DNF458764 DNF458766:DNF458770 DNF458774 DNF458776 DNF524299:DNF524300 DNF524302:DNF524306 DNF524310 DNF524312 DNF589835:DNF589836 DNF589838:DNF589842 DNF589846 DNF589848 DNF655371:DNF655372 DNF655374:DNF655378 DNF655382 DNF655384 DNF720907:DNF720908 DNF720910:DNF720914 DNF720918 DNF720920 DNF786443:DNF786444 DNF786446:DNF786450 DNF786454 DNF786456 DNF851979:DNF851980 DNF851982:DNF851986 DNF851990 DNF851992 DNF917515:DNF917516 DNF917518:DNF917522 DNF917526 DNF917528 DNF983051:DNF983052 DNF983054:DNF983058 DNF983062 DNF983064 DXB11:DXB12 DXB14:DXB18 DXB22 DXB24 DXB65547:DXB65548 DXB65550:DXB65554 DXB65558 DXB65560 DXB131083:DXB131084 DXB131086:DXB131090 DXB131094 DXB131096 DXB196619:DXB196620 DXB196622:DXB196626 DXB196630 DXB196632 DXB262155:DXB262156 DXB262158:DXB262162 DXB262166 DXB262168 DXB327691:DXB327692 DXB327694:DXB327698 DXB327702 DXB327704 DXB393227:DXB393228 DXB393230:DXB393234 DXB393238 DXB393240 DXB458763:DXB458764 DXB458766:DXB458770 DXB458774 DXB458776 DXB524299:DXB524300 DXB524302:DXB524306 DXB524310 DXB524312 DXB589835:DXB589836 DXB589838:DXB589842 DXB589846 DXB589848 DXB655371:DXB655372 DXB655374:DXB655378 DXB655382 DXB655384 DXB720907:DXB720908 DXB720910:DXB720914 DXB720918 DXB720920 DXB786443:DXB786444 DXB786446:DXB786450 DXB786454 DXB786456 DXB851979:DXB851980 DXB851982:DXB851986 DXB851990 DXB851992 DXB917515:DXB917516 DXB917518:DXB917522 DXB917526 DXB917528 DXB983051:DXB983052 DXB983054:DXB983058 DXB983062 DXB983064 EGX11:EGX12 EGX14:EGX18 EGX22 EGX24 EGX65547:EGX65548 EGX65550:EGX65554 EGX65558 EGX65560 EGX131083:EGX131084 EGX131086:EGX131090 EGX131094 EGX131096 EGX196619:EGX196620 EGX196622:EGX196626 EGX196630 EGX196632 EGX262155:EGX262156 EGX262158:EGX262162 EGX262166 EGX262168 EGX327691:EGX327692 EGX327694:EGX327698 EGX327702 EGX327704 EGX393227:EGX393228 EGX393230:EGX393234 EGX393238 EGX393240 EGX458763:EGX458764 EGX458766:EGX458770 EGX458774 EGX458776 EGX524299:EGX524300 EGX524302:EGX524306 EGX524310 EGX524312 EGX589835:EGX589836 EGX589838:EGX589842 EGX589846 EGX589848 EGX655371:EGX655372 EGX655374:EGX655378 EGX655382 EGX655384 EGX720907:EGX720908 EGX720910:EGX720914 EGX720918 EGX720920 EGX786443:EGX786444 EGX786446:EGX786450 EGX786454 EGX786456 EGX851979:EGX851980 EGX851982:EGX851986 EGX851990 EGX851992 EGX917515:EGX917516 EGX917518:EGX917522 EGX917526 EGX917528 EGX983051:EGX983052 EGX983054:EGX983058 EGX983062 EGX983064 EQT11:EQT12 EQT14:EQT18 EQT22 EQT24 EQT65547:EQT65548 EQT65550:EQT65554 EQT65558 EQT65560 EQT131083:EQT131084 EQT131086:EQT131090 EQT131094 EQT131096 EQT196619:EQT196620 EQT196622:EQT196626 EQT196630 EQT196632 EQT262155:EQT262156 EQT262158:EQT262162 EQT262166 EQT262168 EQT327691:EQT327692 EQT327694:EQT327698 EQT327702 EQT327704 EQT393227:EQT393228 EQT393230:EQT393234 EQT393238 EQT393240 EQT458763:EQT458764 EQT458766:EQT458770 EQT458774 EQT458776 EQT524299:EQT524300 EQT524302:EQT524306 EQT524310 EQT524312 EQT589835:EQT589836 EQT589838:EQT589842 EQT589846 EQT589848 EQT655371:EQT655372 EQT655374:EQT655378 EQT655382 EQT655384 EQT720907:EQT720908 EQT720910:EQT720914 EQT720918 EQT720920 EQT786443:EQT786444 EQT786446:EQT786450 EQT786454 EQT786456 EQT851979:EQT851980 EQT851982:EQT851986 EQT851990 EQT851992 EQT917515:EQT917516 EQT917518:EQT917522 EQT917526 EQT917528 EQT983051:EQT983052 EQT983054:EQT983058 EQT983062 EQT983064 FAP11:FAP12 FAP14:FAP18 FAP22 FAP24 FAP65547:FAP65548 FAP65550:FAP65554 FAP65558 FAP65560 FAP131083:FAP131084 FAP131086:FAP131090 FAP131094 FAP131096 FAP196619:FAP196620 FAP196622:FAP196626 FAP196630 FAP196632 FAP262155:FAP262156 FAP262158:FAP262162 FAP262166 FAP262168 FAP327691:FAP327692 FAP327694:FAP327698 FAP327702 FAP327704 FAP393227:FAP393228 FAP393230:FAP393234 FAP393238 FAP393240 FAP458763:FAP458764 FAP458766:FAP458770 FAP458774 FAP458776 FAP524299:FAP524300 FAP524302:FAP524306 FAP524310 FAP524312 FAP589835:FAP589836 FAP589838:FAP589842 FAP589846 FAP589848 FAP655371:FAP655372 FAP655374:FAP655378 FAP655382 FAP655384 FAP720907:FAP720908 FAP720910:FAP720914 FAP720918 FAP720920 FAP786443:FAP786444 FAP786446:FAP786450 FAP786454 FAP786456 FAP851979:FAP851980 FAP851982:FAP851986 FAP851990 FAP851992 FAP917515:FAP917516 FAP917518:FAP917522 FAP917526 FAP917528 FAP983051:FAP983052 FAP983054:FAP983058 FAP983062 FAP983064 FKL11:FKL12 FKL14:FKL18 FKL22 FKL24 FKL65547:FKL65548 FKL65550:FKL65554 FKL65558 FKL65560 FKL131083:FKL131084 FKL131086:FKL131090 FKL131094 FKL131096 FKL196619:FKL196620 FKL196622:FKL196626 FKL196630 FKL196632 FKL262155:FKL262156 FKL262158:FKL262162 FKL262166 FKL262168 FKL327691:FKL327692 FKL327694:FKL327698 FKL327702 FKL327704 FKL393227:FKL393228 FKL393230:FKL393234 FKL393238 FKL393240 FKL458763:FKL458764 FKL458766:FKL458770 FKL458774 FKL458776 FKL524299:FKL524300 FKL524302:FKL524306 FKL524310 FKL524312 FKL589835:FKL589836 FKL589838:FKL589842 FKL589846 FKL589848 FKL655371:FKL655372 FKL655374:FKL655378 FKL655382 FKL655384 FKL720907:FKL720908 FKL720910:FKL720914 FKL720918 FKL720920 FKL786443:FKL786444 FKL786446:FKL786450 FKL786454 FKL786456 FKL851979:FKL851980 FKL851982:FKL851986 FKL851990 FKL851992 FKL917515:FKL917516 FKL917518:FKL917522 FKL917526 FKL917528 FKL983051:FKL983052 FKL983054:FKL983058 FKL983062 FKL983064 FUH11:FUH12 FUH14:FUH18 FUH22 FUH24 FUH65547:FUH65548 FUH65550:FUH65554 FUH65558 FUH65560 FUH131083:FUH131084 FUH131086:FUH131090 FUH131094 FUH131096 FUH196619:FUH196620 FUH196622:FUH196626 FUH196630 FUH196632 FUH262155:FUH262156 FUH262158:FUH262162 FUH262166 FUH262168 FUH327691:FUH327692 FUH327694:FUH327698 FUH327702 FUH327704 FUH393227:FUH393228 FUH393230:FUH393234 FUH393238 FUH393240 FUH458763:FUH458764 FUH458766:FUH458770 FUH458774 FUH458776 FUH524299:FUH524300 FUH524302:FUH524306 FUH524310 FUH524312 FUH589835:FUH589836 FUH589838:FUH589842 FUH589846 FUH589848 FUH655371:FUH655372 FUH655374:FUH655378 FUH655382 FUH655384 FUH720907:FUH720908 FUH720910:FUH720914 FUH720918 FUH720920 FUH786443:FUH786444 FUH786446:FUH786450 FUH786454 FUH786456 FUH851979:FUH851980 FUH851982:FUH851986 FUH851990 FUH851992 FUH917515:FUH917516 FUH917518:FUH917522 FUH917526 FUH917528 FUH983051:FUH983052 FUH983054:FUH983058 FUH983062 FUH983064 GED11:GED12 GED14:GED18 GED22 GED24 GED65547:GED65548 GED65550:GED65554 GED65558 GED65560 GED131083:GED131084 GED131086:GED131090 GED131094 GED131096 GED196619:GED196620 GED196622:GED196626 GED196630 GED196632 GED262155:GED262156 GED262158:GED262162 GED262166 GED262168 GED327691:GED327692 GED327694:GED327698 GED327702 GED327704 GED393227:GED393228 GED393230:GED393234 GED393238 GED393240 GED458763:GED458764 GED458766:GED458770 GED458774 GED458776 GED524299:GED524300 GED524302:GED524306 GED524310 GED524312 GED589835:GED589836 GED589838:GED589842 GED589846 GED589848 GED655371:GED655372 GED655374:GED655378 GED655382 GED655384 GED720907:GED720908 GED720910:GED720914 GED720918 GED720920 GED786443:GED786444 GED786446:GED786450 GED786454 GED786456 GED851979:GED851980 GED851982:GED851986 GED851990 GED851992 GED917515:GED917516 GED917518:GED917522 GED917526 GED917528 GED983051:GED983052 GED983054:GED983058 GED983062 GED983064 GNZ11:GNZ12 GNZ14:GNZ18 GNZ22 GNZ24 GNZ65547:GNZ65548 GNZ65550:GNZ65554 GNZ65558 GNZ65560 GNZ131083:GNZ131084 GNZ131086:GNZ131090 GNZ131094 GNZ131096 GNZ196619:GNZ196620 GNZ196622:GNZ196626 GNZ196630 GNZ196632 GNZ262155:GNZ262156 GNZ262158:GNZ262162 GNZ262166 GNZ262168 GNZ327691:GNZ327692 GNZ327694:GNZ327698 GNZ327702 GNZ327704 GNZ393227:GNZ393228 GNZ393230:GNZ393234 GNZ393238 GNZ393240 GNZ458763:GNZ458764 GNZ458766:GNZ458770 GNZ458774 GNZ458776 GNZ524299:GNZ524300 GNZ524302:GNZ524306 GNZ524310 GNZ524312 GNZ589835:GNZ589836 GNZ589838:GNZ589842 GNZ589846 GNZ589848 GNZ655371:GNZ655372 GNZ655374:GNZ655378 GNZ655382 GNZ655384 GNZ720907:GNZ720908 GNZ720910:GNZ720914 GNZ720918 GNZ720920 GNZ786443:GNZ786444 GNZ786446:GNZ786450 GNZ786454 GNZ786456 GNZ851979:GNZ851980 GNZ851982:GNZ851986 GNZ851990 GNZ851992 GNZ917515:GNZ917516 GNZ917518:GNZ917522 GNZ917526 GNZ917528 GNZ983051:GNZ983052 GNZ983054:GNZ983058 GNZ983062 GNZ983064 GXV11:GXV12 GXV14:GXV18 GXV22 GXV24 GXV65547:GXV65548 GXV65550:GXV65554 GXV65558 GXV65560 GXV131083:GXV131084 GXV131086:GXV131090 GXV131094 GXV131096 GXV196619:GXV196620 GXV196622:GXV196626 GXV196630 GXV196632 GXV262155:GXV262156 GXV262158:GXV262162 GXV262166 GXV262168 GXV327691:GXV327692 GXV327694:GXV327698 GXV327702 GXV327704 GXV393227:GXV393228 GXV393230:GXV393234 GXV393238 GXV393240 GXV458763:GXV458764 GXV458766:GXV458770 GXV458774 GXV458776 GXV524299:GXV524300 GXV524302:GXV524306 GXV524310 GXV524312 GXV589835:GXV589836 GXV589838:GXV589842 GXV589846 GXV589848 GXV655371:GXV655372 GXV655374:GXV655378 GXV655382 GXV655384 GXV720907:GXV720908 GXV720910:GXV720914 GXV720918 GXV720920 GXV786443:GXV786444 GXV786446:GXV786450 GXV786454 GXV786456 GXV851979:GXV851980 GXV851982:GXV851986 GXV851990 GXV851992 GXV917515:GXV917516 GXV917518:GXV917522 GXV917526 GXV917528 GXV983051:GXV983052 GXV983054:GXV983058 GXV983062 GXV983064 HHR11:HHR12 HHR14:HHR18 HHR22 HHR24 HHR65547:HHR65548 HHR65550:HHR65554 HHR65558 HHR65560 HHR131083:HHR131084 HHR131086:HHR131090 HHR131094 HHR131096 HHR196619:HHR196620 HHR196622:HHR196626 HHR196630 HHR196632 HHR262155:HHR262156 HHR262158:HHR262162 HHR262166 HHR262168 HHR327691:HHR327692 HHR327694:HHR327698 HHR327702 HHR327704 HHR393227:HHR393228 HHR393230:HHR393234 HHR393238 HHR393240 HHR458763:HHR458764 HHR458766:HHR458770 HHR458774 HHR458776 HHR524299:HHR524300 HHR524302:HHR524306 HHR524310 HHR524312 HHR589835:HHR589836 HHR589838:HHR589842 HHR589846 HHR589848 HHR655371:HHR655372 HHR655374:HHR655378 HHR655382 HHR655384 HHR720907:HHR720908 HHR720910:HHR720914 HHR720918 HHR720920 HHR786443:HHR786444 HHR786446:HHR786450 HHR786454 HHR786456 HHR851979:HHR851980 HHR851982:HHR851986 HHR851990 HHR851992 HHR917515:HHR917516 HHR917518:HHR917522 HHR917526 HHR917528 HHR983051:HHR983052 HHR983054:HHR983058 HHR983062 HHR983064 HRN11:HRN12 HRN14:HRN18 HRN22 HRN24 HRN65547:HRN65548 HRN65550:HRN65554 HRN65558 HRN65560 HRN131083:HRN131084 HRN131086:HRN131090 HRN131094 HRN131096 HRN196619:HRN196620 HRN196622:HRN196626 HRN196630 HRN196632 HRN262155:HRN262156 HRN262158:HRN262162 HRN262166 HRN262168 HRN327691:HRN327692 HRN327694:HRN327698 HRN327702 HRN327704 HRN393227:HRN393228 HRN393230:HRN393234 HRN393238 HRN393240 HRN458763:HRN458764 HRN458766:HRN458770 HRN458774 HRN458776 HRN524299:HRN524300 HRN524302:HRN524306 HRN524310 HRN524312 HRN589835:HRN589836 HRN589838:HRN589842 HRN589846 HRN589848 HRN655371:HRN655372 HRN655374:HRN655378 HRN655382 HRN655384 HRN720907:HRN720908 HRN720910:HRN720914 HRN720918 HRN720920 HRN786443:HRN786444 HRN786446:HRN786450 HRN786454 HRN786456 HRN851979:HRN851980 HRN851982:HRN851986 HRN851990 HRN851992 HRN917515:HRN917516 HRN917518:HRN917522 HRN917526 HRN917528 HRN983051:HRN983052 HRN983054:HRN983058 HRN983062 HRN983064 IBJ11:IBJ12 IBJ14:IBJ18 IBJ22 IBJ24 IBJ65547:IBJ65548 IBJ65550:IBJ65554 IBJ65558 IBJ65560 IBJ131083:IBJ131084 IBJ131086:IBJ131090 IBJ131094 IBJ131096 IBJ196619:IBJ196620 IBJ196622:IBJ196626 IBJ196630 IBJ196632 IBJ262155:IBJ262156 IBJ262158:IBJ262162 IBJ262166 IBJ262168 IBJ327691:IBJ327692 IBJ327694:IBJ327698 IBJ327702 IBJ327704 IBJ393227:IBJ393228 IBJ393230:IBJ393234 IBJ393238 IBJ393240 IBJ458763:IBJ458764 IBJ458766:IBJ458770 IBJ458774 IBJ458776 IBJ524299:IBJ524300 IBJ524302:IBJ524306 IBJ524310 IBJ524312 IBJ589835:IBJ589836 IBJ589838:IBJ589842 IBJ589846 IBJ589848 IBJ655371:IBJ655372 IBJ655374:IBJ655378 IBJ655382 IBJ655384 IBJ720907:IBJ720908 IBJ720910:IBJ720914 IBJ720918 IBJ720920 IBJ786443:IBJ786444 IBJ786446:IBJ786450 IBJ786454 IBJ786456 IBJ851979:IBJ851980 IBJ851982:IBJ851986 IBJ851990 IBJ851992 IBJ917515:IBJ917516 IBJ917518:IBJ917522 IBJ917526 IBJ917528 IBJ983051:IBJ983052 IBJ983054:IBJ983058 IBJ983062 IBJ983064 ILF11:ILF12 ILF14:ILF18 ILF22 ILF24 ILF65547:ILF65548 ILF65550:ILF65554 ILF65558 ILF65560 ILF131083:ILF131084 ILF131086:ILF131090 ILF131094 ILF131096 ILF196619:ILF196620 ILF196622:ILF196626 ILF196630 ILF196632 ILF262155:ILF262156 ILF262158:ILF262162 ILF262166 ILF262168 ILF327691:ILF327692 ILF327694:ILF327698 ILF327702 ILF327704 ILF393227:ILF393228 ILF393230:ILF393234 ILF393238 ILF393240 ILF458763:ILF458764 ILF458766:ILF458770 ILF458774 ILF458776 ILF524299:ILF524300 ILF524302:ILF524306 ILF524310 ILF524312 ILF589835:ILF589836 ILF589838:ILF589842 ILF589846 ILF589848 ILF655371:ILF655372 ILF655374:ILF655378 ILF655382 ILF655384 ILF720907:ILF720908 ILF720910:ILF720914 ILF720918 ILF720920 ILF786443:ILF786444 ILF786446:ILF786450 ILF786454 ILF786456 ILF851979:ILF851980 ILF851982:ILF851986 ILF851990 ILF851992 ILF917515:ILF917516 ILF917518:ILF917522 ILF917526 ILF917528 ILF983051:ILF983052 ILF983054:ILF983058 ILF983062 ILF983064 IVB11:IVB12 IVB14:IVB18 IVB22 IVB24 IVB65547:IVB65548 IVB65550:IVB65554 IVB65558 IVB65560 IVB131083:IVB131084 IVB131086:IVB131090 IVB131094 IVB131096 IVB196619:IVB196620 IVB196622:IVB196626 IVB196630 IVB196632 IVB262155:IVB262156 IVB262158:IVB262162 IVB262166 IVB262168 IVB327691:IVB327692 IVB327694:IVB327698 IVB327702 IVB327704 IVB393227:IVB393228 IVB393230:IVB393234 IVB393238 IVB393240 IVB458763:IVB458764 IVB458766:IVB458770 IVB458774 IVB458776 IVB524299:IVB524300 IVB524302:IVB524306 IVB524310 IVB524312 IVB589835:IVB589836 IVB589838:IVB589842 IVB589846 IVB589848 IVB655371:IVB655372 IVB655374:IVB655378 IVB655382 IVB655384 IVB720907:IVB720908 IVB720910:IVB720914 IVB720918 IVB720920 IVB786443:IVB786444 IVB786446:IVB786450 IVB786454 IVB786456 IVB851979:IVB851980 IVB851982:IVB851986 IVB851990 IVB851992 IVB917515:IVB917516 IVB917518:IVB917522 IVB917526 IVB917528 IVB983051:IVB983052 IVB983054:IVB983058 IVB983062 IVB983064 JEX11:JEX12 JEX14:JEX18 JEX22 JEX24 JEX65547:JEX65548 JEX65550:JEX65554 JEX65558 JEX65560 JEX131083:JEX131084 JEX131086:JEX131090 JEX131094 JEX131096 JEX196619:JEX196620 JEX196622:JEX196626 JEX196630 JEX196632 JEX262155:JEX262156 JEX262158:JEX262162 JEX262166 JEX262168 JEX327691:JEX327692 JEX327694:JEX327698 JEX327702 JEX327704 JEX393227:JEX393228 JEX393230:JEX393234 JEX393238 JEX393240 JEX458763:JEX458764 JEX458766:JEX458770 JEX458774 JEX458776 JEX524299:JEX524300 JEX524302:JEX524306 JEX524310 JEX524312 JEX589835:JEX589836 JEX589838:JEX589842 JEX589846 JEX589848 JEX655371:JEX655372 JEX655374:JEX655378 JEX655382 JEX655384 JEX720907:JEX720908 JEX720910:JEX720914 JEX720918 JEX720920 JEX786443:JEX786444 JEX786446:JEX786450 JEX786454 JEX786456 JEX851979:JEX851980 JEX851982:JEX851986 JEX851990 JEX851992 JEX917515:JEX917516 JEX917518:JEX917522 JEX917526 JEX917528 JEX983051:JEX983052 JEX983054:JEX983058 JEX983062 JEX983064 JOT11:JOT12 JOT14:JOT18 JOT22 JOT24 JOT65547:JOT65548 JOT65550:JOT65554 JOT65558 JOT65560 JOT131083:JOT131084 JOT131086:JOT131090 JOT131094 JOT131096 JOT196619:JOT196620 JOT196622:JOT196626 JOT196630 JOT196632 JOT262155:JOT262156 JOT262158:JOT262162 JOT262166 JOT262168 JOT327691:JOT327692 JOT327694:JOT327698 JOT327702 JOT327704 JOT393227:JOT393228 JOT393230:JOT393234 JOT393238 JOT393240 JOT458763:JOT458764 JOT458766:JOT458770 JOT458774 JOT458776 JOT524299:JOT524300 JOT524302:JOT524306 JOT524310 JOT524312 JOT589835:JOT589836 JOT589838:JOT589842 JOT589846 JOT589848 JOT655371:JOT655372 JOT655374:JOT655378 JOT655382 JOT655384 JOT720907:JOT720908 JOT720910:JOT720914 JOT720918 JOT720920 JOT786443:JOT786444 JOT786446:JOT786450 JOT786454 JOT786456 JOT851979:JOT851980 JOT851982:JOT851986 JOT851990 JOT851992 JOT917515:JOT917516 JOT917518:JOT917522 JOT917526 JOT917528 JOT983051:JOT983052 JOT983054:JOT983058 JOT983062 JOT983064 JYP11:JYP12 JYP14:JYP18 JYP22 JYP24 JYP65547:JYP65548 JYP65550:JYP65554 JYP65558 JYP65560 JYP131083:JYP131084 JYP131086:JYP131090 JYP131094 JYP131096 JYP196619:JYP196620 JYP196622:JYP196626 JYP196630 JYP196632 JYP262155:JYP262156 JYP262158:JYP262162 JYP262166 JYP262168 JYP327691:JYP327692 JYP327694:JYP327698 JYP327702 JYP327704 JYP393227:JYP393228 JYP393230:JYP393234 JYP393238 JYP393240 JYP458763:JYP458764 JYP458766:JYP458770 JYP458774 JYP458776 JYP524299:JYP524300 JYP524302:JYP524306 JYP524310 JYP524312 JYP589835:JYP589836 JYP589838:JYP589842 JYP589846 JYP589848 JYP655371:JYP655372 JYP655374:JYP655378 JYP655382 JYP655384 JYP720907:JYP720908 JYP720910:JYP720914 JYP720918 JYP720920 JYP786443:JYP786444 JYP786446:JYP786450 JYP786454 JYP786456 JYP851979:JYP851980 JYP851982:JYP851986 JYP851990 JYP851992 JYP917515:JYP917516 JYP917518:JYP917522 JYP917526 JYP917528 JYP983051:JYP983052 JYP983054:JYP983058 JYP983062 JYP983064 KIL11:KIL12 KIL14:KIL18 KIL22 KIL24 KIL65547:KIL65548 KIL65550:KIL65554 KIL65558 KIL65560 KIL131083:KIL131084 KIL131086:KIL131090 KIL131094 KIL131096 KIL196619:KIL196620 KIL196622:KIL196626 KIL196630 KIL196632 KIL262155:KIL262156 KIL262158:KIL262162 KIL262166 KIL262168 KIL327691:KIL327692 KIL327694:KIL327698 KIL327702 KIL327704 KIL393227:KIL393228 KIL393230:KIL393234 KIL393238 KIL393240 KIL458763:KIL458764 KIL458766:KIL458770 KIL458774 KIL458776 KIL524299:KIL524300 KIL524302:KIL524306 KIL524310 KIL524312 KIL589835:KIL589836 KIL589838:KIL589842 KIL589846 KIL589848 KIL655371:KIL655372 KIL655374:KIL655378 KIL655382 KIL655384 KIL720907:KIL720908 KIL720910:KIL720914 KIL720918 KIL720920 KIL786443:KIL786444 KIL786446:KIL786450 KIL786454 KIL786456 KIL851979:KIL851980 KIL851982:KIL851986 KIL851990 KIL851992 KIL917515:KIL917516 KIL917518:KIL917522 KIL917526 KIL917528 KIL983051:KIL983052 KIL983054:KIL983058 KIL983062 KIL983064 KSH11:KSH12 KSH14:KSH18 KSH22 KSH24 KSH65547:KSH65548 KSH65550:KSH65554 KSH65558 KSH65560 KSH131083:KSH131084 KSH131086:KSH131090 KSH131094 KSH131096 KSH196619:KSH196620 KSH196622:KSH196626 KSH196630 KSH196632 KSH262155:KSH262156 KSH262158:KSH262162 KSH262166 KSH262168 KSH327691:KSH327692 KSH327694:KSH327698 KSH327702 KSH327704 KSH393227:KSH393228 KSH393230:KSH393234 KSH393238 KSH393240 KSH458763:KSH458764 KSH458766:KSH458770 KSH458774 KSH458776 KSH524299:KSH524300 KSH524302:KSH524306 KSH524310 KSH524312 KSH589835:KSH589836 KSH589838:KSH589842 KSH589846 KSH589848 KSH655371:KSH655372 KSH655374:KSH655378 KSH655382 KSH655384 KSH720907:KSH720908 KSH720910:KSH720914 KSH720918 KSH720920 KSH786443:KSH786444 KSH786446:KSH786450 KSH786454 KSH786456 KSH851979:KSH851980 KSH851982:KSH851986 KSH851990 KSH851992 KSH917515:KSH917516 KSH917518:KSH917522 KSH917526 KSH917528 KSH983051:KSH983052 KSH983054:KSH983058 KSH983062 KSH983064 LCD11:LCD12 LCD14:LCD18 LCD22 LCD24 LCD65547:LCD65548 LCD65550:LCD65554 LCD65558 LCD65560 LCD131083:LCD131084 LCD131086:LCD131090 LCD131094 LCD131096 LCD196619:LCD196620 LCD196622:LCD196626 LCD196630 LCD196632 LCD262155:LCD262156 LCD262158:LCD262162 LCD262166 LCD262168 LCD327691:LCD327692 LCD327694:LCD327698 LCD327702 LCD327704 LCD393227:LCD393228 LCD393230:LCD393234 LCD393238 LCD393240 LCD458763:LCD458764 LCD458766:LCD458770 LCD458774 LCD458776 LCD524299:LCD524300 LCD524302:LCD524306 LCD524310 LCD524312 LCD589835:LCD589836 LCD589838:LCD589842 LCD589846 LCD589848 LCD655371:LCD655372 LCD655374:LCD655378 LCD655382 LCD655384 LCD720907:LCD720908 LCD720910:LCD720914 LCD720918 LCD720920 LCD786443:LCD786444 LCD786446:LCD786450 LCD786454 LCD786456 LCD851979:LCD851980 LCD851982:LCD851986 LCD851990 LCD851992 LCD917515:LCD917516 LCD917518:LCD917522 LCD917526 LCD917528 LCD983051:LCD983052 LCD983054:LCD983058 LCD983062 LCD983064 LLZ11:LLZ12 LLZ14:LLZ18 LLZ22 LLZ24 LLZ65547:LLZ65548 LLZ65550:LLZ65554 LLZ65558 LLZ65560 LLZ131083:LLZ131084 LLZ131086:LLZ131090 LLZ131094 LLZ131096 LLZ196619:LLZ196620 LLZ196622:LLZ196626 LLZ196630 LLZ196632 LLZ262155:LLZ262156 LLZ262158:LLZ262162 LLZ262166 LLZ262168 LLZ327691:LLZ327692 LLZ327694:LLZ327698 LLZ327702 LLZ327704 LLZ393227:LLZ393228 LLZ393230:LLZ393234 LLZ393238 LLZ393240 LLZ458763:LLZ458764 LLZ458766:LLZ458770 LLZ458774 LLZ458776 LLZ524299:LLZ524300 LLZ524302:LLZ524306 LLZ524310 LLZ524312 LLZ589835:LLZ589836 LLZ589838:LLZ589842 LLZ589846 LLZ589848 LLZ655371:LLZ655372 LLZ655374:LLZ655378 LLZ655382 LLZ655384 LLZ720907:LLZ720908 LLZ720910:LLZ720914 LLZ720918 LLZ720920 LLZ786443:LLZ786444 LLZ786446:LLZ786450 LLZ786454 LLZ786456 LLZ851979:LLZ851980 LLZ851982:LLZ851986 LLZ851990 LLZ851992 LLZ917515:LLZ917516 LLZ917518:LLZ917522 LLZ917526 LLZ917528 LLZ983051:LLZ983052 LLZ983054:LLZ983058 LLZ983062 LLZ983064 LVV11:LVV12 LVV14:LVV18 LVV22 LVV24 LVV65547:LVV65548 LVV65550:LVV65554 LVV65558 LVV65560 LVV131083:LVV131084 LVV131086:LVV131090 LVV131094 LVV131096 LVV196619:LVV196620 LVV196622:LVV196626 LVV196630 LVV196632 LVV262155:LVV262156 LVV262158:LVV262162 LVV262166 LVV262168 LVV327691:LVV327692 LVV327694:LVV327698 LVV327702 LVV327704 LVV393227:LVV393228 LVV393230:LVV393234 LVV393238 LVV393240 LVV458763:LVV458764 LVV458766:LVV458770 LVV458774 LVV458776 LVV524299:LVV524300 LVV524302:LVV524306 LVV524310 LVV524312 LVV589835:LVV589836 LVV589838:LVV589842 LVV589846 LVV589848 LVV655371:LVV655372 LVV655374:LVV655378 LVV655382 LVV655384 LVV720907:LVV720908 LVV720910:LVV720914 LVV720918 LVV720920 LVV786443:LVV786444 LVV786446:LVV786450 LVV786454 LVV786456 LVV851979:LVV851980 LVV851982:LVV851986 LVV851990 LVV851992 LVV917515:LVV917516 LVV917518:LVV917522 LVV917526 LVV917528 LVV983051:LVV983052 LVV983054:LVV983058 LVV983062 LVV983064 MFR11:MFR12 MFR14:MFR18 MFR22 MFR24 MFR65547:MFR65548 MFR65550:MFR65554 MFR65558 MFR65560 MFR131083:MFR131084 MFR131086:MFR131090 MFR131094 MFR131096 MFR196619:MFR196620 MFR196622:MFR196626 MFR196630 MFR196632 MFR262155:MFR262156 MFR262158:MFR262162 MFR262166 MFR262168 MFR327691:MFR327692 MFR327694:MFR327698 MFR327702 MFR327704 MFR393227:MFR393228 MFR393230:MFR393234 MFR393238 MFR393240 MFR458763:MFR458764 MFR458766:MFR458770 MFR458774 MFR458776 MFR524299:MFR524300 MFR524302:MFR524306 MFR524310 MFR524312 MFR589835:MFR589836 MFR589838:MFR589842 MFR589846 MFR589848 MFR655371:MFR655372 MFR655374:MFR655378 MFR655382 MFR655384 MFR720907:MFR720908 MFR720910:MFR720914 MFR720918 MFR720920 MFR786443:MFR786444 MFR786446:MFR786450 MFR786454 MFR786456 MFR851979:MFR851980 MFR851982:MFR851986 MFR851990 MFR851992 MFR917515:MFR917516 MFR917518:MFR917522 MFR917526 MFR917528 MFR983051:MFR983052 MFR983054:MFR983058 MFR983062 MFR983064 MPN11:MPN12 MPN14:MPN18 MPN22 MPN24 MPN65547:MPN65548 MPN65550:MPN65554 MPN65558 MPN65560 MPN131083:MPN131084 MPN131086:MPN131090 MPN131094 MPN131096 MPN196619:MPN196620 MPN196622:MPN196626 MPN196630 MPN196632 MPN262155:MPN262156 MPN262158:MPN262162 MPN262166 MPN262168 MPN327691:MPN327692 MPN327694:MPN327698 MPN327702 MPN327704 MPN393227:MPN393228 MPN393230:MPN393234 MPN393238 MPN393240 MPN458763:MPN458764 MPN458766:MPN458770 MPN458774 MPN458776 MPN524299:MPN524300 MPN524302:MPN524306 MPN524310 MPN524312 MPN589835:MPN589836 MPN589838:MPN589842 MPN589846 MPN589848 MPN655371:MPN655372 MPN655374:MPN655378 MPN655382 MPN655384 MPN720907:MPN720908 MPN720910:MPN720914 MPN720918 MPN720920 MPN786443:MPN786444 MPN786446:MPN786450 MPN786454 MPN786456 MPN851979:MPN851980 MPN851982:MPN851986 MPN851990 MPN851992 MPN917515:MPN917516 MPN917518:MPN917522 MPN917526 MPN917528 MPN983051:MPN983052 MPN983054:MPN983058 MPN983062 MPN983064 MZJ11:MZJ12 MZJ14:MZJ18 MZJ22 MZJ24 MZJ65547:MZJ65548 MZJ65550:MZJ65554 MZJ65558 MZJ65560 MZJ131083:MZJ131084 MZJ131086:MZJ131090 MZJ131094 MZJ131096 MZJ196619:MZJ196620 MZJ196622:MZJ196626 MZJ196630 MZJ196632 MZJ262155:MZJ262156 MZJ262158:MZJ262162 MZJ262166 MZJ262168 MZJ327691:MZJ327692 MZJ327694:MZJ327698 MZJ327702 MZJ327704 MZJ393227:MZJ393228 MZJ393230:MZJ393234 MZJ393238 MZJ393240 MZJ458763:MZJ458764 MZJ458766:MZJ458770 MZJ458774 MZJ458776 MZJ524299:MZJ524300 MZJ524302:MZJ524306 MZJ524310 MZJ524312 MZJ589835:MZJ589836 MZJ589838:MZJ589842 MZJ589846 MZJ589848 MZJ655371:MZJ655372 MZJ655374:MZJ655378 MZJ655382 MZJ655384 MZJ720907:MZJ720908 MZJ720910:MZJ720914 MZJ720918 MZJ720920 MZJ786443:MZJ786444 MZJ786446:MZJ786450 MZJ786454 MZJ786456 MZJ851979:MZJ851980 MZJ851982:MZJ851986 MZJ851990 MZJ851992 MZJ917515:MZJ917516 MZJ917518:MZJ917522 MZJ917526 MZJ917528 MZJ983051:MZJ983052 MZJ983054:MZJ983058 MZJ983062 MZJ983064 NJF11:NJF12 NJF14:NJF18 NJF22 NJF24 NJF65547:NJF65548 NJF65550:NJF65554 NJF65558 NJF65560 NJF131083:NJF131084 NJF131086:NJF131090 NJF131094 NJF131096 NJF196619:NJF196620 NJF196622:NJF196626 NJF196630 NJF196632 NJF262155:NJF262156 NJF262158:NJF262162 NJF262166 NJF262168 NJF327691:NJF327692 NJF327694:NJF327698 NJF327702 NJF327704 NJF393227:NJF393228 NJF393230:NJF393234 NJF393238 NJF393240 NJF458763:NJF458764 NJF458766:NJF458770 NJF458774 NJF458776 NJF524299:NJF524300 NJF524302:NJF524306 NJF524310 NJF524312 NJF589835:NJF589836 NJF589838:NJF589842 NJF589846 NJF589848 NJF655371:NJF655372 NJF655374:NJF655378 NJF655382 NJF655384 NJF720907:NJF720908 NJF720910:NJF720914 NJF720918 NJF720920 NJF786443:NJF786444 NJF786446:NJF786450 NJF786454 NJF786456 NJF851979:NJF851980 NJF851982:NJF851986 NJF851990 NJF851992 NJF917515:NJF917516 NJF917518:NJF917522 NJF917526 NJF917528 NJF983051:NJF983052 NJF983054:NJF983058 NJF983062 NJF983064 NTB11:NTB12 NTB14:NTB18 NTB22 NTB24 NTB65547:NTB65548 NTB65550:NTB65554 NTB65558 NTB65560 NTB131083:NTB131084 NTB131086:NTB131090 NTB131094 NTB131096 NTB196619:NTB196620 NTB196622:NTB196626 NTB196630 NTB196632 NTB262155:NTB262156 NTB262158:NTB262162 NTB262166 NTB262168 NTB327691:NTB327692 NTB327694:NTB327698 NTB327702 NTB327704 NTB393227:NTB393228 NTB393230:NTB393234 NTB393238 NTB393240 NTB458763:NTB458764 NTB458766:NTB458770 NTB458774 NTB458776 NTB524299:NTB524300 NTB524302:NTB524306 NTB524310 NTB524312 NTB589835:NTB589836 NTB589838:NTB589842 NTB589846 NTB589848 NTB655371:NTB655372 NTB655374:NTB655378 NTB655382 NTB655384 NTB720907:NTB720908 NTB720910:NTB720914 NTB720918 NTB720920 NTB786443:NTB786444 NTB786446:NTB786450 NTB786454 NTB786456 NTB851979:NTB851980 NTB851982:NTB851986 NTB851990 NTB851992 NTB917515:NTB917516 NTB917518:NTB917522 NTB917526 NTB917528 NTB983051:NTB983052 NTB983054:NTB983058 NTB983062 NTB983064 OCX11:OCX12 OCX14:OCX18 OCX22 OCX24 OCX65547:OCX65548 OCX65550:OCX65554 OCX65558 OCX65560 OCX131083:OCX131084 OCX131086:OCX131090 OCX131094 OCX131096 OCX196619:OCX196620 OCX196622:OCX196626 OCX196630 OCX196632 OCX262155:OCX262156 OCX262158:OCX262162 OCX262166 OCX262168 OCX327691:OCX327692 OCX327694:OCX327698 OCX327702 OCX327704 OCX393227:OCX393228 OCX393230:OCX393234 OCX393238 OCX393240 OCX458763:OCX458764 OCX458766:OCX458770 OCX458774 OCX458776 OCX524299:OCX524300 OCX524302:OCX524306 OCX524310 OCX524312 OCX589835:OCX589836 OCX589838:OCX589842 OCX589846 OCX589848 OCX655371:OCX655372 OCX655374:OCX655378 OCX655382 OCX655384 OCX720907:OCX720908 OCX720910:OCX720914 OCX720918 OCX720920 OCX786443:OCX786444 OCX786446:OCX786450 OCX786454 OCX786456 OCX851979:OCX851980 OCX851982:OCX851986 OCX851990 OCX851992 OCX917515:OCX917516 OCX917518:OCX917522 OCX917526 OCX917528 OCX983051:OCX983052 OCX983054:OCX983058 OCX983062 OCX983064 OMT11:OMT12 OMT14:OMT18 OMT22 OMT24 OMT65547:OMT65548 OMT65550:OMT65554 OMT65558 OMT65560 OMT131083:OMT131084 OMT131086:OMT131090 OMT131094 OMT131096 OMT196619:OMT196620 OMT196622:OMT196626 OMT196630 OMT196632 OMT262155:OMT262156 OMT262158:OMT262162 OMT262166 OMT262168 OMT327691:OMT327692 OMT327694:OMT327698 OMT327702 OMT327704 OMT393227:OMT393228 OMT393230:OMT393234 OMT393238 OMT393240 OMT458763:OMT458764 OMT458766:OMT458770 OMT458774 OMT458776 OMT524299:OMT524300 OMT524302:OMT524306 OMT524310 OMT524312 OMT589835:OMT589836 OMT589838:OMT589842 OMT589846 OMT589848 OMT655371:OMT655372 OMT655374:OMT655378 OMT655382 OMT655384 OMT720907:OMT720908 OMT720910:OMT720914 OMT720918 OMT720920 OMT786443:OMT786444 OMT786446:OMT786450 OMT786454 OMT786456 OMT851979:OMT851980 OMT851982:OMT851986 OMT851990 OMT851992 OMT917515:OMT917516 OMT917518:OMT917522 OMT917526 OMT917528 OMT983051:OMT983052 OMT983054:OMT983058 OMT983062 OMT983064 OWP11:OWP12 OWP14:OWP18 OWP22 OWP24 OWP65547:OWP65548 OWP65550:OWP65554 OWP65558 OWP65560 OWP131083:OWP131084 OWP131086:OWP131090 OWP131094 OWP131096 OWP196619:OWP196620 OWP196622:OWP196626 OWP196630 OWP196632 OWP262155:OWP262156 OWP262158:OWP262162 OWP262166 OWP262168 OWP327691:OWP327692 OWP327694:OWP327698 OWP327702 OWP327704 OWP393227:OWP393228 OWP393230:OWP393234 OWP393238 OWP393240 OWP458763:OWP458764 OWP458766:OWP458770 OWP458774 OWP458776 OWP524299:OWP524300 OWP524302:OWP524306 OWP524310 OWP524312 OWP589835:OWP589836 OWP589838:OWP589842 OWP589846 OWP589848 OWP655371:OWP655372 OWP655374:OWP655378 OWP655382 OWP655384 OWP720907:OWP720908 OWP720910:OWP720914 OWP720918 OWP720920 OWP786443:OWP786444 OWP786446:OWP786450 OWP786454 OWP786456 OWP851979:OWP851980 OWP851982:OWP851986 OWP851990 OWP851992 OWP917515:OWP917516 OWP917518:OWP917522 OWP917526 OWP917528 OWP983051:OWP983052 OWP983054:OWP983058 OWP983062 OWP983064 PGL11:PGL12 PGL14:PGL18 PGL22 PGL24 PGL65547:PGL65548 PGL65550:PGL65554 PGL65558 PGL65560 PGL131083:PGL131084 PGL131086:PGL131090 PGL131094 PGL131096 PGL196619:PGL196620 PGL196622:PGL196626 PGL196630 PGL196632 PGL262155:PGL262156 PGL262158:PGL262162 PGL262166 PGL262168 PGL327691:PGL327692 PGL327694:PGL327698 PGL327702 PGL327704 PGL393227:PGL393228 PGL393230:PGL393234 PGL393238 PGL393240 PGL458763:PGL458764 PGL458766:PGL458770 PGL458774 PGL458776 PGL524299:PGL524300 PGL524302:PGL524306 PGL524310 PGL524312 PGL589835:PGL589836 PGL589838:PGL589842 PGL589846 PGL589848 PGL655371:PGL655372 PGL655374:PGL655378 PGL655382 PGL655384 PGL720907:PGL720908 PGL720910:PGL720914 PGL720918 PGL720920 PGL786443:PGL786444 PGL786446:PGL786450 PGL786454 PGL786456 PGL851979:PGL851980 PGL851982:PGL851986 PGL851990 PGL851992 PGL917515:PGL917516 PGL917518:PGL917522 PGL917526 PGL917528 PGL983051:PGL983052 PGL983054:PGL983058 PGL983062 PGL983064 PQH11:PQH12 PQH14:PQH18 PQH22 PQH24 PQH65547:PQH65548 PQH65550:PQH65554 PQH65558 PQH65560 PQH131083:PQH131084 PQH131086:PQH131090 PQH131094 PQH131096 PQH196619:PQH196620 PQH196622:PQH196626 PQH196630 PQH196632 PQH262155:PQH262156 PQH262158:PQH262162 PQH262166 PQH262168 PQH327691:PQH327692 PQH327694:PQH327698 PQH327702 PQH327704 PQH393227:PQH393228 PQH393230:PQH393234 PQH393238 PQH393240 PQH458763:PQH458764 PQH458766:PQH458770 PQH458774 PQH458776 PQH524299:PQH524300 PQH524302:PQH524306 PQH524310 PQH524312 PQH589835:PQH589836 PQH589838:PQH589842 PQH589846 PQH589848 PQH655371:PQH655372 PQH655374:PQH655378 PQH655382 PQH655384 PQH720907:PQH720908 PQH720910:PQH720914 PQH720918 PQH720920 PQH786443:PQH786444 PQH786446:PQH786450 PQH786454 PQH786456 PQH851979:PQH851980 PQH851982:PQH851986 PQH851990 PQH851992 PQH917515:PQH917516 PQH917518:PQH917522 PQH917526 PQH917528 PQH983051:PQH983052 PQH983054:PQH983058 PQH983062 PQH983064 QAD11:QAD12 QAD14:QAD18 QAD22 QAD24 QAD65547:QAD65548 QAD65550:QAD65554 QAD65558 QAD65560 QAD131083:QAD131084 QAD131086:QAD131090 QAD131094 QAD131096 QAD196619:QAD196620 QAD196622:QAD196626 QAD196630 QAD196632 QAD262155:QAD262156 QAD262158:QAD262162 QAD262166 QAD262168 QAD327691:QAD327692 QAD327694:QAD327698 QAD327702 QAD327704 QAD393227:QAD393228 QAD393230:QAD393234 QAD393238 QAD393240 QAD458763:QAD458764 QAD458766:QAD458770 QAD458774 QAD458776 QAD524299:QAD524300 QAD524302:QAD524306 QAD524310 QAD524312 QAD589835:QAD589836 QAD589838:QAD589842 QAD589846 QAD589848 QAD655371:QAD655372 QAD655374:QAD655378 QAD655382 QAD655384 QAD720907:QAD720908 QAD720910:QAD720914 QAD720918 QAD720920 QAD786443:QAD786444 QAD786446:QAD786450 QAD786454 QAD786456 QAD851979:QAD851980 QAD851982:QAD851986 QAD851990 QAD851992 QAD917515:QAD917516 QAD917518:QAD917522 QAD917526 QAD917528 QAD983051:QAD983052 QAD983054:QAD983058 QAD983062 QAD983064 QJZ11:QJZ12 QJZ14:QJZ18 QJZ22 QJZ24 QJZ65547:QJZ65548 QJZ65550:QJZ65554 QJZ65558 QJZ65560 QJZ131083:QJZ131084 QJZ131086:QJZ131090 QJZ131094 QJZ131096 QJZ196619:QJZ196620 QJZ196622:QJZ196626 QJZ196630 QJZ196632 QJZ262155:QJZ262156 QJZ262158:QJZ262162 QJZ262166 QJZ262168 QJZ327691:QJZ327692 QJZ327694:QJZ327698 QJZ327702 QJZ327704 QJZ393227:QJZ393228 QJZ393230:QJZ393234 QJZ393238 QJZ393240 QJZ458763:QJZ458764 QJZ458766:QJZ458770 QJZ458774 QJZ458776 QJZ524299:QJZ524300 QJZ524302:QJZ524306 QJZ524310 QJZ524312 QJZ589835:QJZ589836 QJZ589838:QJZ589842 QJZ589846 QJZ589848 QJZ655371:QJZ655372 QJZ655374:QJZ655378 QJZ655382 QJZ655384 QJZ720907:QJZ720908 QJZ720910:QJZ720914 QJZ720918 QJZ720920 QJZ786443:QJZ786444 QJZ786446:QJZ786450 QJZ786454 QJZ786456 QJZ851979:QJZ851980 QJZ851982:QJZ851986 QJZ851990 QJZ851992 QJZ917515:QJZ917516 QJZ917518:QJZ917522 QJZ917526 QJZ917528 QJZ983051:QJZ983052 QJZ983054:QJZ983058 QJZ983062 QJZ983064 QTV11:QTV12 QTV14:QTV18 QTV22 QTV24 QTV65547:QTV65548 QTV65550:QTV65554 QTV65558 QTV65560 QTV131083:QTV131084 QTV131086:QTV131090 QTV131094 QTV131096 QTV196619:QTV196620 QTV196622:QTV196626 QTV196630 QTV196632 QTV262155:QTV262156 QTV262158:QTV262162 QTV262166 QTV262168 QTV327691:QTV327692 QTV327694:QTV327698 QTV327702 QTV327704 QTV393227:QTV393228 QTV393230:QTV393234 QTV393238 QTV393240 QTV458763:QTV458764 QTV458766:QTV458770 QTV458774 QTV458776 QTV524299:QTV524300 QTV524302:QTV524306 QTV524310 QTV524312 QTV589835:QTV589836 QTV589838:QTV589842 QTV589846 QTV589848 QTV655371:QTV655372 QTV655374:QTV655378 QTV655382 QTV655384 QTV720907:QTV720908 QTV720910:QTV720914 QTV720918 QTV720920 QTV786443:QTV786444 QTV786446:QTV786450 QTV786454 QTV786456 QTV851979:QTV851980 QTV851982:QTV851986 QTV851990 QTV851992 QTV917515:QTV917516 QTV917518:QTV917522 QTV917526 QTV917528 QTV983051:QTV983052 QTV983054:QTV983058 QTV983062 QTV983064 RDR11:RDR12 RDR14:RDR18 RDR22 RDR24 RDR65547:RDR65548 RDR65550:RDR65554 RDR65558 RDR65560 RDR131083:RDR131084 RDR131086:RDR131090 RDR131094 RDR131096 RDR196619:RDR196620 RDR196622:RDR196626 RDR196630 RDR196632 RDR262155:RDR262156 RDR262158:RDR262162 RDR262166 RDR262168 RDR327691:RDR327692 RDR327694:RDR327698 RDR327702 RDR327704 RDR393227:RDR393228 RDR393230:RDR393234 RDR393238 RDR393240 RDR458763:RDR458764 RDR458766:RDR458770 RDR458774 RDR458776 RDR524299:RDR524300 RDR524302:RDR524306 RDR524310 RDR524312 RDR589835:RDR589836 RDR589838:RDR589842 RDR589846 RDR589848 RDR655371:RDR655372 RDR655374:RDR655378 RDR655382 RDR655384 RDR720907:RDR720908 RDR720910:RDR720914 RDR720918 RDR720920 RDR786443:RDR786444 RDR786446:RDR786450 RDR786454 RDR786456 RDR851979:RDR851980 RDR851982:RDR851986 RDR851990 RDR851992 RDR917515:RDR917516 RDR917518:RDR917522 RDR917526 RDR917528 RDR983051:RDR983052 RDR983054:RDR983058 RDR983062 RDR983064 RNN11:RNN12 RNN14:RNN18 RNN22 RNN24 RNN65547:RNN65548 RNN65550:RNN65554 RNN65558 RNN65560 RNN131083:RNN131084 RNN131086:RNN131090 RNN131094 RNN131096 RNN196619:RNN196620 RNN196622:RNN196626 RNN196630 RNN196632 RNN262155:RNN262156 RNN262158:RNN262162 RNN262166 RNN262168 RNN327691:RNN327692 RNN327694:RNN327698 RNN327702 RNN327704 RNN393227:RNN393228 RNN393230:RNN393234 RNN393238 RNN393240 RNN458763:RNN458764 RNN458766:RNN458770 RNN458774 RNN458776 RNN524299:RNN524300 RNN524302:RNN524306 RNN524310 RNN524312 RNN589835:RNN589836 RNN589838:RNN589842 RNN589846 RNN589848 RNN655371:RNN655372 RNN655374:RNN655378 RNN655382 RNN655384 RNN720907:RNN720908 RNN720910:RNN720914 RNN720918 RNN720920 RNN786443:RNN786444 RNN786446:RNN786450 RNN786454 RNN786456 RNN851979:RNN851980 RNN851982:RNN851986 RNN851990 RNN851992 RNN917515:RNN917516 RNN917518:RNN917522 RNN917526 RNN917528 RNN983051:RNN983052 RNN983054:RNN983058 RNN983062 RNN983064 RXJ11:RXJ12 RXJ14:RXJ18 RXJ22 RXJ24 RXJ65547:RXJ65548 RXJ65550:RXJ65554 RXJ65558 RXJ65560 RXJ131083:RXJ131084 RXJ131086:RXJ131090 RXJ131094 RXJ131096 RXJ196619:RXJ196620 RXJ196622:RXJ196626 RXJ196630 RXJ196632 RXJ262155:RXJ262156 RXJ262158:RXJ262162 RXJ262166 RXJ262168 RXJ327691:RXJ327692 RXJ327694:RXJ327698 RXJ327702 RXJ327704 RXJ393227:RXJ393228 RXJ393230:RXJ393234 RXJ393238 RXJ393240 RXJ458763:RXJ458764 RXJ458766:RXJ458770 RXJ458774 RXJ458776 RXJ524299:RXJ524300 RXJ524302:RXJ524306 RXJ524310 RXJ524312 RXJ589835:RXJ589836 RXJ589838:RXJ589842 RXJ589846 RXJ589848 RXJ655371:RXJ655372 RXJ655374:RXJ655378 RXJ655382 RXJ655384 RXJ720907:RXJ720908 RXJ720910:RXJ720914 RXJ720918 RXJ720920 RXJ786443:RXJ786444 RXJ786446:RXJ786450 RXJ786454 RXJ786456 RXJ851979:RXJ851980 RXJ851982:RXJ851986 RXJ851990 RXJ851992 RXJ917515:RXJ917516 RXJ917518:RXJ917522 RXJ917526 RXJ917528 RXJ983051:RXJ983052 RXJ983054:RXJ983058 RXJ983062 RXJ983064 SHF11:SHF12 SHF14:SHF18 SHF22 SHF24 SHF65547:SHF65548 SHF65550:SHF65554 SHF65558 SHF65560 SHF131083:SHF131084 SHF131086:SHF131090 SHF131094 SHF131096 SHF196619:SHF196620 SHF196622:SHF196626 SHF196630 SHF196632 SHF262155:SHF262156 SHF262158:SHF262162 SHF262166 SHF262168 SHF327691:SHF327692 SHF327694:SHF327698 SHF327702 SHF327704 SHF393227:SHF393228 SHF393230:SHF393234 SHF393238 SHF393240 SHF458763:SHF458764 SHF458766:SHF458770 SHF458774 SHF458776 SHF524299:SHF524300 SHF524302:SHF524306 SHF524310 SHF524312 SHF589835:SHF589836 SHF589838:SHF589842 SHF589846 SHF589848 SHF655371:SHF655372 SHF655374:SHF655378 SHF655382 SHF655384 SHF720907:SHF720908 SHF720910:SHF720914 SHF720918 SHF720920 SHF786443:SHF786444 SHF786446:SHF786450 SHF786454 SHF786456 SHF851979:SHF851980 SHF851982:SHF851986 SHF851990 SHF851992 SHF917515:SHF917516 SHF917518:SHF917522 SHF917526 SHF917528 SHF983051:SHF983052 SHF983054:SHF983058 SHF983062 SHF983064 SRB11:SRB12 SRB14:SRB18 SRB22 SRB24 SRB65547:SRB65548 SRB65550:SRB65554 SRB65558 SRB65560 SRB131083:SRB131084 SRB131086:SRB131090 SRB131094 SRB131096 SRB196619:SRB196620 SRB196622:SRB196626 SRB196630 SRB196632 SRB262155:SRB262156 SRB262158:SRB262162 SRB262166 SRB262168 SRB327691:SRB327692 SRB327694:SRB327698 SRB327702 SRB327704 SRB393227:SRB393228 SRB393230:SRB393234 SRB393238 SRB393240 SRB458763:SRB458764 SRB458766:SRB458770 SRB458774 SRB458776 SRB524299:SRB524300 SRB524302:SRB524306 SRB524310 SRB524312 SRB589835:SRB589836 SRB589838:SRB589842 SRB589846 SRB589848 SRB655371:SRB655372 SRB655374:SRB655378 SRB655382 SRB655384 SRB720907:SRB720908 SRB720910:SRB720914 SRB720918 SRB720920 SRB786443:SRB786444 SRB786446:SRB786450 SRB786454 SRB786456 SRB851979:SRB851980 SRB851982:SRB851986 SRB851990 SRB851992 SRB917515:SRB917516 SRB917518:SRB917522 SRB917526 SRB917528 SRB983051:SRB983052 SRB983054:SRB983058 SRB983062 SRB983064 TAX11:TAX12 TAX14:TAX18 TAX22 TAX24 TAX65547:TAX65548 TAX65550:TAX65554 TAX65558 TAX65560 TAX131083:TAX131084 TAX131086:TAX131090 TAX131094 TAX131096 TAX196619:TAX196620 TAX196622:TAX196626 TAX196630 TAX196632 TAX262155:TAX262156 TAX262158:TAX262162 TAX262166 TAX262168 TAX327691:TAX327692 TAX327694:TAX327698 TAX327702 TAX327704 TAX393227:TAX393228 TAX393230:TAX393234 TAX393238 TAX393240 TAX458763:TAX458764 TAX458766:TAX458770 TAX458774 TAX458776 TAX524299:TAX524300 TAX524302:TAX524306 TAX524310 TAX524312 TAX589835:TAX589836 TAX589838:TAX589842 TAX589846 TAX589848 TAX655371:TAX655372 TAX655374:TAX655378 TAX655382 TAX655384 TAX720907:TAX720908 TAX720910:TAX720914 TAX720918 TAX720920 TAX786443:TAX786444 TAX786446:TAX786450 TAX786454 TAX786456 TAX851979:TAX851980 TAX851982:TAX851986 TAX851990 TAX851992 TAX917515:TAX917516 TAX917518:TAX917522 TAX917526 TAX917528 TAX983051:TAX983052 TAX983054:TAX983058 TAX983062 TAX983064 TKT11:TKT12 TKT14:TKT18 TKT22 TKT24 TKT65547:TKT65548 TKT65550:TKT65554 TKT65558 TKT65560 TKT131083:TKT131084 TKT131086:TKT131090 TKT131094 TKT131096 TKT196619:TKT196620 TKT196622:TKT196626 TKT196630 TKT196632 TKT262155:TKT262156 TKT262158:TKT262162 TKT262166 TKT262168 TKT327691:TKT327692 TKT327694:TKT327698 TKT327702 TKT327704 TKT393227:TKT393228 TKT393230:TKT393234 TKT393238 TKT393240 TKT458763:TKT458764 TKT458766:TKT458770 TKT458774 TKT458776 TKT524299:TKT524300 TKT524302:TKT524306 TKT524310 TKT524312 TKT589835:TKT589836 TKT589838:TKT589842 TKT589846 TKT589848 TKT655371:TKT655372 TKT655374:TKT655378 TKT655382 TKT655384 TKT720907:TKT720908 TKT720910:TKT720914 TKT720918 TKT720920 TKT786443:TKT786444 TKT786446:TKT786450 TKT786454 TKT786456 TKT851979:TKT851980 TKT851982:TKT851986 TKT851990 TKT851992 TKT917515:TKT917516 TKT917518:TKT917522 TKT917526 TKT917528 TKT983051:TKT983052 TKT983054:TKT983058 TKT983062 TKT983064 TUP11:TUP12 TUP14:TUP18 TUP22 TUP24 TUP65547:TUP65548 TUP65550:TUP65554 TUP65558 TUP65560 TUP131083:TUP131084 TUP131086:TUP131090 TUP131094 TUP131096 TUP196619:TUP196620 TUP196622:TUP196626 TUP196630 TUP196632 TUP262155:TUP262156 TUP262158:TUP262162 TUP262166 TUP262168 TUP327691:TUP327692 TUP327694:TUP327698 TUP327702 TUP327704 TUP393227:TUP393228 TUP393230:TUP393234 TUP393238 TUP393240 TUP458763:TUP458764 TUP458766:TUP458770 TUP458774 TUP458776 TUP524299:TUP524300 TUP524302:TUP524306 TUP524310 TUP524312 TUP589835:TUP589836 TUP589838:TUP589842 TUP589846 TUP589848 TUP655371:TUP655372 TUP655374:TUP655378 TUP655382 TUP655384 TUP720907:TUP720908 TUP720910:TUP720914 TUP720918 TUP720920 TUP786443:TUP786444 TUP786446:TUP786450 TUP786454 TUP786456 TUP851979:TUP851980 TUP851982:TUP851986 TUP851990 TUP851992 TUP917515:TUP917516 TUP917518:TUP917522 TUP917526 TUP917528 TUP983051:TUP983052 TUP983054:TUP983058 TUP983062 TUP983064 UEL11:UEL12 UEL14:UEL18 UEL22 UEL24 UEL65547:UEL65548 UEL65550:UEL65554 UEL65558 UEL65560 UEL131083:UEL131084 UEL131086:UEL131090 UEL131094 UEL131096 UEL196619:UEL196620 UEL196622:UEL196626 UEL196630 UEL196632 UEL262155:UEL262156 UEL262158:UEL262162 UEL262166 UEL262168 UEL327691:UEL327692 UEL327694:UEL327698 UEL327702 UEL327704 UEL393227:UEL393228 UEL393230:UEL393234 UEL393238 UEL393240 UEL458763:UEL458764 UEL458766:UEL458770 UEL458774 UEL458776 UEL524299:UEL524300 UEL524302:UEL524306 UEL524310 UEL524312 UEL589835:UEL589836 UEL589838:UEL589842 UEL589846 UEL589848 UEL655371:UEL655372 UEL655374:UEL655378 UEL655382 UEL655384 UEL720907:UEL720908 UEL720910:UEL720914 UEL720918 UEL720920 UEL786443:UEL786444 UEL786446:UEL786450 UEL786454 UEL786456 UEL851979:UEL851980 UEL851982:UEL851986 UEL851990 UEL851992 UEL917515:UEL917516 UEL917518:UEL917522 UEL917526 UEL917528 UEL983051:UEL983052 UEL983054:UEL983058 UEL983062 UEL983064 UOH11:UOH12 UOH14:UOH18 UOH22 UOH24 UOH65547:UOH65548 UOH65550:UOH65554 UOH65558 UOH65560 UOH131083:UOH131084 UOH131086:UOH131090 UOH131094 UOH131096 UOH196619:UOH196620 UOH196622:UOH196626 UOH196630 UOH196632 UOH262155:UOH262156 UOH262158:UOH262162 UOH262166 UOH262168 UOH327691:UOH327692 UOH327694:UOH327698 UOH327702 UOH327704 UOH393227:UOH393228 UOH393230:UOH393234 UOH393238 UOH393240 UOH458763:UOH458764 UOH458766:UOH458770 UOH458774 UOH458776 UOH524299:UOH524300 UOH524302:UOH524306 UOH524310 UOH524312 UOH589835:UOH589836 UOH589838:UOH589842 UOH589846 UOH589848 UOH655371:UOH655372 UOH655374:UOH655378 UOH655382 UOH655384 UOH720907:UOH720908 UOH720910:UOH720914 UOH720918 UOH720920 UOH786443:UOH786444 UOH786446:UOH786450 UOH786454 UOH786456 UOH851979:UOH851980 UOH851982:UOH851986 UOH851990 UOH851992 UOH917515:UOH917516 UOH917518:UOH917522 UOH917526 UOH917528 UOH983051:UOH983052 UOH983054:UOH983058 UOH983062 UOH983064 UYD11:UYD12 UYD14:UYD18 UYD22 UYD24 UYD65547:UYD65548 UYD65550:UYD65554 UYD65558 UYD65560 UYD131083:UYD131084 UYD131086:UYD131090 UYD131094 UYD131096 UYD196619:UYD196620 UYD196622:UYD196626 UYD196630 UYD196632 UYD262155:UYD262156 UYD262158:UYD262162 UYD262166 UYD262168 UYD327691:UYD327692 UYD327694:UYD327698 UYD327702 UYD327704 UYD393227:UYD393228 UYD393230:UYD393234 UYD393238 UYD393240 UYD458763:UYD458764 UYD458766:UYD458770 UYD458774 UYD458776 UYD524299:UYD524300 UYD524302:UYD524306 UYD524310 UYD524312 UYD589835:UYD589836 UYD589838:UYD589842 UYD589846 UYD589848 UYD655371:UYD655372 UYD655374:UYD655378 UYD655382 UYD655384 UYD720907:UYD720908 UYD720910:UYD720914 UYD720918 UYD720920 UYD786443:UYD786444 UYD786446:UYD786450 UYD786454 UYD786456 UYD851979:UYD851980 UYD851982:UYD851986 UYD851990 UYD851992 UYD917515:UYD917516 UYD917518:UYD917522 UYD917526 UYD917528 UYD983051:UYD983052 UYD983054:UYD983058 UYD983062 UYD983064 VHZ11:VHZ12 VHZ14:VHZ18 VHZ22 VHZ24 VHZ65547:VHZ65548 VHZ65550:VHZ65554 VHZ65558 VHZ65560 VHZ131083:VHZ131084 VHZ131086:VHZ131090 VHZ131094 VHZ131096 VHZ196619:VHZ196620 VHZ196622:VHZ196626 VHZ196630 VHZ196632 VHZ262155:VHZ262156 VHZ262158:VHZ262162 VHZ262166 VHZ262168 VHZ327691:VHZ327692 VHZ327694:VHZ327698 VHZ327702 VHZ327704 VHZ393227:VHZ393228 VHZ393230:VHZ393234 VHZ393238 VHZ393240 VHZ458763:VHZ458764 VHZ458766:VHZ458770 VHZ458774 VHZ458776 VHZ524299:VHZ524300 VHZ524302:VHZ524306 VHZ524310 VHZ524312 VHZ589835:VHZ589836 VHZ589838:VHZ589842 VHZ589846 VHZ589848 VHZ655371:VHZ655372 VHZ655374:VHZ655378 VHZ655382 VHZ655384 VHZ720907:VHZ720908 VHZ720910:VHZ720914 VHZ720918 VHZ720920 VHZ786443:VHZ786444 VHZ786446:VHZ786450 VHZ786454 VHZ786456 VHZ851979:VHZ851980 VHZ851982:VHZ851986 VHZ851990 VHZ851992 VHZ917515:VHZ917516 VHZ917518:VHZ917522 VHZ917526 VHZ917528 VHZ983051:VHZ983052 VHZ983054:VHZ983058 VHZ983062 VHZ983064 VRV11:VRV12 VRV14:VRV18 VRV22 VRV24 VRV65547:VRV65548 VRV65550:VRV65554 VRV65558 VRV65560 VRV131083:VRV131084 VRV131086:VRV131090 VRV131094 VRV131096 VRV196619:VRV196620 VRV196622:VRV196626 VRV196630 VRV196632 VRV262155:VRV262156 VRV262158:VRV262162 VRV262166 VRV262168 VRV327691:VRV327692 VRV327694:VRV327698 VRV327702 VRV327704 VRV393227:VRV393228 VRV393230:VRV393234 VRV393238 VRV393240 VRV458763:VRV458764 VRV458766:VRV458770 VRV458774 VRV458776 VRV524299:VRV524300 VRV524302:VRV524306 VRV524310 VRV524312 VRV589835:VRV589836 VRV589838:VRV589842 VRV589846 VRV589848 VRV655371:VRV655372 VRV655374:VRV655378 VRV655382 VRV655384 VRV720907:VRV720908 VRV720910:VRV720914 VRV720918 VRV720920 VRV786443:VRV786444 VRV786446:VRV786450 VRV786454 VRV786456 VRV851979:VRV851980 VRV851982:VRV851986 VRV851990 VRV851992 VRV917515:VRV917516 VRV917518:VRV917522 VRV917526 VRV917528 VRV983051:VRV983052 VRV983054:VRV983058 VRV983062 VRV983064 WBR11:WBR12 WBR14:WBR18 WBR22 WBR24 WBR65547:WBR65548 WBR65550:WBR65554 WBR65558 WBR65560 WBR131083:WBR131084 WBR131086:WBR131090 WBR131094 WBR131096 WBR196619:WBR196620 WBR196622:WBR196626 WBR196630 WBR196632 WBR262155:WBR262156 WBR262158:WBR262162 WBR262166 WBR262168 WBR327691:WBR327692 WBR327694:WBR327698 WBR327702 WBR327704 WBR393227:WBR393228 WBR393230:WBR393234 WBR393238 WBR393240 WBR458763:WBR458764 WBR458766:WBR458770 WBR458774 WBR458776 WBR524299:WBR524300 WBR524302:WBR524306 WBR524310 WBR524312 WBR589835:WBR589836 WBR589838:WBR589842 WBR589846 WBR589848 WBR655371:WBR655372 WBR655374:WBR655378 WBR655382 WBR655384 WBR720907:WBR720908 WBR720910:WBR720914 WBR720918 WBR720920 WBR786443:WBR786444 WBR786446:WBR786450 WBR786454 WBR786456 WBR851979:WBR851980 WBR851982:WBR851986 WBR851990 WBR851992 WBR917515:WBR917516 WBR917518:WBR917522 WBR917526 WBR917528 WBR983051:WBR983052 WBR983054:WBR983058 WBR983062 WBR983064 WLN11:WLN12 WLN14:WLN18 WLN22 WLN24 WLN65547:WLN65548 WLN65550:WLN65554 WLN65558 WLN65560 WLN131083:WLN131084 WLN131086:WLN131090 WLN131094 WLN131096 WLN196619:WLN196620 WLN196622:WLN196626 WLN196630 WLN196632 WLN262155:WLN262156 WLN262158:WLN262162 WLN262166 WLN262168 WLN327691:WLN327692 WLN327694:WLN327698 WLN327702 WLN327704 WLN393227:WLN393228 WLN393230:WLN393234 WLN393238 WLN393240 WLN458763:WLN458764 WLN458766:WLN458770 WLN458774 WLN458776 WLN524299:WLN524300 WLN524302:WLN524306 WLN524310 WLN524312 WLN589835:WLN589836 WLN589838:WLN589842 WLN589846 WLN589848 WLN655371:WLN655372 WLN655374:WLN655378 WLN655382 WLN655384 WLN720907:WLN720908 WLN720910:WLN720914 WLN720918 WLN720920 WLN786443:WLN786444 WLN786446:WLN786450 WLN786454 WLN786456 WLN851979:WLN851980 WLN851982:WLN851986 WLN851990 WLN851992 WLN917515:WLN917516 WLN917518:WLN917522 WLN917526 WLN917528 WLN983051:WLN983052 WLN983054:WLN983058 WLN983062 WLN983064 WVJ11:WVJ12 WVJ14:WVJ18 WVJ22 WVJ24 WVJ65547:WVJ65548 WVJ65550:WVJ65554 WVJ65558 WVJ65560 WVJ131083:WVJ131084 WVJ131086:WVJ131090 WVJ131094 WVJ131096 WVJ196619:WVJ196620 WVJ196622:WVJ196626 WVJ196630 WVJ196632 WVJ262155:WVJ262156 WVJ262158:WVJ262162 WVJ262166 WVJ262168 WVJ327691:WVJ327692 WVJ327694:WVJ327698 WVJ327702 WVJ327704 WVJ393227:WVJ393228 WVJ393230:WVJ393234 WVJ393238 WVJ393240 WVJ458763:WVJ458764 WVJ458766:WVJ458770 WVJ458774 WVJ458776 WVJ524299:WVJ524300 WVJ524302:WVJ524306 WVJ524310 WVJ524312 WVJ589835:WVJ589836 WVJ589838:WVJ589842 WVJ589846 WVJ589848 WVJ655371:WVJ655372 WVJ655374:WVJ655378 WVJ655382 WVJ655384 WVJ720907:WVJ720908 WVJ720910:WVJ720914 WVJ720918 WVJ720920 WVJ786443:WVJ786444 WVJ786446:WVJ786450 WVJ786454 WVJ786456 WVJ851979:WVJ851980 WVJ851982:WVJ851986 WVJ851990 WVJ851992 WVJ917515:WVJ917516 WVJ917518:WVJ917522 WVJ917526 WVJ917528 WVJ983051:WVJ983052 WVJ983054:WVJ983058 WVJ983062 WVJ983064" xr:uid="{00000000-0002-0000-0F00-000000000000}">
      <formula1>しろくろ</formula1>
    </dataValidation>
  </dataValidations>
  <pageMargins left="0.70866141732283472" right="0.70866141732283472" top="0.59055118110236227" bottom="0.59055118110236227" header="0.31496062992125984" footer="0.31496062992125984"/>
  <pageSetup paperSize="9" orientation="portrait" blackAndWhite="1"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F150"/>
  <sheetViews>
    <sheetView workbookViewId="0"/>
  </sheetViews>
  <sheetFormatPr defaultColWidth="9" defaultRowHeight="10.8"/>
  <cols>
    <col min="1" max="2" width="1.77734375" style="1219" customWidth="1"/>
    <col min="3" max="3" width="2.88671875" style="1219" customWidth="1"/>
    <col min="4" max="4" width="3" style="1219" customWidth="1"/>
    <col min="5" max="6" width="3.6640625" style="1219" customWidth="1"/>
    <col min="7" max="7" width="3.21875" style="1219" customWidth="1"/>
    <col min="8" max="8" width="1.33203125" style="1219" customWidth="1"/>
    <col min="9" max="9" width="2.109375" style="1219" customWidth="1"/>
    <col min="10" max="11" width="3" style="1219" customWidth="1"/>
    <col min="12" max="12" width="2.88671875" style="1219" customWidth="1"/>
    <col min="13" max="13" width="3.44140625" style="1219" customWidth="1"/>
    <col min="14" max="14" width="2.88671875" style="1219" customWidth="1"/>
    <col min="15" max="15" width="3" style="1219" customWidth="1"/>
    <col min="16" max="16" width="2.88671875" style="1219" customWidth="1"/>
    <col min="17" max="17" width="2.109375" style="1219" customWidth="1"/>
    <col min="18" max="19" width="2.77734375" style="1219" customWidth="1"/>
    <col min="20" max="21" width="2.109375" style="1219" customWidth="1"/>
    <col min="22" max="59" width="2.88671875" style="1219" customWidth="1"/>
    <col min="60" max="256" width="9" style="1219" customWidth="1"/>
    <col min="257" max="258" width="1.77734375" style="1219" customWidth="1"/>
    <col min="259" max="259" width="2.88671875" style="1219" customWidth="1"/>
    <col min="260" max="260" width="3" style="1219" customWidth="1"/>
    <col min="261" max="262" width="3.6640625" style="1219" customWidth="1"/>
    <col min="263" max="263" width="3.21875" style="1219" customWidth="1"/>
    <col min="264" max="264" width="1.33203125" style="1219" customWidth="1"/>
    <col min="265" max="265" width="2.109375" style="1219" customWidth="1"/>
    <col min="266" max="267" width="3" style="1219" customWidth="1"/>
    <col min="268" max="268" width="2.88671875" style="1219" customWidth="1"/>
    <col min="269" max="269" width="3.44140625" style="1219" customWidth="1"/>
    <col min="270" max="270" width="2.88671875" style="1219" customWidth="1"/>
    <col min="271" max="271" width="3" style="1219" customWidth="1"/>
    <col min="272" max="272" width="2.88671875" style="1219" customWidth="1"/>
    <col min="273" max="273" width="2.109375" style="1219" customWidth="1"/>
    <col min="274" max="275" width="2.77734375" style="1219" customWidth="1"/>
    <col min="276" max="277" width="2.109375" style="1219" customWidth="1"/>
    <col min="278" max="315" width="2.88671875" style="1219" customWidth="1"/>
    <col min="316" max="512" width="9" style="1219" customWidth="1"/>
    <col min="513" max="514" width="1.77734375" style="1219" customWidth="1"/>
    <col min="515" max="515" width="2.88671875" style="1219" customWidth="1"/>
    <col min="516" max="516" width="3" style="1219" customWidth="1"/>
    <col min="517" max="518" width="3.6640625" style="1219" customWidth="1"/>
    <col min="519" max="519" width="3.21875" style="1219" customWidth="1"/>
    <col min="520" max="520" width="1.33203125" style="1219" customWidth="1"/>
    <col min="521" max="521" width="2.109375" style="1219" customWidth="1"/>
    <col min="522" max="523" width="3" style="1219" customWidth="1"/>
    <col min="524" max="524" width="2.88671875" style="1219" customWidth="1"/>
    <col min="525" max="525" width="3.44140625" style="1219" customWidth="1"/>
    <col min="526" max="526" width="2.88671875" style="1219" customWidth="1"/>
    <col min="527" max="527" width="3" style="1219" customWidth="1"/>
    <col min="528" max="528" width="2.88671875" style="1219" customWidth="1"/>
    <col min="529" max="529" width="2.109375" style="1219" customWidth="1"/>
    <col min="530" max="531" width="2.77734375" style="1219" customWidth="1"/>
    <col min="532" max="533" width="2.109375" style="1219" customWidth="1"/>
    <col min="534" max="571" width="2.88671875" style="1219" customWidth="1"/>
    <col min="572" max="768" width="9" style="1219" customWidth="1"/>
    <col min="769" max="770" width="1.77734375" style="1219" customWidth="1"/>
    <col min="771" max="771" width="2.88671875" style="1219" customWidth="1"/>
    <col min="772" max="772" width="3" style="1219" customWidth="1"/>
    <col min="773" max="774" width="3.6640625" style="1219" customWidth="1"/>
    <col min="775" max="775" width="3.21875" style="1219" customWidth="1"/>
    <col min="776" max="776" width="1.33203125" style="1219" customWidth="1"/>
    <col min="777" max="777" width="2.109375" style="1219" customWidth="1"/>
    <col min="778" max="779" width="3" style="1219" customWidth="1"/>
    <col min="780" max="780" width="2.88671875" style="1219" customWidth="1"/>
    <col min="781" max="781" width="3.44140625" style="1219" customWidth="1"/>
    <col min="782" max="782" width="2.88671875" style="1219" customWidth="1"/>
    <col min="783" max="783" width="3" style="1219" customWidth="1"/>
    <col min="784" max="784" width="2.88671875" style="1219" customWidth="1"/>
    <col min="785" max="785" width="2.109375" style="1219" customWidth="1"/>
    <col min="786" max="787" width="2.77734375" style="1219" customWidth="1"/>
    <col min="788" max="789" width="2.109375" style="1219" customWidth="1"/>
    <col min="790" max="827" width="2.88671875" style="1219" customWidth="1"/>
    <col min="828" max="1024" width="9" style="1219" customWidth="1"/>
    <col min="1025" max="1026" width="1.77734375" style="1219" customWidth="1"/>
    <col min="1027" max="1027" width="2.88671875" style="1219" customWidth="1"/>
    <col min="1028" max="1028" width="3" style="1219" customWidth="1"/>
    <col min="1029" max="1030" width="3.6640625" style="1219" customWidth="1"/>
    <col min="1031" max="1031" width="3.21875" style="1219" customWidth="1"/>
    <col min="1032" max="1032" width="1.33203125" style="1219" customWidth="1"/>
    <col min="1033" max="1033" width="2.109375" style="1219" customWidth="1"/>
    <col min="1034" max="1035" width="3" style="1219" customWidth="1"/>
    <col min="1036" max="1036" width="2.88671875" style="1219" customWidth="1"/>
    <col min="1037" max="1037" width="3.44140625" style="1219" customWidth="1"/>
    <col min="1038" max="1038" width="2.88671875" style="1219" customWidth="1"/>
    <col min="1039" max="1039" width="3" style="1219" customWidth="1"/>
    <col min="1040" max="1040" width="2.88671875" style="1219" customWidth="1"/>
    <col min="1041" max="1041" width="2.109375" style="1219" customWidth="1"/>
    <col min="1042" max="1043" width="2.77734375" style="1219" customWidth="1"/>
    <col min="1044" max="1045" width="2.109375" style="1219" customWidth="1"/>
    <col min="1046" max="1083" width="2.88671875" style="1219" customWidth="1"/>
    <col min="1084" max="1280" width="9" style="1219" customWidth="1"/>
    <col min="1281" max="1282" width="1.77734375" style="1219" customWidth="1"/>
    <col min="1283" max="1283" width="2.88671875" style="1219" customWidth="1"/>
    <col min="1284" max="1284" width="3" style="1219" customWidth="1"/>
    <col min="1285" max="1286" width="3.6640625" style="1219" customWidth="1"/>
    <col min="1287" max="1287" width="3.21875" style="1219" customWidth="1"/>
    <col min="1288" max="1288" width="1.33203125" style="1219" customWidth="1"/>
    <col min="1289" max="1289" width="2.109375" style="1219" customWidth="1"/>
    <col min="1290" max="1291" width="3" style="1219" customWidth="1"/>
    <col min="1292" max="1292" width="2.88671875" style="1219" customWidth="1"/>
    <col min="1293" max="1293" width="3.44140625" style="1219" customWidth="1"/>
    <col min="1294" max="1294" width="2.88671875" style="1219" customWidth="1"/>
    <col min="1295" max="1295" width="3" style="1219" customWidth="1"/>
    <col min="1296" max="1296" width="2.88671875" style="1219" customWidth="1"/>
    <col min="1297" max="1297" width="2.109375" style="1219" customWidth="1"/>
    <col min="1298" max="1299" width="2.77734375" style="1219" customWidth="1"/>
    <col min="1300" max="1301" width="2.109375" style="1219" customWidth="1"/>
    <col min="1302" max="1339" width="2.88671875" style="1219" customWidth="1"/>
    <col min="1340" max="1536" width="9" style="1219" customWidth="1"/>
    <col min="1537" max="1538" width="1.77734375" style="1219" customWidth="1"/>
    <col min="1539" max="1539" width="2.88671875" style="1219" customWidth="1"/>
    <col min="1540" max="1540" width="3" style="1219" customWidth="1"/>
    <col min="1541" max="1542" width="3.6640625" style="1219" customWidth="1"/>
    <col min="1543" max="1543" width="3.21875" style="1219" customWidth="1"/>
    <col min="1544" max="1544" width="1.33203125" style="1219" customWidth="1"/>
    <col min="1545" max="1545" width="2.109375" style="1219" customWidth="1"/>
    <col min="1546" max="1547" width="3" style="1219" customWidth="1"/>
    <col min="1548" max="1548" width="2.88671875" style="1219" customWidth="1"/>
    <col min="1549" max="1549" width="3.44140625" style="1219" customWidth="1"/>
    <col min="1550" max="1550" width="2.88671875" style="1219" customWidth="1"/>
    <col min="1551" max="1551" width="3" style="1219" customWidth="1"/>
    <col min="1552" max="1552" width="2.88671875" style="1219" customWidth="1"/>
    <col min="1553" max="1553" width="2.109375" style="1219" customWidth="1"/>
    <col min="1554" max="1555" width="2.77734375" style="1219" customWidth="1"/>
    <col min="1556" max="1557" width="2.109375" style="1219" customWidth="1"/>
    <col min="1558" max="1595" width="2.88671875" style="1219" customWidth="1"/>
    <col min="1596" max="1792" width="9" style="1219" customWidth="1"/>
    <col min="1793" max="1794" width="1.77734375" style="1219" customWidth="1"/>
    <col min="1795" max="1795" width="2.88671875" style="1219" customWidth="1"/>
    <col min="1796" max="1796" width="3" style="1219" customWidth="1"/>
    <col min="1797" max="1798" width="3.6640625" style="1219" customWidth="1"/>
    <col min="1799" max="1799" width="3.21875" style="1219" customWidth="1"/>
    <col min="1800" max="1800" width="1.33203125" style="1219" customWidth="1"/>
    <col min="1801" max="1801" width="2.109375" style="1219" customWidth="1"/>
    <col min="1802" max="1803" width="3" style="1219" customWidth="1"/>
    <col min="1804" max="1804" width="2.88671875" style="1219" customWidth="1"/>
    <col min="1805" max="1805" width="3.44140625" style="1219" customWidth="1"/>
    <col min="1806" max="1806" width="2.88671875" style="1219" customWidth="1"/>
    <col min="1807" max="1807" width="3" style="1219" customWidth="1"/>
    <col min="1808" max="1808" width="2.88671875" style="1219" customWidth="1"/>
    <col min="1809" max="1809" width="2.109375" style="1219" customWidth="1"/>
    <col min="1810" max="1811" width="2.77734375" style="1219" customWidth="1"/>
    <col min="1812" max="1813" width="2.109375" style="1219" customWidth="1"/>
    <col min="1814" max="1851" width="2.88671875" style="1219" customWidth="1"/>
    <col min="1852" max="2048" width="9" style="1219" customWidth="1"/>
    <col min="2049" max="2050" width="1.77734375" style="1219" customWidth="1"/>
    <col min="2051" max="2051" width="2.88671875" style="1219" customWidth="1"/>
    <col min="2052" max="2052" width="3" style="1219" customWidth="1"/>
    <col min="2053" max="2054" width="3.6640625" style="1219" customWidth="1"/>
    <col min="2055" max="2055" width="3.21875" style="1219" customWidth="1"/>
    <col min="2056" max="2056" width="1.33203125" style="1219" customWidth="1"/>
    <col min="2057" max="2057" width="2.109375" style="1219" customWidth="1"/>
    <col min="2058" max="2059" width="3" style="1219" customWidth="1"/>
    <col min="2060" max="2060" width="2.88671875" style="1219" customWidth="1"/>
    <col min="2061" max="2061" width="3.44140625" style="1219" customWidth="1"/>
    <col min="2062" max="2062" width="2.88671875" style="1219" customWidth="1"/>
    <col min="2063" max="2063" width="3" style="1219" customWidth="1"/>
    <col min="2064" max="2064" width="2.88671875" style="1219" customWidth="1"/>
    <col min="2065" max="2065" width="2.109375" style="1219" customWidth="1"/>
    <col min="2066" max="2067" width="2.77734375" style="1219" customWidth="1"/>
    <col min="2068" max="2069" width="2.109375" style="1219" customWidth="1"/>
    <col min="2070" max="2107" width="2.88671875" style="1219" customWidth="1"/>
    <col min="2108" max="2304" width="9" style="1219" customWidth="1"/>
    <col min="2305" max="2306" width="1.77734375" style="1219" customWidth="1"/>
    <col min="2307" max="2307" width="2.88671875" style="1219" customWidth="1"/>
    <col min="2308" max="2308" width="3" style="1219" customWidth="1"/>
    <col min="2309" max="2310" width="3.6640625" style="1219" customWidth="1"/>
    <col min="2311" max="2311" width="3.21875" style="1219" customWidth="1"/>
    <col min="2312" max="2312" width="1.33203125" style="1219" customWidth="1"/>
    <col min="2313" max="2313" width="2.109375" style="1219" customWidth="1"/>
    <col min="2314" max="2315" width="3" style="1219" customWidth="1"/>
    <col min="2316" max="2316" width="2.88671875" style="1219" customWidth="1"/>
    <col min="2317" max="2317" width="3.44140625" style="1219" customWidth="1"/>
    <col min="2318" max="2318" width="2.88671875" style="1219" customWidth="1"/>
    <col min="2319" max="2319" width="3" style="1219" customWidth="1"/>
    <col min="2320" max="2320" width="2.88671875" style="1219" customWidth="1"/>
    <col min="2321" max="2321" width="2.109375" style="1219" customWidth="1"/>
    <col min="2322" max="2323" width="2.77734375" style="1219" customWidth="1"/>
    <col min="2324" max="2325" width="2.109375" style="1219" customWidth="1"/>
    <col min="2326" max="2363" width="2.88671875" style="1219" customWidth="1"/>
    <col min="2364" max="2560" width="9" style="1219" customWidth="1"/>
    <col min="2561" max="2562" width="1.77734375" style="1219" customWidth="1"/>
    <col min="2563" max="2563" width="2.88671875" style="1219" customWidth="1"/>
    <col min="2564" max="2564" width="3" style="1219" customWidth="1"/>
    <col min="2565" max="2566" width="3.6640625" style="1219" customWidth="1"/>
    <col min="2567" max="2567" width="3.21875" style="1219" customWidth="1"/>
    <col min="2568" max="2568" width="1.33203125" style="1219" customWidth="1"/>
    <col min="2569" max="2569" width="2.109375" style="1219" customWidth="1"/>
    <col min="2570" max="2571" width="3" style="1219" customWidth="1"/>
    <col min="2572" max="2572" width="2.88671875" style="1219" customWidth="1"/>
    <col min="2573" max="2573" width="3.44140625" style="1219" customWidth="1"/>
    <col min="2574" max="2574" width="2.88671875" style="1219" customWidth="1"/>
    <col min="2575" max="2575" width="3" style="1219" customWidth="1"/>
    <col min="2576" max="2576" width="2.88671875" style="1219" customWidth="1"/>
    <col min="2577" max="2577" width="2.109375" style="1219" customWidth="1"/>
    <col min="2578" max="2579" width="2.77734375" style="1219" customWidth="1"/>
    <col min="2580" max="2581" width="2.109375" style="1219" customWidth="1"/>
    <col min="2582" max="2619" width="2.88671875" style="1219" customWidth="1"/>
    <col min="2620" max="2816" width="9" style="1219" customWidth="1"/>
    <col min="2817" max="2818" width="1.77734375" style="1219" customWidth="1"/>
    <col min="2819" max="2819" width="2.88671875" style="1219" customWidth="1"/>
    <col min="2820" max="2820" width="3" style="1219" customWidth="1"/>
    <col min="2821" max="2822" width="3.6640625" style="1219" customWidth="1"/>
    <col min="2823" max="2823" width="3.21875" style="1219" customWidth="1"/>
    <col min="2824" max="2824" width="1.33203125" style="1219" customWidth="1"/>
    <col min="2825" max="2825" width="2.109375" style="1219" customWidth="1"/>
    <col min="2826" max="2827" width="3" style="1219" customWidth="1"/>
    <col min="2828" max="2828" width="2.88671875" style="1219" customWidth="1"/>
    <col min="2829" max="2829" width="3.44140625" style="1219" customWidth="1"/>
    <col min="2830" max="2830" width="2.88671875" style="1219" customWidth="1"/>
    <col min="2831" max="2831" width="3" style="1219" customWidth="1"/>
    <col min="2832" max="2832" width="2.88671875" style="1219" customWidth="1"/>
    <col min="2833" max="2833" width="2.109375" style="1219" customWidth="1"/>
    <col min="2834" max="2835" width="2.77734375" style="1219" customWidth="1"/>
    <col min="2836" max="2837" width="2.109375" style="1219" customWidth="1"/>
    <col min="2838" max="2875" width="2.88671875" style="1219" customWidth="1"/>
    <col min="2876" max="3072" width="9" style="1219" customWidth="1"/>
    <col min="3073" max="3074" width="1.77734375" style="1219" customWidth="1"/>
    <col min="3075" max="3075" width="2.88671875" style="1219" customWidth="1"/>
    <col min="3076" max="3076" width="3" style="1219" customWidth="1"/>
    <col min="3077" max="3078" width="3.6640625" style="1219" customWidth="1"/>
    <col min="3079" max="3079" width="3.21875" style="1219" customWidth="1"/>
    <col min="3080" max="3080" width="1.33203125" style="1219" customWidth="1"/>
    <col min="3081" max="3081" width="2.109375" style="1219" customWidth="1"/>
    <col min="3082" max="3083" width="3" style="1219" customWidth="1"/>
    <col min="3084" max="3084" width="2.88671875" style="1219" customWidth="1"/>
    <col min="3085" max="3085" width="3.44140625" style="1219" customWidth="1"/>
    <col min="3086" max="3086" width="2.88671875" style="1219" customWidth="1"/>
    <col min="3087" max="3087" width="3" style="1219" customWidth="1"/>
    <col min="3088" max="3088" width="2.88671875" style="1219" customWidth="1"/>
    <col min="3089" max="3089" width="2.109375" style="1219" customWidth="1"/>
    <col min="3090" max="3091" width="2.77734375" style="1219" customWidth="1"/>
    <col min="3092" max="3093" width="2.109375" style="1219" customWidth="1"/>
    <col min="3094" max="3131" width="2.88671875" style="1219" customWidth="1"/>
    <col min="3132" max="3328" width="9" style="1219" customWidth="1"/>
    <col min="3329" max="3330" width="1.77734375" style="1219" customWidth="1"/>
    <col min="3331" max="3331" width="2.88671875" style="1219" customWidth="1"/>
    <col min="3332" max="3332" width="3" style="1219" customWidth="1"/>
    <col min="3333" max="3334" width="3.6640625" style="1219" customWidth="1"/>
    <col min="3335" max="3335" width="3.21875" style="1219" customWidth="1"/>
    <col min="3336" max="3336" width="1.33203125" style="1219" customWidth="1"/>
    <col min="3337" max="3337" width="2.109375" style="1219" customWidth="1"/>
    <col min="3338" max="3339" width="3" style="1219" customWidth="1"/>
    <col min="3340" max="3340" width="2.88671875" style="1219" customWidth="1"/>
    <col min="3341" max="3341" width="3.44140625" style="1219" customWidth="1"/>
    <col min="3342" max="3342" width="2.88671875" style="1219" customWidth="1"/>
    <col min="3343" max="3343" width="3" style="1219" customWidth="1"/>
    <col min="3344" max="3344" width="2.88671875" style="1219" customWidth="1"/>
    <col min="3345" max="3345" width="2.109375" style="1219" customWidth="1"/>
    <col min="3346" max="3347" width="2.77734375" style="1219" customWidth="1"/>
    <col min="3348" max="3349" width="2.109375" style="1219" customWidth="1"/>
    <col min="3350" max="3387" width="2.88671875" style="1219" customWidth="1"/>
    <col min="3388" max="3584" width="9" style="1219" customWidth="1"/>
    <col min="3585" max="3586" width="1.77734375" style="1219" customWidth="1"/>
    <col min="3587" max="3587" width="2.88671875" style="1219" customWidth="1"/>
    <col min="3588" max="3588" width="3" style="1219" customWidth="1"/>
    <col min="3589" max="3590" width="3.6640625" style="1219" customWidth="1"/>
    <col min="3591" max="3591" width="3.21875" style="1219" customWidth="1"/>
    <col min="3592" max="3592" width="1.33203125" style="1219" customWidth="1"/>
    <col min="3593" max="3593" width="2.109375" style="1219" customWidth="1"/>
    <col min="3594" max="3595" width="3" style="1219" customWidth="1"/>
    <col min="3596" max="3596" width="2.88671875" style="1219" customWidth="1"/>
    <col min="3597" max="3597" width="3.44140625" style="1219" customWidth="1"/>
    <col min="3598" max="3598" width="2.88671875" style="1219" customWidth="1"/>
    <col min="3599" max="3599" width="3" style="1219" customWidth="1"/>
    <col min="3600" max="3600" width="2.88671875" style="1219" customWidth="1"/>
    <col min="3601" max="3601" width="2.109375" style="1219" customWidth="1"/>
    <col min="3602" max="3603" width="2.77734375" style="1219" customWidth="1"/>
    <col min="3604" max="3605" width="2.109375" style="1219" customWidth="1"/>
    <col min="3606" max="3643" width="2.88671875" style="1219" customWidth="1"/>
    <col min="3644" max="3840" width="9" style="1219" customWidth="1"/>
    <col min="3841" max="3842" width="1.77734375" style="1219" customWidth="1"/>
    <col min="3843" max="3843" width="2.88671875" style="1219" customWidth="1"/>
    <col min="3844" max="3844" width="3" style="1219" customWidth="1"/>
    <col min="3845" max="3846" width="3.6640625" style="1219" customWidth="1"/>
    <col min="3847" max="3847" width="3.21875" style="1219" customWidth="1"/>
    <col min="3848" max="3848" width="1.33203125" style="1219" customWidth="1"/>
    <col min="3849" max="3849" width="2.109375" style="1219" customWidth="1"/>
    <col min="3850" max="3851" width="3" style="1219" customWidth="1"/>
    <col min="3852" max="3852" width="2.88671875" style="1219" customWidth="1"/>
    <col min="3853" max="3853" width="3.44140625" style="1219" customWidth="1"/>
    <col min="3854" max="3854" width="2.88671875" style="1219" customWidth="1"/>
    <col min="3855" max="3855" width="3" style="1219" customWidth="1"/>
    <col min="3856" max="3856" width="2.88671875" style="1219" customWidth="1"/>
    <col min="3857" max="3857" width="2.109375" style="1219" customWidth="1"/>
    <col min="3858" max="3859" width="2.77734375" style="1219" customWidth="1"/>
    <col min="3860" max="3861" width="2.109375" style="1219" customWidth="1"/>
    <col min="3862" max="3899" width="2.88671875" style="1219" customWidth="1"/>
    <col min="3900" max="4096" width="9" style="1219" customWidth="1"/>
    <col min="4097" max="4098" width="1.77734375" style="1219" customWidth="1"/>
    <col min="4099" max="4099" width="2.88671875" style="1219" customWidth="1"/>
    <col min="4100" max="4100" width="3" style="1219" customWidth="1"/>
    <col min="4101" max="4102" width="3.6640625" style="1219" customWidth="1"/>
    <col min="4103" max="4103" width="3.21875" style="1219" customWidth="1"/>
    <col min="4104" max="4104" width="1.33203125" style="1219" customWidth="1"/>
    <col min="4105" max="4105" width="2.109375" style="1219" customWidth="1"/>
    <col min="4106" max="4107" width="3" style="1219" customWidth="1"/>
    <col min="4108" max="4108" width="2.88671875" style="1219" customWidth="1"/>
    <col min="4109" max="4109" width="3.44140625" style="1219" customWidth="1"/>
    <col min="4110" max="4110" width="2.88671875" style="1219" customWidth="1"/>
    <col min="4111" max="4111" width="3" style="1219" customWidth="1"/>
    <col min="4112" max="4112" width="2.88671875" style="1219" customWidth="1"/>
    <col min="4113" max="4113" width="2.109375" style="1219" customWidth="1"/>
    <col min="4114" max="4115" width="2.77734375" style="1219" customWidth="1"/>
    <col min="4116" max="4117" width="2.109375" style="1219" customWidth="1"/>
    <col min="4118" max="4155" width="2.88671875" style="1219" customWidth="1"/>
    <col min="4156" max="4352" width="9" style="1219" customWidth="1"/>
    <col min="4353" max="4354" width="1.77734375" style="1219" customWidth="1"/>
    <col min="4355" max="4355" width="2.88671875" style="1219" customWidth="1"/>
    <col min="4356" max="4356" width="3" style="1219" customWidth="1"/>
    <col min="4357" max="4358" width="3.6640625" style="1219" customWidth="1"/>
    <col min="4359" max="4359" width="3.21875" style="1219" customWidth="1"/>
    <col min="4360" max="4360" width="1.33203125" style="1219" customWidth="1"/>
    <col min="4361" max="4361" width="2.109375" style="1219" customWidth="1"/>
    <col min="4362" max="4363" width="3" style="1219" customWidth="1"/>
    <col min="4364" max="4364" width="2.88671875" style="1219" customWidth="1"/>
    <col min="4365" max="4365" width="3.44140625" style="1219" customWidth="1"/>
    <col min="4366" max="4366" width="2.88671875" style="1219" customWidth="1"/>
    <col min="4367" max="4367" width="3" style="1219" customWidth="1"/>
    <col min="4368" max="4368" width="2.88671875" style="1219" customWidth="1"/>
    <col min="4369" max="4369" width="2.109375" style="1219" customWidth="1"/>
    <col min="4370" max="4371" width="2.77734375" style="1219" customWidth="1"/>
    <col min="4372" max="4373" width="2.109375" style="1219" customWidth="1"/>
    <col min="4374" max="4411" width="2.88671875" style="1219" customWidth="1"/>
    <col min="4412" max="4608" width="9" style="1219" customWidth="1"/>
    <col min="4609" max="4610" width="1.77734375" style="1219" customWidth="1"/>
    <col min="4611" max="4611" width="2.88671875" style="1219" customWidth="1"/>
    <col min="4612" max="4612" width="3" style="1219" customWidth="1"/>
    <col min="4613" max="4614" width="3.6640625" style="1219" customWidth="1"/>
    <col min="4615" max="4615" width="3.21875" style="1219" customWidth="1"/>
    <col min="4616" max="4616" width="1.33203125" style="1219" customWidth="1"/>
    <col min="4617" max="4617" width="2.109375" style="1219" customWidth="1"/>
    <col min="4618" max="4619" width="3" style="1219" customWidth="1"/>
    <col min="4620" max="4620" width="2.88671875" style="1219" customWidth="1"/>
    <col min="4621" max="4621" width="3.44140625" style="1219" customWidth="1"/>
    <col min="4622" max="4622" width="2.88671875" style="1219" customWidth="1"/>
    <col min="4623" max="4623" width="3" style="1219" customWidth="1"/>
    <col min="4624" max="4624" width="2.88671875" style="1219" customWidth="1"/>
    <col min="4625" max="4625" width="2.109375" style="1219" customWidth="1"/>
    <col min="4626" max="4627" width="2.77734375" style="1219" customWidth="1"/>
    <col min="4628" max="4629" width="2.109375" style="1219" customWidth="1"/>
    <col min="4630" max="4667" width="2.88671875" style="1219" customWidth="1"/>
    <col min="4668" max="4864" width="9" style="1219" customWidth="1"/>
    <col min="4865" max="4866" width="1.77734375" style="1219" customWidth="1"/>
    <col min="4867" max="4867" width="2.88671875" style="1219" customWidth="1"/>
    <col min="4868" max="4868" width="3" style="1219" customWidth="1"/>
    <col min="4869" max="4870" width="3.6640625" style="1219" customWidth="1"/>
    <col min="4871" max="4871" width="3.21875" style="1219" customWidth="1"/>
    <col min="4872" max="4872" width="1.33203125" style="1219" customWidth="1"/>
    <col min="4873" max="4873" width="2.109375" style="1219" customWidth="1"/>
    <col min="4874" max="4875" width="3" style="1219" customWidth="1"/>
    <col min="4876" max="4876" width="2.88671875" style="1219" customWidth="1"/>
    <col min="4877" max="4877" width="3.44140625" style="1219" customWidth="1"/>
    <col min="4878" max="4878" width="2.88671875" style="1219" customWidth="1"/>
    <col min="4879" max="4879" width="3" style="1219" customWidth="1"/>
    <col min="4880" max="4880" width="2.88671875" style="1219" customWidth="1"/>
    <col min="4881" max="4881" width="2.109375" style="1219" customWidth="1"/>
    <col min="4882" max="4883" width="2.77734375" style="1219" customWidth="1"/>
    <col min="4884" max="4885" width="2.109375" style="1219" customWidth="1"/>
    <col min="4886" max="4923" width="2.88671875" style="1219" customWidth="1"/>
    <col min="4924" max="5120" width="9" style="1219" customWidth="1"/>
    <col min="5121" max="5122" width="1.77734375" style="1219" customWidth="1"/>
    <col min="5123" max="5123" width="2.88671875" style="1219" customWidth="1"/>
    <col min="5124" max="5124" width="3" style="1219" customWidth="1"/>
    <col min="5125" max="5126" width="3.6640625" style="1219" customWidth="1"/>
    <col min="5127" max="5127" width="3.21875" style="1219" customWidth="1"/>
    <col min="5128" max="5128" width="1.33203125" style="1219" customWidth="1"/>
    <col min="5129" max="5129" width="2.109375" style="1219" customWidth="1"/>
    <col min="5130" max="5131" width="3" style="1219" customWidth="1"/>
    <col min="5132" max="5132" width="2.88671875" style="1219" customWidth="1"/>
    <col min="5133" max="5133" width="3.44140625" style="1219" customWidth="1"/>
    <col min="5134" max="5134" width="2.88671875" style="1219" customWidth="1"/>
    <col min="5135" max="5135" width="3" style="1219" customWidth="1"/>
    <col min="5136" max="5136" width="2.88671875" style="1219" customWidth="1"/>
    <col min="5137" max="5137" width="2.109375" style="1219" customWidth="1"/>
    <col min="5138" max="5139" width="2.77734375" style="1219" customWidth="1"/>
    <col min="5140" max="5141" width="2.109375" style="1219" customWidth="1"/>
    <col min="5142" max="5179" width="2.88671875" style="1219" customWidth="1"/>
    <col min="5180" max="5376" width="9" style="1219" customWidth="1"/>
    <col min="5377" max="5378" width="1.77734375" style="1219" customWidth="1"/>
    <col min="5379" max="5379" width="2.88671875" style="1219" customWidth="1"/>
    <col min="5380" max="5380" width="3" style="1219" customWidth="1"/>
    <col min="5381" max="5382" width="3.6640625" style="1219" customWidth="1"/>
    <col min="5383" max="5383" width="3.21875" style="1219" customWidth="1"/>
    <col min="5384" max="5384" width="1.33203125" style="1219" customWidth="1"/>
    <col min="5385" max="5385" width="2.109375" style="1219" customWidth="1"/>
    <col min="5386" max="5387" width="3" style="1219" customWidth="1"/>
    <col min="5388" max="5388" width="2.88671875" style="1219" customWidth="1"/>
    <col min="5389" max="5389" width="3.44140625" style="1219" customWidth="1"/>
    <col min="5390" max="5390" width="2.88671875" style="1219" customWidth="1"/>
    <col min="5391" max="5391" width="3" style="1219" customWidth="1"/>
    <col min="5392" max="5392" width="2.88671875" style="1219" customWidth="1"/>
    <col min="5393" max="5393" width="2.109375" style="1219" customWidth="1"/>
    <col min="5394" max="5395" width="2.77734375" style="1219" customWidth="1"/>
    <col min="5396" max="5397" width="2.109375" style="1219" customWidth="1"/>
    <col min="5398" max="5435" width="2.88671875" style="1219" customWidth="1"/>
    <col min="5436" max="5632" width="9" style="1219" customWidth="1"/>
    <col min="5633" max="5634" width="1.77734375" style="1219" customWidth="1"/>
    <col min="5635" max="5635" width="2.88671875" style="1219" customWidth="1"/>
    <col min="5636" max="5636" width="3" style="1219" customWidth="1"/>
    <col min="5637" max="5638" width="3.6640625" style="1219" customWidth="1"/>
    <col min="5639" max="5639" width="3.21875" style="1219" customWidth="1"/>
    <col min="5640" max="5640" width="1.33203125" style="1219" customWidth="1"/>
    <col min="5641" max="5641" width="2.109375" style="1219" customWidth="1"/>
    <col min="5642" max="5643" width="3" style="1219" customWidth="1"/>
    <col min="5644" max="5644" width="2.88671875" style="1219" customWidth="1"/>
    <col min="5645" max="5645" width="3.44140625" style="1219" customWidth="1"/>
    <col min="5646" max="5646" width="2.88671875" style="1219" customWidth="1"/>
    <col min="5647" max="5647" width="3" style="1219" customWidth="1"/>
    <col min="5648" max="5648" width="2.88671875" style="1219" customWidth="1"/>
    <col min="5649" max="5649" width="2.109375" style="1219" customWidth="1"/>
    <col min="5650" max="5651" width="2.77734375" style="1219" customWidth="1"/>
    <col min="5652" max="5653" width="2.109375" style="1219" customWidth="1"/>
    <col min="5654" max="5691" width="2.88671875" style="1219" customWidth="1"/>
    <col min="5692" max="5888" width="9" style="1219" customWidth="1"/>
    <col min="5889" max="5890" width="1.77734375" style="1219" customWidth="1"/>
    <col min="5891" max="5891" width="2.88671875" style="1219" customWidth="1"/>
    <col min="5892" max="5892" width="3" style="1219" customWidth="1"/>
    <col min="5893" max="5894" width="3.6640625" style="1219" customWidth="1"/>
    <col min="5895" max="5895" width="3.21875" style="1219" customWidth="1"/>
    <col min="5896" max="5896" width="1.33203125" style="1219" customWidth="1"/>
    <col min="5897" max="5897" width="2.109375" style="1219" customWidth="1"/>
    <col min="5898" max="5899" width="3" style="1219" customWidth="1"/>
    <col min="5900" max="5900" width="2.88671875" style="1219" customWidth="1"/>
    <col min="5901" max="5901" width="3.44140625" style="1219" customWidth="1"/>
    <col min="5902" max="5902" width="2.88671875" style="1219" customWidth="1"/>
    <col min="5903" max="5903" width="3" style="1219" customWidth="1"/>
    <col min="5904" max="5904" width="2.88671875" style="1219" customWidth="1"/>
    <col min="5905" max="5905" width="2.109375" style="1219" customWidth="1"/>
    <col min="5906" max="5907" width="2.77734375" style="1219" customWidth="1"/>
    <col min="5908" max="5909" width="2.109375" style="1219" customWidth="1"/>
    <col min="5910" max="5947" width="2.88671875" style="1219" customWidth="1"/>
    <col min="5948" max="6144" width="9" style="1219" customWidth="1"/>
    <col min="6145" max="6146" width="1.77734375" style="1219" customWidth="1"/>
    <col min="6147" max="6147" width="2.88671875" style="1219" customWidth="1"/>
    <col min="6148" max="6148" width="3" style="1219" customWidth="1"/>
    <col min="6149" max="6150" width="3.6640625" style="1219" customWidth="1"/>
    <col min="6151" max="6151" width="3.21875" style="1219" customWidth="1"/>
    <col min="6152" max="6152" width="1.33203125" style="1219" customWidth="1"/>
    <col min="6153" max="6153" width="2.109375" style="1219" customWidth="1"/>
    <col min="6154" max="6155" width="3" style="1219" customWidth="1"/>
    <col min="6156" max="6156" width="2.88671875" style="1219" customWidth="1"/>
    <col min="6157" max="6157" width="3.44140625" style="1219" customWidth="1"/>
    <col min="6158" max="6158" width="2.88671875" style="1219" customWidth="1"/>
    <col min="6159" max="6159" width="3" style="1219" customWidth="1"/>
    <col min="6160" max="6160" width="2.88671875" style="1219" customWidth="1"/>
    <col min="6161" max="6161" width="2.109375" style="1219" customWidth="1"/>
    <col min="6162" max="6163" width="2.77734375" style="1219" customWidth="1"/>
    <col min="6164" max="6165" width="2.109375" style="1219" customWidth="1"/>
    <col min="6166" max="6203" width="2.88671875" style="1219" customWidth="1"/>
    <col min="6204" max="6400" width="9" style="1219" customWidth="1"/>
    <col min="6401" max="6402" width="1.77734375" style="1219" customWidth="1"/>
    <col min="6403" max="6403" width="2.88671875" style="1219" customWidth="1"/>
    <col min="6404" max="6404" width="3" style="1219" customWidth="1"/>
    <col min="6405" max="6406" width="3.6640625" style="1219" customWidth="1"/>
    <col min="6407" max="6407" width="3.21875" style="1219" customWidth="1"/>
    <col min="6408" max="6408" width="1.33203125" style="1219" customWidth="1"/>
    <col min="6409" max="6409" width="2.109375" style="1219" customWidth="1"/>
    <col min="6410" max="6411" width="3" style="1219" customWidth="1"/>
    <col min="6412" max="6412" width="2.88671875" style="1219" customWidth="1"/>
    <col min="6413" max="6413" width="3.44140625" style="1219" customWidth="1"/>
    <col min="6414" max="6414" width="2.88671875" style="1219" customWidth="1"/>
    <col min="6415" max="6415" width="3" style="1219" customWidth="1"/>
    <col min="6416" max="6416" width="2.88671875" style="1219" customWidth="1"/>
    <col min="6417" max="6417" width="2.109375" style="1219" customWidth="1"/>
    <col min="6418" max="6419" width="2.77734375" style="1219" customWidth="1"/>
    <col min="6420" max="6421" width="2.109375" style="1219" customWidth="1"/>
    <col min="6422" max="6459" width="2.88671875" style="1219" customWidth="1"/>
    <col min="6460" max="6656" width="9" style="1219" customWidth="1"/>
    <col min="6657" max="6658" width="1.77734375" style="1219" customWidth="1"/>
    <col min="6659" max="6659" width="2.88671875" style="1219" customWidth="1"/>
    <col min="6660" max="6660" width="3" style="1219" customWidth="1"/>
    <col min="6661" max="6662" width="3.6640625" style="1219" customWidth="1"/>
    <col min="6663" max="6663" width="3.21875" style="1219" customWidth="1"/>
    <col min="6664" max="6664" width="1.33203125" style="1219" customWidth="1"/>
    <col min="6665" max="6665" width="2.109375" style="1219" customWidth="1"/>
    <col min="6666" max="6667" width="3" style="1219" customWidth="1"/>
    <col min="6668" max="6668" width="2.88671875" style="1219" customWidth="1"/>
    <col min="6669" max="6669" width="3.44140625" style="1219" customWidth="1"/>
    <col min="6670" max="6670" width="2.88671875" style="1219" customWidth="1"/>
    <col min="6671" max="6671" width="3" style="1219" customWidth="1"/>
    <col min="6672" max="6672" width="2.88671875" style="1219" customWidth="1"/>
    <col min="6673" max="6673" width="2.109375" style="1219" customWidth="1"/>
    <col min="6674" max="6675" width="2.77734375" style="1219" customWidth="1"/>
    <col min="6676" max="6677" width="2.109375" style="1219" customWidth="1"/>
    <col min="6678" max="6715" width="2.88671875" style="1219" customWidth="1"/>
    <col min="6716" max="6912" width="9" style="1219" customWidth="1"/>
    <col min="6913" max="6914" width="1.77734375" style="1219" customWidth="1"/>
    <col min="6915" max="6915" width="2.88671875" style="1219" customWidth="1"/>
    <col min="6916" max="6916" width="3" style="1219" customWidth="1"/>
    <col min="6917" max="6918" width="3.6640625" style="1219" customWidth="1"/>
    <col min="6919" max="6919" width="3.21875" style="1219" customWidth="1"/>
    <col min="6920" max="6920" width="1.33203125" style="1219" customWidth="1"/>
    <col min="6921" max="6921" width="2.109375" style="1219" customWidth="1"/>
    <col min="6922" max="6923" width="3" style="1219" customWidth="1"/>
    <col min="6924" max="6924" width="2.88671875" style="1219" customWidth="1"/>
    <col min="6925" max="6925" width="3.44140625" style="1219" customWidth="1"/>
    <col min="6926" max="6926" width="2.88671875" style="1219" customWidth="1"/>
    <col min="6927" max="6927" width="3" style="1219" customWidth="1"/>
    <col min="6928" max="6928" width="2.88671875" style="1219" customWidth="1"/>
    <col min="6929" max="6929" width="2.109375" style="1219" customWidth="1"/>
    <col min="6930" max="6931" width="2.77734375" style="1219" customWidth="1"/>
    <col min="6932" max="6933" width="2.109375" style="1219" customWidth="1"/>
    <col min="6934" max="6971" width="2.88671875" style="1219" customWidth="1"/>
    <col min="6972" max="7168" width="9" style="1219" customWidth="1"/>
    <col min="7169" max="7170" width="1.77734375" style="1219" customWidth="1"/>
    <col min="7171" max="7171" width="2.88671875" style="1219" customWidth="1"/>
    <col min="7172" max="7172" width="3" style="1219" customWidth="1"/>
    <col min="7173" max="7174" width="3.6640625" style="1219" customWidth="1"/>
    <col min="7175" max="7175" width="3.21875" style="1219" customWidth="1"/>
    <col min="7176" max="7176" width="1.33203125" style="1219" customWidth="1"/>
    <col min="7177" max="7177" width="2.109375" style="1219" customWidth="1"/>
    <col min="7178" max="7179" width="3" style="1219" customWidth="1"/>
    <col min="7180" max="7180" width="2.88671875" style="1219" customWidth="1"/>
    <col min="7181" max="7181" width="3.44140625" style="1219" customWidth="1"/>
    <col min="7182" max="7182" width="2.88671875" style="1219" customWidth="1"/>
    <col min="7183" max="7183" width="3" style="1219" customWidth="1"/>
    <col min="7184" max="7184" width="2.88671875" style="1219" customWidth="1"/>
    <col min="7185" max="7185" width="2.109375" style="1219" customWidth="1"/>
    <col min="7186" max="7187" width="2.77734375" style="1219" customWidth="1"/>
    <col min="7188" max="7189" width="2.109375" style="1219" customWidth="1"/>
    <col min="7190" max="7227" width="2.88671875" style="1219" customWidth="1"/>
    <col min="7228" max="7424" width="9" style="1219" customWidth="1"/>
    <col min="7425" max="7426" width="1.77734375" style="1219" customWidth="1"/>
    <col min="7427" max="7427" width="2.88671875" style="1219" customWidth="1"/>
    <col min="7428" max="7428" width="3" style="1219" customWidth="1"/>
    <col min="7429" max="7430" width="3.6640625" style="1219" customWidth="1"/>
    <col min="7431" max="7431" width="3.21875" style="1219" customWidth="1"/>
    <col min="7432" max="7432" width="1.33203125" style="1219" customWidth="1"/>
    <col min="7433" max="7433" width="2.109375" style="1219" customWidth="1"/>
    <col min="7434" max="7435" width="3" style="1219" customWidth="1"/>
    <col min="7436" max="7436" width="2.88671875" style="1219" customWidth="1"/>
    <col min="7437" max="7437" width="3.44140625" style="1219" customWidth="1"/>
    <col min="7438" max="7438" width="2.88671875" style="1219" customWidth="1"/>
    <col min="7439" max="7439" width="3" style="1219" customWidth="1"/>
    <col min="7440" max="7440" width="2.88671875" style="1219" customWidth="1"/>
    <col min="7441" max="7441" width="2.109375" style="1219" customWidth="1"/>
    <col min="7442" max="7443" width="2.77734375" style="1219" customWidth="1"/>
    <col min="7444" max="7445" width="2.109375" style="1219" customWidth="1"/>
    <col min="7446" max="7483" width="2.88671875" style="1219" customWidth="1"/>
    <col min="7484" max="7680" width="9" style="1219" customWidth="1"/>
    <col min="7681" max="7682" width="1.77734375" style="1219" customWidth="1"/>
    <col min="7683" max="7683" width="2.88671875" style="1219" customWidth="1"/>
    <col min="7684" max="7684" width="3" style="1219" customWidth="1"/>
    <col min="7685" max="7686" width="3.6640625" style="1219" customWidth="1"/>
    <col min="7687" max="7687" width="3.21875" style="1219" customWidth="1"/>
    <col min="7688" max="7688" width="1.33203125" style="1219" customWidth="1"/>
    <col min="7689" max="7689" width="2.109375" style="1219" customWidth="1"/>
    <col min="7690" max="7691" width="3" style="1219" customWidth="1"/>
    <col min="7692" max="7692" width="2.88671875" style="1219" customWidth="1"/>
    <col min="7693" max="7693" width="3.44140625" style="1219" customWidth="1"/>
    <col min="7694" max="7694" width="2.88671875" style="1219" customWidth="1"/>
    <col min="7695" max="7695" width="3" style="1219" customWidth="1"/>
    <col min="7696" max="7696" width="2.88671875" style="1219" customWidth="1"/>
    <col min="7697" max="7697" width="2.109375" style="1219" customWidth="1"/>
    <col min="7698" max="7699" width="2.77734375" style="1219" customWidth="1"/>
    <col min="7700" max="7701" width="2.109375" style="1219" customWidth="1"/>
    <col min="7702" max="7739" width="2.88671875" style="1219" customWidth="1"/>
    <col min="7740" max="7936" width="9" style="1219" customWidth="1"/>
    <col min="7937" max="7938" width="1.77734375" style="1219" customWidth="1"/>
    <col min="7939" max="7939" width="2.88671875" style="1219" customWidth="1"/>
    <col min="7940" max="7940" width="3" style="1219" customWidth="1"/>
    <col min="7941" max="7942" width="3.6640625" style="1219" customWidth="1"/>
    <col min="7943" max="7943" width="3.21875" style="1219" customWidth="1"/>
    <col min="7944" max="7944" width="1.33203125" style="1219" customWidth="1"/>
    <col min="7945" max="7945" width="2.109375" style="1219" customWidth="1"/>
    <col min="7946" max="7947" width="3" style="1219" customWidth="1"/>
    <col min="7948" max="7948" width="2.88671875" style="1219" customWidth="1"/>
    <col min="7949" max="7949" width="3.44140625" style="1219" customWidth="1"/>
    <col min="7950" max="7950" width="2.88671875" style="1219" customWidth="1"/>
    <col min="7951" max="7951" width="3" style="1219" customWidth="1"/>
    <col min="7952" max="7952" width="2.88671875" style="1219" customWidth="1"/>
    <col min="7953" max="7953" width="2.109375" style="1219" customWidth="1"/>
    <col min="7954" max="7955" width="2.77734375" style="1219" customWidth="1"/>
    <col min="7956" max="7957" width="2.109375" style="1219" customWidth="1"/>
    <col min="7958" max="7995" width="2.88671875" style="1219" customWidth="1"/>
    <col min="7996" max="8192" width="9" style="1219" customWidth="1"/>
    <col min="8193" max="8194" width="1.77734375" style="1219" customWidth="1"/>
    <col min="8195" max="8195" width="2.88671875" style="1219" customWidth="1"/>
    <col min="8196" max="8196" width="3" style="1219" customWidth="1"/>
    <col min="8197" max="8198" width="3.6640625" style="1219" customWidth="1"/>
    <col min="8199" max="8199" width="3.21875" style="1219" customWidth="1"/>
    <col min="8200" max="8200" width="1.33203125" style="1219" customWidth="1"/>
    <col min="8201" max="8201" width="2.109375" style="1219" customWidth="1"/>
    <col min="8202" max="8203" width="3" style="1219" customWidth="1"/>
    <col min="8204" max="8204" width="2.88671875" style="1219" customWidth="1"/>
    <col min="8205" max="8205" width="3.44140625" style="1219" customWidth="1"/>
    <col min="8206" max="8206" width="2.88671875" style="1219" customWidth="1"/>
    <col min="8207" max="8207" width="3" style="1219" customWidth="1"/>
    <col min="8208" max="8208" width="2.88671875" style="1219" customWidth="1"/>
    <col min="8209" max="8209" width="2.109375" style="1219" customWidth="1"/>
    <col min="8210" max="8211" width="2.77734375" style="1219" customWidth="1"/>
    <col min="8212" max="8213" width="2.109375" style="1219" customWidth="1"/>
    <col min="8214" max="8251" width="2.88671875" style="1219" customWidth="1"/>
    <col min="8252" max="8448" width="9" style="1219" customWidth="1"/>
    <col min="8449" max="8450" width="1.77734375" style="1219" customWidth="1"/>
    <col min="8451" max="8451" width="2.88671875" style="1219" customWidth="1"/>
    <col min="8452" max="8452" width="3" style="1219" customWidth="1"/>
    <col min="8453" max="8454" width="3.6640625" style="1219" customWidth="1"/>
    <col min="8455" max="8455" width="3.21875" style="1219" customWidth="1"/>
    <col min="8456" max="8456" width="1.33203125" style="1219" customWidth="1"/>
    <col min="8457" max="8457" width="2.109375" style="1219" customWidth="1"/>
    <col min="8458" max="8459" width="3" style="1219" customWidth="1"/>
    <col min="8460" max="8460" width="2.88671875" style="1219" customWidth="1"/>
    <col min="8461" max="8461" width="3.44140625" style="1219" customWidth="1"/>
    <col min="8462" max="8462" width="2.88671875" style="1219" customWidth="1"/>
    <col min="8463" max="8463" width="3" style="1219" customWidth="1"/>
    <col min="8464" max="8464" width="2.88671875" style="1219" customWidth="1"/>
    <col min="8465" max="8465" width="2.109375" style="1219" customWidth="1"/>
    <col min="8466" max="8467" width="2.77734375" style="1219" customWidth="1"/>
    <col min="8468" max="8469" width="2.109375" style="1219" customWidth="1"/>
    <col min="8470" max="8507" width="2.88671875" style="1219" customWidth="1"/>
    <col min="8508" max="8704" width="9" style="1219" customWidth="1"/>
    <col min="8705" max="8706" width="1.77734375" style="1219" customWidth="1"/>
    <col min="8707" max="8707" width="2.88671875" style="1219" customWidth="1"/>
    <col min="8708" max="8708" width="3" style="1219" customWidth="1"/>
    <col min="8709" max="8710" width="3.6640625" style="1219" customWidth="1"/>
    <col min="8711" max="8711" width="3.21875" style="1219" customWidth="1"/>
    <col min="8712" max="8712" width="1.33203125" style="1219" customWidth="1"/>
    <col min="8713" max="8713" width="2.109375" style="1219" customWidth="1"/>
    <col min="8714" max="8715" width="3" style="1219" customWidth="1"/>
    <col min="8716" max="8716" width="2.88671875" style="1219" customWidth="1"/>
    <col min="8717" max="8717" width="3.44140625" style="1219" customWidth="1"/>
    <col min="8718" max="8718" width="2.88671875" style="1219" customWidth="1"/>
    <col min="8719" max="8719" width="3" style="1219" customWidth="1"/>
    <col min="8720" max="8720" width="2.88671875" style="1219" customWidth="1"/>
    <col min="8721" max="8721" width="2.109375" style="1219" customWidth="1"/>
    <col min="8722" max="8723" width="2.77734375" style="1219" customWidth="1"/>
    <col min="8724" max="8725" width="2.109375" style="1219" customWidth="1"/>
    <col min="8726" max="8763" width="2.88671875" style="1219" customWidth="1"/>
    <col min="8764" max="8960" width="9" style="1219" customWidth="1"/>
    <col min="8961" max="8962" width="1.77734375" style="1219" customWidth="1"/>
    <col min="8963" max="8963" width="2.88671875" style="1219" customWidth="1"/>
    <col min="8964" max="8964" width="3" style="1219" customWidth="1"/>
    <col min="8965" max="8966" width="3.6640625" style="1219" customWidth="1"/>
    <col min="8967" max="8967" width="3.21875" style="1219" customWidth="1"/>
    <col min="8968" max="8968" width="1.33203125" style="1219" customWidth="1"/>
    <col min="8969" max="8969" width="2.109375" style="1219" customWidth="1"/>
    <col min="8970" max="8971" width="3" style="1219" customWidth="1"/>
    <col min="8972" max="8972" width="2.88671875" style="1219" customWidth="1"/>
    <col min="8973" max="8973" width="3.44140625" style="1219" customWidth="1"/>
    <col min="8974" max="8974" width="2.88671875" style="1219" customWidth="1"/>
    <col min="8975" max="8975" width="3" style="1219" customWidth="1"/>
    <col min="8976" max="8976" width="2.88671875" style="1219" customWidth="1"/>
    <col min="8977" max="8977" width="2.109375" style="1219" customWidth="1"/>
    <col min="8978" max="8979" width="2.77734375" style="1219" customWidth="1"/>
    <col min="8980" max="8981" width="2.109375" style="1219" customWidth="1"/>
    <col min="8982" max="9019" width="2.88671875" style="1219" customWidth="1"/>
    <col min="9020" max="9216" width="9" style="1219" customWidth="1"/>
    <col min="9217" max="9218" width="1.77734375" style="1219" customWidth="1"/>
    <col min="9219" max="9219" width="2.88671875" style="1219" customWidth="1"/>
    <col min="9220" max="9220" width="3" style="1219" customWidth="1"/>
    <col min="9221" max="9222" width="3.6640625" style="1219" customWidth="1"/>
    <col min="9223" max="9223" width="3.21875" style="1219" customWidth="1"/>
    <col min="9224" max="9224" width="1.33203125" style="1219" customWidth="1"/>
    <col min="9225" max="9225" width="2.109375" style="1219" customWidth="1"/>
    <col min="9226" max="9227" width="3" style="1219" customWidth="1"/>
    <col min="9228" max="9228" width="2.88671875" style="1219" customWidth="1"/>
    <col min="9229" max="9229" width="3.44140625" style="1219" customWidth="1"/>
    <col min="9230" max="9230" width="2.88671875" style="1219" customWidth="1"/>
    <col min="9231" max="9231" width="3" style="1219" customWidth="1"/>
    <col min="9232" max="9232" width="2.88671875" style="1219" customWidth="1"/>
    <col min="9233" max="9233" width="2.109375" style="1219" customWidth="1"/>
    <col min="9234" max="9235" width="2.77734375" style="1219" customWidth="1"/>
    <col min="9236" max="9237" width="2.109375" style="1219" customWidth="1"/>
    <col min="9238" max="9275" width="2.88671875" style="1219" customWidth="1"/>
    <col min="9276" max="9472" width="9" style="1219" customWidth="1"/>
    <col min="9473" max="9474" width="1.77734375" style="1219" customWidth="1"/>
    <col min="9475" max="9475" width="2.88671875" style="1219" customWidth="1"/>
    <col min="9476" max="9476" width="3" style="1219" customWidth="1"/>
    <col min="9477" max="9478" width="3.6640625" style="1219" customWidth="1"/>
    <col min="9479" max="9479" width="3.21875" style="1219" customWidth="1"/>
    <col min="9480" max="9480" width="1.33203125" style="1219" customWidth="1"/>
    <col min="9481" max="9481" width="2.109375" style="1219" customWidth="1"/>
    <col min="9482" max="9483" width="3" style="1219" customWidth="1"/>
    <col min="9484" max="9484" width="2.88671875" style="1219" customWidth="1"/>
    <col min="9485" max="9485" width="3.44140625" style="1219" customWidth="1"/>
    <col min="9486" max="9486" width="2.88671875" style="1219" customWidth="1"/>
    <col min="9487" max="9487" width="3" style="1219" customWidth="1"/>
    <col min="9488" max="9488" width="2.88671875" style="1219" customWidth="1"/>
    <col min="9489" max="9489" width="2.109375" style="1219" customWidth="1"/>
    <col min="9490" max="9491" width="2.77734375" style="1219" customWidth="1"/>
    <col min="9492" max="9493" width="2.109375" style="1219" customWidth="1"/>
    <col min="9494" max="9531" width="2.88671875" style="1219" customWidth="1"/>
    <col min="9532" max="9728" width="9" style="1219" customWidth="1"/>
    <col min="9729" max="9730" width="1.77734375" style="1219" customWidth="1"/>
    <col min="9731" max="9731" width="2.88671875" style="1219" customWidth="1"/>
    <col min="9732" max="9732" width="3" style="1219" customWidth="1"/>
    <col min="9733" max="9734" width="3.6640625" style="1219" customWidth="1"/>
    <col min="9735" max="9735" width="3.21875" style="1219" customWidth="1"/>
    <col min="9736" max="9736" width="1.33203125" style="1219" customWidth="1"/>
    <col min="9737" max="9737" width="2.109375" style="1219" customWidth="1"/>
    <col min="9738" max="9739" width="3" style="1219" customWidth="1"/>
    <col min="9740" max="9740" width="2.88671875" style="1219" customWidth="1"/>
    <col min="9741" max="9741" width="3.44140625" style="1219" customWidth="1"/>
    <col min="9742" max="9742" width="2.88671875" style="1219" customWidth="1"/>
    <col min="9743" max="9743" width="3" style="1219" customWidth="1"/>
    <col min="9744" max="9744" width="2.88671875" style="1219" customWidth="1"/>
    <col min="9745" max="9745" width="2.109375" style="1219" customWidth="1"/>
    <col min="9746" max="9747" width="2.77734375" style="1219" customWidth="1"/>
    <col min="9748" max="9749" width="2.109375" style="1219" customWidth="1"/>
    <col min="9750" max="9787" width="2.88671875" style="1219" customWidth="1"/>
    <col min="9788" max="9984" width="9" style="1219" customWidth="1"/>
    <col min="9985" max="9986" width="1.77734375" style="1219" customWidth="1"/>
    <col min="9987" max="9987" width="2.88671875" style="1219" customWidth="1"/>
    <col min="9988" max="9988" width="3" style="1219" customWidth="1"/>
    <col min="9989" max="9990" width="3.6640625" style="1219" customWidth="1"/>
    <col min="9991" max="9991" width="3.21875" style="1219" customWidth="1"/>
    <col min="9992" max="9992" width="1.33203125" style="1219" customWidth="1"/>
    <col min="9993" max="9993" width="2.109375" style="1219" customWidth="1"/>
    <col min="9994" max="9995" width="3" style="1219" customWidth="1"/>
    <col min="9996" max="9996" width="2.88671875" style="1219" customWidth="1"/>
    <col min="9997" max="9997" width="3.44140625" style="1219" customWidth="1"/>
    <col min="9998" max="9998" width="2.88671875" style="1219" customWidth="1"/>
    <col min="9999" max="9999" width="3" style="1219" customWidth="1"/>
    <col min="10000" max="10000" width="2.88671875" style="1219" customWidth="1"/>
    <col min="10001" max="10001" width="2.109375" style="1219" customWidth="1"/>
    <col min="10002" max="10003" width="2.77734375" style="1219" customWidth="1"/>
    <col min="10004" max="10005" width="2.109375" style="1219" customWidth="1"/>
    <col min="10006" max="10043" width="2.88671875" style="1219" customWidth="1"/>
    <col min="10044" max="10240" width="9" style="1219" customWidth="1"/>
    <col min="10241" max="10242" width="1.77734375" style="1219" customWidth="1"/>
    <col min="10243" max="10243" width="2.88671875" style="1219" customWidth="1"/>
    <col min="10244" max="10244" width="3" style="1219" customWidth="1"/>
    <col min="10245" max="10246" width="3.6640625" style="1219" customWidth="1"/>
    <col min="10247" max="10247" width="3.21875" style="1219" customWidth="1"/>
    <col min="10248" max="10248" width="1.33203125" style="1219" customWidth="1"/>
    <col min="10249" max="10249" width="2.109375" style="1219" customWidth="1"/>
    <col min="10250" max="10251" width="3" style="1219" customWidth="1"/>
    <col min="10252" max="10252" width="2.88671875" style="1219" customWidth="1"/>
    <col min="10253" max="10253" width="3.44140625" style="1219" customWidth="1"/>
    <col min="10254" max="10254" width="2.88671875" style="1219" customWidth="1"/>
    <col min="10255" max="10255" width="3" style="1219" customWidth="1"/>
    <col min="10256" max="10256" width="2.88671875" style="1219" customWidth="1"/>
    <col min="10257" max="10257" width="2.109375" style="1219" customWidth="1"/>
    <col min="10258" max="10259" width="2.77734375" style="1219" customWidth="1"/>
    <col min="10260" max="10261" width="2.109375" style="1219" customWidth="1"/>
    <col min="10262" max="10299" width="2.88671875" style="1219" customWidth="1"/>
    <col min="10300" max="10496" width="9" style="1219" customWidth="1"/>
    <col min="10497" max="10498" width="1.77734375" style="1219" customWidth="1"/>
    <col min="10499" max="10499" width="2.88671875" style="1219" customWidth="1"/>
    <col min="10500" max="10500" width="3" style="1219" customWidth="1"/>
    <col min="10501" max="10502" width="3.6640625" style="1219" customWidth="1"/>
    <col min="10503" max="10503" width="3.21875" style="1219" customWidth="1"/>
    <col min="10504" max="10504" width="1.33203125" style="1219" customWidth="1"/>
    <col min="10505" max="10505" width="2.109375" style="1219" customWidth="1"/>
    <col min="10506" max="10507" width="3" style="1219" customWidth="1"/>
    <col min="10508" max="10508" width="2.88671875" style="1219" customWidth="1"/>
    <col min="10509" max="10509" width="3.44140625" style="1219" customWidth="1"/>
    <col min="10510" max="10510" width="2.88671875" style="1219" customWidth="1"/>
    <col min="10511" max="10511" width="3" style="1219" customWidth="1"/>
    <col min="10512" max="10512" width="2.88671875" style="1219" customWidth="1"/>
    <col min="10513" max="10513" width="2.109375" style="1219" customWidth="1"/>
    <col min="10514" max="10515" width="2.77734375" style="1219" customWidth="1"/>
    <col min="10516" max="10517" width="2.109375" style="1219" customWidth="1"/>
    <col min="10518" max="10555" width="2.88671875" style="1219" customWidth="1"/>
    <col min="10556" max="10752" width="9" style="1219" customWidth="1"/>
    <col min="10753" max="10754" width="1.77734375" style="1219" customWidth="1"/>
    <col min="10755" max="10755" width="2.88671875" style="1219" customWidth="1"/>
    <col min="10756" max="10756" width="3" style="1219" customWidth="1"/>
    <col min="10757" max="10758" width="3.6640625" style="1219" customWidth="1"/>
    <col min="10759" max="10759" width="3.21875" style="1219" customWidth="1"/>
    <col min="10760" max="10760" width="1.33203125" style="1219" customWidth="1"/>
    <col min="10761" max="10761" width="2.109375" style="1219" customWidth="1"/>
    <col min="10762" max="10763" width="3" style="1219" customWidth="1"/>
    <col min="10764" max="10764" width="2.88671875" style="1219" customWidth="1"/>
    <col min="10765" max="10765" width="3.44140625" style="1219" customWidth="1"/>
    <col min="10766" max="10766" width="2.88671875" style="1219" customWidth="1"/>
    <col min="10767" max="10767" width="3" style="1219" customWidth="1"/>
    <col min="10768" max="10768" width="2.88671875" style="1219" customWidth="1"/>
    <col min="10769" max="10769" width="2.109375" style="1219" customWidth="1"/>
    <col min="10770" max="10771" width="2.77734375" style="1219" customWidth="1"/>
    <col min="10772" max="10773" width="2.109375" style="1219" customWidth="1"/>
    <col min="10774" max="10811" width="2.88671875" style="1219" customWidth="1"/>
    <col min="10812" max="11008" width="9" style="1219" customWidth="1"/>
    <col min="11009" max="11010" width="1.77734375" style="1219" customWidth="1"/>
    <col min="11011" max="11011" width="2.88671875" style="1219" customWidth="1"/>
    <col min="11012" max="11012" width="3" style="1219" customWidth="1"/>
    <col min="11013" max="11014" width="3.6640625" style="1219" customWidth="1"/>
    <col min="11015" max="11015" width="3.21875" style="1219" customWidth="1"/>
    <col min="11016" max="11016" width="1.33203125" style="1219" customWidth="1"/>
    <col min="11017" max="11017" width="2.109375" style="1219" customWidth="1"/>
    <col min="11018" max="11019" width="3" style="1219" customWidth="1"/>
    <col min="11020" max="11020" width="2.88671875" style="1219" customWidth="1"/>
    <col min="11021" max="11021" width="3.44140625" style="1219" customWidth="1"/>
    <col min="11022" max="11022" width="2.88671875" style="1219" customWidth="1"/>
    <col min="11023" max="11023" width="3" style="1219" customWidth="1"/>
    <col min="11024" max="11024" width="2.88671875" style="1219" customWidth="1"/>
    <col min="11025" max="11025" width="2.109375" style="1219" customWidth="1"/>
    <col min="11026" max="11027" width="2.77734375" style="1219" customWidth="1"/>
    <col min="11028" max="11029" width="2.109375" style="1219" customWidth="1"/>
    <col min="11030" max="11067" width="2.88671875" style="1219" customWidth="1"/>
    <col min="11068" max="11264" width="9" style="1219" customWidth="1"/>
    <col min="11265" max="11266" width="1.77734375" style="1219" customWidth="1"/>
    <col min="11267" max="11267" width="2.88671875" style="1219" customWidth="1"/>
    <col min="11268" max="11268" width="3" style="1219" customWidth="1"/>
    <col min="11269" max="11270" width="3.6640625" style="1219" customWidth="1"/>
    <col min="11271" max="11271" width="3.21875" style="1219" customWidth="1"/>
    <col min="11272" max="11272" width="1.33203125" style="1219" customWidth="1"/>
    <col min="11273" max="11273" width="2.109375" style="1219" customWidth="1"/>
    <col min="11274" max="11275" width="3" style="1219" customWidth="1"/>
    <col min="11276" max="11276" width="2.88671875" style="1219" customWidth="1"/>
    <col min="11277" max="11277" width="3.44140625" style="1219" customWidth="1"/>
    <col min="11278" max="11278" width="2.88671875" style="1219" customWidth="1"/>
    <col min="11279" max="11279" width="3" style="1219" customWidth="1"/>
    <col min="11280" max="11280" width="2.88671875" style="1219" customWidth="1"/>
    <col min="11281" max="11281" width="2.109375" style="1219" customWidth="1"/>
    <col min="11282" max="11283" width="2.77734375" style="1219" customWidth="1"/>
    <col min="11284" max="11285" width="2.109375" style="1219" customWidth="1"/>
    <col min="11286" max="11323" width="2.88671875" style="1219" customWidth="1"/>
    <col min="11324" max="11520" width="9" style="1219" customWidth="1"/>
    <col min="11521" max="11522" width="1.77734375" style="1219" customWidth="1"/>
    <col min="11523" max="11523" width="2.88671875" style="1219" customWidth="1"/>
    <col min="11524" max="11524" width="3" style="1219" customWidth="1"/>
    <col min="11525" max="11526" width="3.6640625" style="1219" customWidth="1"/>
    <col min="11527" max="11527" width="3.21875" style="1219" customWidth="1"/>
    <col min="11528" max="11528" width="1.33203125" style="1219" customWidth="1"/>
    <col min="11529" max="11529" width="2.109375" style="1219" customWidth="1"/>
    <col min="11530" max="11531" width="3" style="1219" customWidth="1"/>
    <col min="11532" max="11532" width="2.88671875" style="1219" customWidth="1"/>
    <col min="11533" max="11533" width="3.44140625" style="1219" customWidth="1"/>
    <col min="11534" max="11534" width="2.88671875" style="1219" customWidth="1"/>
    <col min="11535" max="11535" width="3" style="1219" customWidth="1"/>
    <col min="11536" max="11536" width="2.88671875" style="1219" customWidth="1"/>
    <col min="11537" max="11537" width="2.109375" style="1219" customWidth="1"/>
    <col min="11538" max="11539" width="2.77734375" style="1219" customWidth="1"/>
    <col min="11540" max="11541" width="2.109375" style="1219" customWidth="1"/>
    <col min="11542" max="11579" width="2.88671875" style="1219" customWidth="1"/>
    <col min="11580" max="11776" width="9" style="1219" customWidth="1"/>
    <col min="11777" max="11778" width="1.77734375" style="1219" customWidth="1"/>
    <col min="11779" max="11779" width="2.88671875" style="1219" customWidth="1"/>
    <col min="11780" max="11780" width="3" style="1219" customWidth="1"/>
    <col min="11781" max="11782" width="3.6640625" style="1219" customWidth="1"/>
    <col min="11783" max="11783" width="3.21875" style="1219" customWidth="1"/>
    <col min="11784" max="11784" width="1.33203125" style="1219" customWidth="1"/>
    <col min="11785" max="11785" width="2.109375" style="1219" customWidth="1"/>
    <col min="11786" max="11787" width="3" style="1219" customWidth="1"/>
    <col min="11788" max="11788" width="2.88671875" style="1219" customWidth="1"/>
    <col min="11789" max="11789" width="3.44140625" style="1219" customWidth="1"/>
    <col min="11790" max="11790" width="2.88671875" style="1219" customWidth="1"/>
    <col min="11791" max="11791" width="3" style="1219" customWidth="1"/>
    <col min="11792" max="11792" width="2.88671875" style="1219" customWidth="1"/>
    <col min="11793" max="11793" width="2.109375" style="1219" customWidth="1"/>
    <col min="11794" max="11795" width="2.77734375" style="1219" customWidth="1"/>
    <col min="11796" max="11797" width="2.109375" style="1219" customWidth="1"/>
    <col min="11798" max="11835" width="2.88671875" style="1219" customWidth="1"/>
    <col min="11836" max="12032" width="9" style="1219" customWidth="1"/>
    <col min="12033" max="12034" width="1.77734375" style="1219" customWidth="1"/>
    <col min="12035" max="12035" width="2.88671875" style="1219" customWidth="1"/>
    <col min="12036" max="12036" width="3" style="1219" customWidth="1"/>
    <col min="12037" max="12038" width="3.6640625" style="1219" customWidth="1"/>
    <col min="12039" max="12039" width="3.21875" style="1219" customWidth="1"/>
    <col min="12040" max="12040" width="1.33203125" style="1219" customWidth="1"/>
    <col min="12041" max="12041" width="2.109375" style="1219" customWidth="1"/>
    <col min="12042" max="12043" width="3" style="1219" customWidth="1"/>
    <col min="12044" max="12044" width="2.88671875" style="1219" customWidth="1"/>
    <col min="12045" max="12045" width="3.44140625" style="1219" customWidth="1"/>
    <col min="12046" max="12046" width="2.88671875" style="1219" customWidth="1"/>
    <col min="12047" max="12047" width="3" style="1219" customWidth="1"/>
    <col min="12048" max="12048" width="2.88671875" style="1219" customWidth="1"/>
    <col min="12049" max="12049" width="2.109375" style="1219" customWidth="1"/>
    <col min="12050" max="12051" width="2.77734375" style="1219" customWidth="1"/>
    <col min="12052" max="12053" width="2.109375" style="1219" customWidth="1"/>
    <col min="12054" max="12091" width="2.88671875" style="1219" customWidth="1"/>
    <col min="12092" max="12288" width="9" style="1219" customWidth="1"/>
    <col min="12289" max="12290" width="1.77734375" style="1219" customWidth="1"/>
    <col min="12291" max="12291" width="2.88671875" style="1219" customWidth="1"/>
    <col min="12292" max="12292" width="3" style="1219" customWidth="1"/>
    <col min="12293" max="12294" width="3.6640625" style="1219" customWidth="1"/>
    <col min="12295" max="12295" width="3.21875" style="1219" customWidth="1"/>
    <col min="12296" max="12296" width="1.33203125" style="1219" customWidth="1"/>
    <col min="12297" max="12297" width="2.109375" style="1219" customWidth="1"/>
    <col min="12298" max="12299" width="3" style="1219" customWidth="1"/>
    <col min="12300" max="12300" width="2.88671875" style="1219" customWidth="1"/>
    <col min="12301" max="12301" width="3.44140625" style="1219" customWidth="1"/>
    <col min="12302" max="12302" width="2.88671875" style="1219" customWidth="1"/>
    <col min="12303" max="12303" width="3" style="1219" customWidth="1"/>
    <col min="12304" max="12304" width="2.88671875" style="1219" customWidth="1"/>
    <col min="12305" max="12305" width="2.109375" style="1219" customWidth="1"/>
    <col min="12306" max="12307" width="2.77734375" style="1219" customWidth="1"/>
    <col min="12308" max="12309" width="2.109375" style="1219" customWidth="1"/>
    <col min="12310" max="12347" width="2.88671875" style="1219" customWidth="1"/>
    <col min="12348" max="12544" width="9" style="1219" customWidth="1"/>
    <col min="12545" max="12546" width="1.77734375" style="1219" customWidth="1"/>
    <col min="12547" max="12547" width="2.88671875" style="1219" customWidth="1"/>
    <col min="12548" max="12548" width="3" style="1219" customWidth="1"/>
    <col min="12549" max="12550" width="3.6640625" style="1219" customWidth="1"/>
    <col min="12551" max="12551" width="3.21875" style="1219" customWidth="1"/>
    <col min="12552" max="12552" width="1.33203125" style="1219" customWidth="1"/>
    <col min="12553" max="12553" width="2.109375" style="1219" customWidth="1"/>
    <col min="12554" max="12555" width="3" style="1219" customWidth="1"/>
    <col min="12556" max="12556" width="2.88671875" style="1219" customWidth="1"/>
    <col min="12557" max="12557" width="3.44140625" style="1219" customWidth="1"/>
    <col min="12558" max="12558" width="2.88671875" style="1219" customWidth="1"/>
    <col min="12559" max="12559" width="3" style="1219" customWidth="1"/>
    <col min="12560" max="12560" width="2.88671875" style="1219" customWidth="1"/>
    <col min="12561" max="12561" width="2.109375" style="1219" customWidth="1"/>
    <col min="12562" max="12563" width="2.77734375" style="1219" customWidth="1"/>
    <col min="12564" max="12565" width="2.109375" style="1219" customWidth="1"/>
    <col min="12566" max="12603" width="2.88671875" style="1219" customWidth="1"/>
    <col min="12604" max="12800" width="9" style="1219" customWidth="1"/>
    <col min="12801" max="12802" width="1.77734375" style="1219" customWidth="1"/>
    <col min="12803" max="12803" width="2.88671875" style="1219" customWidth="1"/>
    <col min="12804" max="12804" width="3" style="1219" customWidth="1"/>
    <col min="12805" max="12806" width="3.6640625" style="1219" customWidth="1"/>
    <col min="12807" max="12807" width="3.21875" style="1219" customWidth="1"/>
    <col min="12808" max="12808" width="1.33203125" style="1219" customWidth="1"/>
    <col min="12809" max="12809" width="2.109375" style="1219" customWidth="1"/>
    <col min="12810" max="12811" width="3" style="1219" customWidth="1"/>
    <col min="12812" max="12812" width="2.88671875" style="1219" customWidth="1"/>
    <col min="12813" max="12813" width="3.44140625" style="1219" customWidth="1"/>
    <col min="12814" max="12814" width="2.88671875" style="1219" customWidth="1"/>
    <col min="12815" max="12815" width="3" style="1219" customWidth="1"/>
    <col min="12816" max="12816" width="2.88671875" style="1219" customWidth="1"/>
    <col min="12817" max="12817" width="2.109375" style="1219" customWidth="1"/>
    <col min="12818" max="12819" width="2.77734375" style="1219" customWidth="1"/>
    <col min="12820" max="12821" width="2.109375" style="1219" customWidth="1"/>
    <col min="12822" max="12859" width="2.88671875" style="1219" customWidth="1"/>
    <col min="12860" max="13056" width="9" style="1219" customWidth="1"/>
    <col min="13057" max="13058" width="1.77734375" style="1219" customWidth="1"/>
    <col min="13059" max="13059" width="2.88671875" style="1219" customWidth="1"/>
    <col min="13060" max="13060" width="3" style="1219" customWidth="1"/>
    <col min="13061" max="13062" width="3.6640625" style="1219" customWidth="1"/>
    <col min="13063" max="13063" width="3.21875" style="1219" customWidth="1"/>
    <col min="13064" max="13064" width="1.33203125" style="1219" customWidth="1"/>
    <col min="13065" max="13065" width="2.109375" style="1219" customWidth="1"/>
    <col min="13066" max="13067" width="3" style="1219" customWidth="1"/>
    <col min="13068" max="13068" width="2.88671875" style="1219" customWidth="1"/>
    <col min="13069" max="13069" width="3.44140625" style="1219" customWidth="1"/>
    <col min="13070" max="13070" width="2.88671875" style="1219" customWidth="1"/>
    <col min="13071" max="13071" width="3" style="1219" customWidth="1"/>
    <col min="13072" max="13072" width="2.88671875" style="1219" customWidth="1"/>
    <col min="13073" max="13073" width="2.109375" style="1219" customWidth="1"/>
    <col min="13074" max="13075" width="2.77734375" style="1219" customWidth="1"/>
    <col min="13076" max="13077" width="2.109375" style="1219" customWidth="1"/>
    <col min="13078" max="13115" width="2.88671875" style="1219" customWidth="1"/>
    <col min="13116" max="13312" width="9" style="1219" customWidth="1"/>
    <col min="13313" max="13314" width="1.77734375" style="1219" customWidth="1"/>
    <col min="13315" max="13315" width="2.88671875" style="1219" customWidth="1"/>
    <col min="13316" max="13316" width="3" style="1219" customWidth="1"/>
    <col min="13317" max="13318" width="3.6640625" style="1219" customWidth="1"/>
    <col min="13319" max="13319" width="3.21875" style="1219" customWidth="1"/>
    <col min="13320" max="13320" width="1.33203125" style="1219" customWidth="1"/>
    <col min="13321" max="13321" width="2.109375" style="1219" customWidth="1"/>
    <col min="13322" max="13323" width="3" style="1219" customWidth="1"/>
    <col min="13324" max="13324" width="2.88671875" style="1219" customWidth="1"/>
    <col min="13325" max="13325" width="3.44140625" style="1219" customWidth="1"/>
    <col min="13326" max="13326" width="2.88671875" style="1219" customWidth="1"/>
    <col min="13327" max="13327" width="3" style="1219" customWidth="1"/>
    <col min="13328" max="13328" width="2.88671875" style="1219" customWidth="1"/>
    <col min="13329" max="13329" width="2.109375" style="1219" customWidth="1"/>
    <col min="13330" max="13331" width="2.77734375" style="1219" customWidth="1"/>
    <col min="13332" max="13333" width="2.109375" style="1219" customWidth="1"/>
    <col min="13334" max="13371" width="2.88671875" style="1219" customWidth="1"/>
    <col min="13372" max="13568" width="9" style="1219" customWidth="1"/>
    <col min="13569" max="13570" width="1.77734375" style="1219" customWidth="1"/>
    <col min="13571" max="13571" width="2.88671875" style="1219" customWidth="1"/>
    <col min="13572" max="13572" width="3" style="1219" customWidth="1"/>
    <col min="13573" max="13574" width="3.6640625" style="1219" customWidth="1"/>
    <col min="13575" max="13575" width="3.21875" style="1219" customWidth="1"/>
    <col min="13576" max="13576" width="1.33203125" style="1219" customWidth="1"/>
    <col min="13577" max="13577" width="2.109375" style="1219" customWidth="1"/>
    <col min="13578" max="13579" width="3" style="1219" customWidth="1"/>
    <col min="13580" max="13580" width="2.88671875" style="1219" customWidth="1"/>
    <col min="13581" max="13581" width="3.44140625" style="1219" customWidth="1"/>
    <col min="13582" max="13582" width="2.88671875" style="1219" customWidth="1"/>
    <col min="13583" max="13583" width="3" style="1219" customWidth="1"/>
    <col min="13584" max="13584" width="2.88671875" style="1219" customWidth="1"/>
    <col min="13585" max="13585" width="2.109375" style="1219" customWidth="1"/>
    <col min="13586" max="13587" width="2.77734375" style="1219" customWidth="1"/>
    <col min="13588" max="13589" width="2.109375" style="1219" customWidth="1"/>
    <col min="13590" max="13627" width="2.88671875" style="1219" customWidth="1"/>
    <col min="13628" max="13824" width="9" style="1219" customWidth="1"/>
    <col min="13825" max="13826" width="1.77734375" style="1219" customWidth="1"/>
    <col min="13827" max="13827" width="2.88671875" style="1219" customWidth="1"/>
    <col min="13828" max="13828" width="3" style="1219" customWidth="1"/>
    <col min="13829" max="13830" width="3.6640625" style="1219" customWidth="1"/>
    <col min="13831" max="13831" width="3.21875" style="1219" customWidth="1"/>
    <col min="13832" max="13832" width="1.33203125" style="1219" customWidth="1"/>
    <col min="13833" max="13833" width="2.109375" style="1219" customWidth="1"/>
    <col min="13834" max="13835" width="3" style="1219" customWidth="1"/>
    <col min="13836" max="13836" width="2.88671875" style="1219" customWidth="1"/>
    <col min="13837" max="13837" width="3.44140625" style="1219" customWidth="1"/>
    <col min="13838" max="13838" width="2.88671875" style="1219" customWidth="1"/>
    <col min="13839" max="13839" width="3" style="1219" customWidth="1"/>
    <col min="13840" max="13840" width="2.88671875" style="1219" customWidth="1"/>
    <col min="13841" max="13841" width="2.109375" style="1219" customWidth="1"/>
    <col min="13842" max="13843" width="2.77734375" style="1219" customWidth="1"/>
    <col min="13844" max="13845" width="2.109375" style="1219" customWidth="1"/>
    <col min="13846" max="13883" width="2.88671875" style="1219" customWidth="1"/>
    <col min="13884" max="14080" width="9" style="1219" customWidth="1"/>
    <col min="14081" max="14082" width="1.77734375" style="1219" customWidth="1"/>
    <col min="14083" max="14083" width="2.88671875" style="1219" customWidth="1"/>
    <col min="14084" max="14084" width="3" style="1219" customWidth="1"/>
    <col min="14085" max="14086" width="3.6640625" style="1219" customWidth="1"/>
    <col min="14087" max="14087" width="3.21875" style="1219" customWidth="1"/>
    <col min="14088" max="14088" width="1.33203125" style="1219" customWidth="1"/>
    <col min="14089" max="14089" width="2.109375" style="1219" customWidth="1"/>
    <col min="14090" max="14091" width="3" style="1219" customWidth="1"/>
    <col min="14092" max="14092" width="2.88671875" style="1219" customWidth="1"/>
    <col min="14093" max="14093" width="3.44140625" style="1219" customWidth="1"/>
    <col min="14094" max="14094" width="2.88671875" style="1219" customWidth="1"/>
    <col min="14095" max="14095" width="3" style="1219" customWidth="1"/>
    <col min="14096" max="14096" width="2.88671875" style="1219" customWidth="1"/>
    <col min="14097" max="14097" width="2.109375" style="1219" customWidth="1"/>
    <col min="14098" max="14099" width="2.77734375" style="1219" customWidth="1"/>
    <col min="14100" max="14101" width="2.109375" style="1219" customWidth="1"/>
    <col min="14102" max="14139" width="2.88671875" style="1219" customWidth="1"/>
    <col min="14140" max="14336" width="9" style="1219" customWidth="1"/>
    <col min="14337" max="14338" width="1.77734375" style="1219" customWidth="1"/>
    <col min="14339" max="14339" width="2.88671875" style="1219" customWidth="1"/>
    <col min="14340" max="14340" width="3" style="1219" customWidth="1"/>
    <col min="14341" max="14342" width="3.6640625" style="1219" customWidth="1"/>
    <col min="14343" max="14343" width="3.21875" style="1219" customWidth="1"/>
    <col min="14344" max="14344" width="1.33203125" style="1219" customWidth="1"/>
    <col min="14345" max="14345" width="2.109375" style="1219" customWidth="1"/>
    <col min="14346" max="14347" width="3" style="1219" customWidth="1"/>
    <col min="14348" max="14348" width="2.88671875" style="1219" customWidth="1"/>
    <col min="14349" max="14349" width="3.44140625" style="1219" customWidth="1"/>
    <col min="14350" max="14350" width="2.88671875" style="1219" customWidth="1"/>
    <col min="14351" max="14351" width="3" style="1219" customWidth="1"/>
    <col min="14352" max="14352" width="2.88671875" style="1219" customWidth="1"/>
    <col min="14353" max="14353" width="2.109375" style="1219" customWidth="1"/>
    <col min="14354" max="14355" width="2.77734375" style="1219" customWidth="1"/>
    <col min="14356" max="14357" width="2.109375" style="1219" customWidth="1"/>
    <col min="14358" max="14395" width="2.88671875" style="1219" customWidth="1"/>
    <col min="14396" max="14592" width="9" style="1219" customWidth="1"/>
    <col min="14593" max="14594" width="1.77734375" style="1219" customWidth="1"/>
    <col min="14595" max="14595" width="2.88671875" style="1219" customWidth="1"/>
    <col min="14596" max="14596" width="3" style="1219" customWidth="1"/>
    <col min="14597" max="14598" width="3.6640625" style="1219" customWidth="1"/>
    <col min="14599" max="14599" width="3.21875" style="1219" customWidth="1"/>
    <col min="14600" max="14600" width="1.33203125" style="1219" customWidth="1"/>
    <col min="14601" max="14601" width="2.109375" style="1219" customWidth="1"/>
    <col min="14602" max="14603" width="3" style="1219" customWidth="1"/>
    <col min="14604" max="14604" width="2.88671875" style="1219" customWidth="1"/>
    <col min="14605" max="14605" width="3.44140625" style="1219" customWidth="1"/>
    <col min="14606" max="14606" width="2.88671875" style="1219" customWidth="1"/>
    <col min="14607" max="14607" width="3" style="1219" customWidth="1"/>
    <col min="14608" max="14608" width="2.88671875" style="1219" customWidth="1"/>
    <col min="14609" max="14609" width="2.109375" style="1219" customWidth="1"/>
    <col min="14610" max="14611" width="2.77734375" style="1219" customWidth="1"/>
    <col min="14612" max="14613" width="2.109375" style="1219" customWidth="1"/>
    <col min="14614" max="14651" width="2.88671875" style="1219" customWidth="1"/>
    <col min="14652" max="14848" width="9" style="1219" customWidth="1"/>
    <col min="14849" max="14850" width="1.77734375" style="1219" customWidth="1"/>
    <col min="14851" max="14851" width="2.88671875" style="1219" customWidth="1"/>
    <col min="14852" max="14852" width="3" style="1219" customWidth="1"/>
    <col min="14853" max="14854" width="3.6640625" style="1219" customWidth="1"/>
    <col min="14855" max="14855" width="3.21875" style="1219" customWidth="1"/>
    <col min="14856" max="14856" width="1.33203125" style="1219" customWidth="1"/>
    <col min="14857" max="14857" width="2.109375" style="1219" customWidth="1"/>
    <col min="14858" max="14859" width="3" style="1219" customWidth="1"/>
    <col min="14860" max="14860" width="2.88671875" style="1219" customWidth="1"/>
    <col min="14861" max="14861" width="3.44140625" style="1219" customWidth="1"/>
    <col min="14862" max="14862" width="2.88671875" style="1219" customWidth="1"/>
    <col min="14863" max="14863" width="3" style="1219" customWidth="1"/>
    <col min="14864" max="14864" width="2.88671875" style="1219" customWidth="1"/>
    <col min="14865" max="14865" width="2.109375" style="1219" customWidth="1"/>
    <col min="14866" max="14867" width="2.77734375" style="1219" customWidth="1"/>
    <col min="14868" max="14869" width="2.109375" style="1219" customWidth="1"/>
    <col min="14870" max="14907" width="2.88671875" style="1219" customWidth="1"/>
    <col min="14908" max="15104" width="9" style="1219" customWidth="1"/>
    <col min="15105" max="15106" width="1.77734375" style="1219" customWidth="1"/>
    <col min="15107" max="15107" width="2.88671875" style="1219" customWidth="1"/>
    <col min="15108" max="15108" width="3" style="1219" customWidth="1"/>
    <col min="15109" max="15110" width="3.6640625" style="1219" customWidth="1"/>
    <col min="15111" max="15111" width="3.21875" style="1219" customWidth="1"/>
    <col min="15112" max="15112" width="1.33203125" style="1219" customWidth="1"/>
    <col min="15113" max="15113" width="2.109375" style="1219" customWidth="1"/>
    <col min="15114" max="15115" width="3" style="1219" customWidth="1"/>
    <col min="15116" max="15116" width="2.88671875" style="1219" customWidth="1"/>
    <col min="15117" max="15117" width="3.44140625" style="1219" customWidth="1"/>
    <col min="15118" max="15118" width="2.88671875" style="1219" customWidth="1"/>
    <col min="15119" max="15119" width="3" style="1219" customWidth="1"/>
    <col min="15120" max="15120" width="2.88671875" style="1219" customWidth="1"/>
    <col min="15121" max="15121" width="2.109375" style="1219" customWidth="1"/>
    <col min="15122" max="15123" width="2.77734375" style="1219" customWidth="1"/>
    <col min="15124" max="15125" width="2.109375" style="1219" customWidth="1"/>
    <col min="15126" max="15163" width="2.88671875" style="1219" customWidth="1"/>
    <col min="15164" max="15360" width="9" style="1219" customWidth="1"/>
    <col min="15361" max="15362" width="1.77734375" style="1219" customWidth="1"/>
    <col min="15363" max="15363" width="2.88671875" style="1219" customWidth="1"/>
    <col min="15364" max="15364" width="3" style="1219" customWidth="1"/>
    <col min="15365" max="15366" width="3.6640625" style="1219" customWidth="1"/>
    <col min="15367" max="15367" width="3.21875" style="1219" customWidth="1"/>
    <col min="15368" max="15368" width="1.33203125" style="1219" customWidth="1"/>
    <col min="15369" max="15369" width="2.109375" style="1219" customWidth="1"/>
    <col min="15370" max="15371" width="3" style="1219" customWidth="1"/>
    <col min="15372" max="15372" width="2.88671875" style="1219" customWidth="1"/>
    <col min="15373" max="15373" width="3.44140625" style="1219" customWidth="1"/>
    <col min="15374" max="15374" width="2.88671875" style="1219" customWidth="1"/>
    <col min="15375" max="15375" width="3" style="1219" customWidth="1"/>
    <col min="15376" max="15376" width="2.88671875" style="1219" customWidth="1"/>
    <col min="15377" max="15377" width="2.109375" style="1219" customWidth="1"/>
    <col min="15378" max="15379" width="2.77734375" style="1219" customWidth="1"/>
    <col min="15380" max="15381" width="2.109375" style="1219" customWidth="1"/>
    <col min="15382" max="15419" width="2.88671875" style="1219" customWidth="1"/>
    <col min="15420" max="15616" width="9" style="1219" customWidth="1"/>
    <col min="15617" max="15618" width="1.77734375" style="1219" customWidth="1"/>
    <col min="15619" max="15619" width="2.88671875" style="1219" customWidth="1"/>
    <col min="15620" max="15620" width="3" style="1219" customWidth="1"/>
    <col min="15621" max="15622" width="3.6640625" style="1219" customWidth="1"/>
    <col min="15623" max="15623" width="3.21875" style="1219" customWidth="1"/>
    <col min="15624" max="15624" width="1.33203125" style="1219" customWidth="1"/>
    <col min="15625" max="15625" width="2.109375" style="1219" customWidth="1"/>
    <col min="15626" max="15627" width="3" style="1219" customWidth="1"/>
    <col min="15628" max="15628" width="2.88671875" style="1219" customWidth="1"/>
    <col min="15629" max="15629" width="3.44140625" style="1219" customWidth="1"/>
    <col min="15630" max="15630" width="2.88671875" style="1219" customWidth="1"/>
    <col min="15631" max="15631" width="3" style="1219" customWidth="1"/>
    <col min="15632" max="15632" width="2.88671875" style="1219" customWidth="1"/>
    <col min="15633" max="15633" width="2.109375" style="1219" customWidth="1"/>
    <col min="15634" max="15635" width="2.77734375" style="1219" customWidth="1"/>
    <col min="15636" max="15637" width="2.109375" style="1219" customWidth="1"/>
    <col min="15638" max="15675" width="2.88671875" style="1219" customWidth="1"/>
    <col min="15676" max="15872" width="9" style="1219" customWidth="1"/>
    <col min="15873" max="15874" width="1.77734375" style="1219" customWidth="1"/>
    <col min="15875" max="15875" width="2.88671875" style="1219" customWidth="1"/>
    <col min="15876" max="15876" width="3" style="1219" customWidth="1"/>
    <col min="15877" max="15878" width="3.6640625" style="1219" customWidth="1"/>
    <col min="15879" max="15879" width="3.21875" style="1219" customWidth="1"/>
    <col min="15880" max="15880" width="1.33203125" style="1219" customWidth="1"/>
    <col min="15881" max="15881" width="2.109375" style="1219" customWidth="1"/>
    <col min="15882" max="15883" width="3" style="1219" customWidth="1"/>
    <col min="15884" max="15884" width="2.88671875" style="1219" customWidth="1"/>
    <col min="15885" max="15885" width="3.44140625" style="1219" customWidth="1"/>
    <col min="15886" max="15886" width="2.88671875" style="1219" customWidth="1"/>
    <col min="15887" max="15887" width="3" style="1219" customWidth="1"/>
    <col min="15888" max="15888" width="2.88671875" style="1219" customWidth="1"/>
    <col min="15889" max="15889" width="2.109375" style="1219" customWidth="1"/>
    <col min="15890" max="15891" width="2.77734375" style="1219" customWidth="1"/>
    <col min="15892" max="15893" width="2.109375" style="1219" customWidth="1"/>
    <col min="15894" max="15931" width="2.88671875" style="1219" customWidth="1"/>
    <col min="15932" max="16128" width="9" style="1219" customWidth="1"/>
    <col min="16129" max="16130" width="1.77734375" style="1219" customWidth="1"/>
    <col min="16131" max="16131" width="2.88671875" style="1219" customWidth="1"/>
    <col min="16132" max="16132" width="3" style="1219" customWidth="1"/>
    <col min="16133" max="16134" width="3.6640625" style="1219" customWidth="1"/>
    <col min="16135" max="16135" width="3.21875" style="1219" customWidth="1"/>
    <col min="16136" max="16136" width="1.33203125" style="1219" customWidth="1"/>
    <col min="16137" max="16137" width="2.109375" style="1219" customWidth="1"/>
    <col min="16138" max="16139" width="3" style="1219" customWidth="1"/>
    <col min="16140" max="16140" width="2.88671875" style="1219" customWidth="1"/>
    <col min="16141" max="16141" width="3.44140625" style="1219" customWidth="1"/>
    <col min="16142" max="16142" width="2.88671875" style="1219" customWidth="1"/>
    <col min="16143" max="16143" width="3" style="1219" customWidth="1"/>
    <col min="16144" max="16144" width="2.88671875" style="1219" customWidth="1"/>
    <col min="16145" max="16145" width="2.109375" style="1219" customWidth="1"/>
    <col min="16146" max="16147" width="2.77734375" style="1219" customWidth="1"/>
    <col min="16148" max="16149" width="2.109375" style="1219" customWidth="1"/>
    <col min="16150" max="16187" width="2.88671875" style="1219" customWidth="1"/>
    <col min="16188" max="16384" width="9" style="1219" customWidth="1"/>
  </cols>
  <sheetData>
    <row r="1" spans="2:32" s="1215" customFormat="1" ht="21" customHeight="1">
      <c r="C1" s="1437" t="s">
        <v>4035</v>
      </c>
      <c r="D1" s="1437"/>
      <c r="E1" s="1437"/>
      <c r="F1" s="1437"/>
      <c r="G1" s="1437"/>
      <c r="H1" s="1437"/>
      <c r="I1" s="1437"/>
      <c r="J1" s="1437"/>
      <c r="K1" s="1437"/>
      <c r="L1" s="1437"/>
      <c r="M1" s="1437"/>
      <c r="N1" s="1437"/>
      <c r="O1" s="1437"/>
      <c r="P1" s="1437"/>
      <c r="Q1" s="1437"/>
      <c r="R1" s="1437"/>
      <c r="S1" s="1437"/>
      <c r="T1" s="1437"/>
      <c r="U1" s="1437"/>
      <c r="V1" s="1437"/>
      <c r="W1" s="1437"/>
      <c r="X1" s="1437"/>
      <c r="Y1" s="1437"/>
      <c r="Z1" s="1437"/>
      <c r="AA1" s="1437"/>
      <c r="AB1" s="1437"/>
      <c r="AC1" s="1437"/>
      <c r="AD1" s="1437"/>
      <c r="AE1" s="1216"/>
      <c r="AF1" s="1216"/>
    </row>
    <row r="2" spans="2:32" s="1215" customFormat="1" ht="15" customHeight="1">
      <c r="B2" s="1217"/>
      <c r="C2" s="1218" t="s">
        <v>3780</v>
      </c>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c r="AB2" s="1217"/>
      <c r="AC2" s="1217"/>
      <c r="AD2" s="1217"/>
    </row>
    <row r="3" spans="2:32" ht="15" customHeight="1">
      <c r="C3" s="1220" t="s">
        <v>3781</v>
      </c>
    </row>
    <row r="4" spans="2:32" s="1221" customFormat="1" ht="15" customHeight="1">
      <c r="D4" s="1222" t="s">
        <v>3498</v>
      </c>
      <c r="F4" s="1222"/>
      <c r="G4" s="1222"/>
      <c r="H4" s="1222"/>
      <c r="I4" s="1426" t="str">
        <f>cst_wskakunin_owner1__space_KANA</f>
        <v>ｶﾌﾞｼｷｶﾞｲｼｬﾕｰｲｯｸﾌﾄﾞｳｻﾝ　ﾀﾞｲﾋｮｳﾄﾘｼﾏﾘﾔｸｼｬﾁｮｳ　ﾉｻﾞｷ　ﾕﾀｶ</v>
      </c>
      <c r="J4" s="1426"/>
      <c r="K4" s="1426"/>
      <c r="L4" s="1426"/>
      <c r="M4" s="1426"/>
      <c r="N4" s="1426"/>
      <c r="O4" s="1426"/>
      <c r="P4" s="1426"/>
      <c r="Q4" s="1426"/>
      <c r="R4" s="1426"/>
      <c r="S4" s="1426"/>
      <c r="T4" s="1426"/>
      <c r="U4" s="1426"/>
      <c r="V4" s="1426"/>
      <c r="W4" s="1426"/>
      <c r="X4" s="1426"/>
      <c r="Y4" s="1426"/>
      <c r="Z4" s="1426"/>
      <c r="AA4" s="1426"/>
      <c r="AB4" s="1426"/>
      <c r="AC4" s="1426"/>
      <c r="AD4" s="1426"/>
    </row>
    <row r="5" spans="2:32" s="1221" customFormat="1" ht="15" customHeight="1">
      <c r="D5" s="1222" t="s">
        <v>4036</v>
      </c>
      <c r="F5" s="1222"/>
      <c r="G5" s="1222"/>
      <c r="H5" s="1222"/>
      <c r="I5" s="1426" t="str">
        <f>cst_wskakunin_owner1__space</f>
        <v>株式会社ユーイック不動産　代表取締役社長　野崎　豊</v>
      </c>
      <c r="J5" s="1426"/>
      <c r="K5" s="1426"/>
      <c r="L5" s="1426"/>
      <c r="M5" s="1426"/>
      <c r="N5" s="1426"/>
      <c r="O5" s="1426"/>
      <c r="P5" s="1426"/>
      <c r="Q5" s="1426"/>
      <c r="R5" s="1426"/>
      <c r="S5" s="1426"/>
      <c r="T5" s="1426"/>
      <c r="U5" s="1426"/>
      <c r="V5" s="1426"/>
      <c r="W5" s="1426"/>
      <c r="X5" s="1426"/>
      <c r="Y5" s="1426"/>
      <c r="Z5" s="1426"/>
      <c r="AA5" s="1426"/>
      <c r="AB5" s="1426"/>
      <c r="AC5" s="1426"/>
      <c r="AD5" s="1426"/>
    </row>
    <row r="6" spans="2:32" s="1221" customFormat="1" ht="15" customHeight="1">
      <c r="D6" s="1222" t="s">
        <v>553</v>
      </c>
      <c r="F6" s="1222"/>
      <c r="G6" s="1222"/>
      <c r="H6" s="1222"/>
      <c r="I6" s="1426" t="str">
        <f>cst_wskakunin_owner1_ZIP</f>
        <v>105-0001</v>
      </c>
      <c r="J6" s="1426"/>
      <c r="K6" s="1426"/>
      <c r="P6" s="1223"/>
      <c r="Q6" s="1223"/>
      <c r="R6" s="1223"/>
      <c r="S6" s="1223"/>
      <c r="T6" s="1223"/>
      <c r="U6" s="1223"/>
      <c r="V6" s="1223"/>
      <c r="W6" s="1223"/>
      <c r="X6" s="1223"/>
      <c r="Y6" s="1223"/>
      <c r="Z6" s="1223"/>
      <c r="AA6" s="1223"/>
      <c r="AB6" s="1223"/>
      <c r="AC6" s="1223"/>
      <c r="AD6" s="1223"/>
    </row>
    <row r="7" spans="2:32" ht="15" customHeight="1">
      <c r="D7" s="1221" t="s">
        <v>4037</v>
      </c>
      <c r="I7" s="1425" t="str">
        <f>cst_wskakunin_owner1__address</f>
        <v>東京都港区虎ノ門1-1-21</v>
      </c>
      <c r="J7" s="1425"/>
      <c r="K7" s="1425"/>
      <c r="L7" s="1425"/>
      <c r="M7" s="1425"/>
      <c r="N7" s="1425"/>
      <c r="O7" s="1425"/>
      <c r="P7" s="1425"/>
      <c r="Q7" s="1425"/>
      <c r="R7" s="1425"/>
      <c r="S7" s="1425"/>
      <c r="T7" s="1425"/>
      <c r="U7" s="1425"/>
      <c r="V7" s="1425"/>
      <c r="W7" s="1425"/>
      <c r="X7" s="1425"/>
      <c r="Y7" s="1425"/>
      <c r="Z7" s="1425"/>
      <c r="AA7" s="1425"/>
      <c r="AB7" s="1425"/>
      <c r="AC7" s="1425"/>
      <c r="AD7" s="1425"/>
    </row>
    <row r="8" spans="2:32" ht="15" customHeight="1">
      <c r="B8" s="1224"/>
      <c r="C8" s="1224"/>
      <c r="D8" s="1225"/>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row>
    <row r="9" spans="2:32" ht="15" customHeight="1">
      <c r="C9" s="1220" t="s">
        <v>3782</v>
      </c>
    </row>
    <row r="10" spans="2:32" s="1221" customFormat="1" ht="15" customHeight="1">
      <c r="D10" s="1222" t="s">
        <v>4038</v>
      </c>
      <c r="F10" s="1222"/>
      <c r="G10" s="1222"/>
      <c r="H10" s="1222"/>
      <c r="I10" s="1226" t="s">
        <v>2</v>
      </c>
      <c r="J10" s="1431" t="str">
        <f>cst_wskakunin_dairi1_SIKAKU</f>
        <v>一級</v>
      </c>
      <c r="K10" s="1431"/>
      <c r="L10" s="1227" t="s">
        <v>3</v>
      </c>
      <c r="M10" s="1221" t="s">
        <v>3494</v>
      </c>
      <c r="Q10" s="1222" t="s">
        <v>2</v>
      </c>
      <c r="R10" s="1431" t="str">
        <f>cst_wskakunin_dairi1_TOUROKU_KIKAN</f>
        <v>国土交通大臣</v>
      </c>
      <c r="S10" s="1431"/>
      <c r="T10" s="1431"/>
      <c r="U10" s="1227" t="s">
        <v>3</v>
      </c>
      <c r="W10" s="1226" t="s">
        <v>3493</v>
      </c>
      <c r="X10" s="1431" t="str">
        <f>cst_wskakunin_dairi1_KENTIKUSI_NO</f>
        <v>111111</v>
      </c>
      <c r="Y10" s="1431"/>
      <c r="Z10" s="1431"/>
      <c r="AA10" s="1226" t="s">
        <v>381</v>
      </c>
    </row>
    <row r="11" spans="2:32" s="1221" customFormat="1" ht="15" customHeight="1">
      <c r="D11" s="1222" t="s">
        <v>4036</v>
      </c>
      <c r="F11" s="1222"/>
      <c r="G11" s="1222"/>
      <c r="H11" s="1222"/>
      <c r="I11" s="1426" t="str">
        <f>cst_wskakunin_dairi1_NAME</f>
        <v>藤田　ゆき子</v>
      </c>
      <c r="J11" s="1426"/>
      <c r="K11" s="1426"/>
      <c r="L11" s="1426"/>
      <c r="M11" s="1426"/>
      <c r="N11" s="1426"/>
      <c r="O11" s="1426"/>
      <c r="P11" s="1426"/>
      <c r="Q11" s="1426"/>
      <c r="R11" s="1426"/>
      <c r="S11" s="1426"/>
      <c r="T11" s="1426"/>
      <c r="U11" s="1426"/>
      <c r="V11" s="1426"/>
      <c r="W11" s="1426"/>
      <c r="X11" s="1426"/>
      <c r="Y11" s="1426"/>
      <c r="Z11" s="1426"/>
      <c r="AA11" s="1426"/>
      <c r="AB11" s="1426"/>
      <c r="AC11" s="1426"/>
      <c r="AD11" s="1426"/>
    </row>
    <row r="12" spans="2:32" s="1221" customFormat="1" ht="15" customHeight="1">
      <c r="D12" s="1222" t="s">
        <v>3491</v>
      </c>
      <c r="I12" s="1226" t="s">
        <v>2</v>
      </c>
      <c r="J12" s="1431" t="str">
        <f>cst_wskakunin_dairi1_JIMU_SIKAKU</f>
        <v>一級</v>
      </c>
      <c r="K12" s="1431"/>
      <c r="L12" s="1227" t="s">
        <v>3</v>
      </c>
      <c r="M12" s="1221" t="s">
        <v>3490</v>
      </c>
      <c r="Q12" s="1222" t="s">
        <v>2</v>
      </c>
      <c r="R12" s="1431" t="str">
        <f>cst_wskakunin_dairi1_JIMU_TOUROKU_KIKAN</f>
        <v>東京都</v>
      </c>
      <c r="S12" s="1431"/>
      <c r="T12" s="1227" t="s">
        <v>3</v>
      </c>
      <c r="W12" s="1226" t="s">
        <v>3489</v>
      </c>
      <c r="X12" s="1431" t="str">
        <f>cst_wskakunin_dairi1_JIMU_NO</f>
        <v>11111</v>
      </c>
      <c r="Y12" s="1431"/>
      <c r="Z12" s="1431"/>
      <c r="AA12" s="1226" t="s">
        <v>381</v>
      </c>
    </row>
    <row r="13" spans="2:32" s="1221" customFormat="1" ht="15" customHeight="1">
      <c r="I13" s="1426" t="str">
        <f>cst_wskakunin_dairi1_JIMU_NAME</f>
        <v>一級建築士事務所　UHEC</v>
      </c>
      <c r="J13" s="1426"/>
      <c r="K13" s="1426"/>
      <c r="L13" s="1426"/>
      <c r="M13" s="1426"/>
      <c r="N13" s="1426"/>
      <c r="O13" s="1426"/>
      <c r="P13" s="1426"/>
      <c r="Q13" s="1426"/>
      <c r="R13" s="1426"/>
      <c r="S13" s="1426"/>
      <c r="T13" s="1426"/>
      <c r="U13" s="1426"/>
      <c r="V13" s="1426"/>
      <c r="W13" s="1426"/>
      <c r="X13" s="1426"/>
      <c r="Y13" s="1426"/>
      <c r="Z13" s="1426"/>
      <c r="AA13" s="1426"/>
      <c r="AB13" s="1426"/>
      <c r="AC13" s="1426"/>
      <c r="AD13" s="1426"/>
    </row>
    <row r="14" spans="2:32" s="1221" customFormat="1" ht="15" customHeight="1">
      <c r="D14" s="1222" t="s">
        <v>3488</v>
      </c>
      <c r="F14" s="1222"/>
      <c r="G14" s="1222"/>
      <c r="H14" s="1222"/>
      <c r="I14" s="1426" t="str">
        <f>cst_wskakunin_dairi1_ZIP</f>
        <v>105-0001</v>
      </c>
      <c r="J14" s="1426"/>
      <c r="K14" s="1426"/>
      <c r="O14" s="1222"/>
      <c r="Q14" s="1223"/>
      <c r="R14" s="1223"/>
      <c r="S14" s="1223"/>
      <c r="T14" s="1223"/>
      <c r="U14" s="1223"/>
      <c r="V14" s="1223"/>
      <c r="W14" s="1223"/>
      <c r="X14" s="1223"/>
      <c r="Y14" s="1223"/>
      <c r="Z14" s="1223"/>
      <c r="AA14" s="1223"/>
      <c r="AB14" s="1223"/>
      <c r="AC14" s="1223"/>
      <c r="AD14" s="1223"/>
    </row>
    <row r="15" spans="2:32" s="1221" customFormat="1" ht="15" customHeight="1">
      <c r="D15" s="1221" t="s">
        <v>4039</v>
      </c>
      <c r="F15" s="1222"/>
      <c r="G15" s="1222"/>
      <c r="H15" s="1222"/>
      <c r="I15" s="1426" t="str">
        <f>cst_wskakunin_dairi1__address</f>
        <v>東京都港区虎ノ門1-1-21</v>
      </c>
      <c r="J15" s="1426"/>
      <c r="K15" s="1426"/>
      <c r="L15" s="1426"/>
      <c r="M15" s="1426"/>
      <c r="N15" s="1426"/>
      <c r="O15" s="1426"/>
      <c r="P15" s="1426"/>
      <c r="Q15" s="1426"/>
      <c r="R15" s="1426"/>
      <c r="S15" s="1426"/>
      <c r="T15" s="1426"/>
      <c r="U15" s="1426"/>
      <c r="V15" s="1426"/>
      <c r="W15" s="1426"/>
      <c r="X15" s="1426"/>
      <c r="Y15" s="1426"/>
      <c r="Z15" s="1426"/>
      <c r="AA15" s="1426"/>
      <c r="AB15" s="1426"/>
      <c r="AC15" s="1426"/>
      <c r="AD15" s="1426"/>
    </row>
    <row r="16" spans="2:32" s="1221" customFormat="1" ht="15" customHeight="1">
      <c r="B16" s="1225"/>
      <c r="C16" s="1225"/>
      <c r="D16" s="1228" t="s">
        <v>3486</v>
      </c>
      <c r="E16" s="1225"/>
      <c r="F16" s="1228"/>
      <c r="G16" s="1228"/>
      <c r="H16" s="1228"/>
      <c r="I16" s="1427" t="str">
        <f>cst_wskakunin_dairi1_TEL</f>
        <v>03-3504-2386</v>
      </c>
      <c r="J16" s="1427"/>
      <c r="K16" s="1427"/>
      <c r="L16" s="1427"/>
      <c r="M16" s="1427"/>
      <c r="N16" s="1427"/>
      <c r="O16" s="1225"/>
      <c r="P16" s="1229"/>
      <c r="Q16" s="1229"/>
      <c r="R16" s="1229"/>
      <c r="S16" s="1229"/>
      <c r="T16" s="1229"/>
      <c r="U16" s="1229"/>
      <c r="V16" s="1229"/>
      <c r="W16" s="1229"/>
      <c r="X16" s="1229"/>
      <c r="Y16" s="1229"/>
      <c r="Z16" s="1229"/>
      <c r="AA16" s="1229"/>
      <c r="AB16" s="1229"/>
      <c r="AC16" s="1229"/>
      <c r="AD16" s="1229"/>
    </row>
    <row r="17" spans="3:30" ht="15" customHeight="1">
      <c r="C17" s="1220" t="s">
        <v>3788</v>
      </c>
    </row>
    <row r="18" spans="3:30" ht="15" customHeight="1">
      <c r="C18" s="1219" t="s">
        <v>4040</v>
      </c>
    </row>
    <row r="19" spans="3:30" s="1221" customFormat="1" ht="15" customHeight="1">
      <c r="D19" s="1222" t="s">
        <v>4038</v>
      </c>
      <c r="F19" s="1222"/>
      <c r="G19" s="1222"/>
      <c r="H19" s="1222"/>
      <c r="I19" s="1226" t="s">
        <v>2</v>
      </c>
      <c r="J19" s="1431" t="str">
        <f>cst_wskakunin_sekkei1_SIKAKU</f>
        <v>一級</v>
      </c>
      <c r="K19" s="1431"/>
      <c r="L19" s="1227" t="s">
        <v>3</v>
      </c>
      <c r="M19" s="1221" t="s">
        <v>3494</v>
      </c>
      <c r="Q19" s="1222" t="s">
        <v>2</v>
      </c>
      <c r="R19" s="1431" t="str">
        <f>cst_wskakunin_sekkei1_TOUROKU_KIKAN</f>
        <v>国土交通大臣</v>
      </c>
      <c r="S19" s="1431"/>
      <c r="T19" s="1431"/>
      <c r="U19" s="1227" t="s">
        <v>3</v>
      </c>
      <c r="W19" s="1226" t="s">
        <v>3493</v>
      </c>
      <c r="X19" s="1431" t="str">
        <f>cst_wskakunin_sekkei1_KENTIKUSI_NO</f>
        <v>12121212</v>
      </c>
      <c r="Y19" s="1431"/>
      <c r="Z19" s="1431"/>
      <c r="AA19" s="1226" t="s">
        <v>381</v>
      </c>
    </row>
    <row r="20" spans="3:30" s="1221" customFormat="1" ht="15" customHeight="1">
      <c r="D20" s="1222" t="s">
        <v>4036</v>
      </c>
      <c r="F20" s="1222"/>
      <c r="G20" s="1222"/>
      <c r="H20" s="1222"/>
      <c r="I20" s="1426" t="str">
        <f>cst_wskakunin_sekkei1_NAME</f>
        <v>髙橋　一郎</v>
      </c>
      <c r="J20" s="1426"/>
      <c r="K20" s="1426"/>
      <c r="L20" s="1426"/>
      <c r="M20" s="1426"/>
      <c r="N20" s="1426"/>
      <c r="O20" s="1426"/>
      <c r="P20" s="1426"/>
      <c r="Q20" s="1426"/>
      <c r="R20" s="1426"/>
      <c r="S20" s="1426"/>
      <c r="T20" s="1426"/>
      <c r="U20" s="1426"/>
      <c r="V20" s="1426"/>
      <c r="W20" s="1426"/>
      <c r="X20" s="1426"/>
      <c r="Y20" s="1426"/>
      <c r="Z20" s="1426"/>
      <c r="AA20" s="1426"/>
      <c r="AB20" s="1426"/>
      <c r="AC20" s="1426"/>
      <c r="AD20" s="1426"/>
    </row>
    <row r="21" spans="3:30" s="1221" customFormat="1" ht="15" customHeight="1">
      <c r="D21" s="1222" t="s">
        <v>3491</v>
      </c>
      <c r="I21" s="1226" t="s">
        <v>2</v>
      </c>
      <c r="J21" s="1431" t="str">
        <f>cst_wskakunin_sekkei1_JIMU_SIKAKU</f>
        <v>一級</v>
      </c>
      <c r="K21" s="1431"/>
      <c r="L21" s="1227" t="s">
        <v>3</v>
      </c>
      <c r="M21" s="1221" t="s">
        <v>3490</v>
      </c>
      <c r="Q21" s="1222" t="s">
        <v>2</v>
      </c>
      <c r="R21" s="1431" t="str">
        <f>cst_wskakunin_sekkei1_JIMU_TOUROKU_KIKAN</f>
        <v>東京都</v>
      </c>
      <c r="S21" s="1431"/>
      <c r="T21" s="1227" t="s">
        <v>3</v>
      </c>
      <c r="W21" s="1226" t="s">
        <v>3489</v>
      </c>
      <c r="X21" s="1431" t="str">
        <f>cst_wskakunin_sekkei1_JIMU_NO</f>
        <v>11111</v>
      </c>
      <c r="Y21" s="1431"/>
      <c r="Z21" s="1431"/>
      <c r="AA21" s="1226" t="s">
        <v>381</v>
      </c>
    </row>
    <row r="22" spans="3:30" s="1221" customFormat="1" ht="15" customHeight="1">
      <c r="I22" s="1426" t="str">
        <f>cst_wskakunin_sekkei1_JIMU_NAME</f>
        <v>一級建築士事務所　UHEC</v>
      </c>
      <c r="J22" s="1426"/>
      <c r="K22" s="1426"/>
      <c r="L22" s="1426"/>
      <c r="M22" s="1426"/>
      <c r="N22" s="1426"/>
      <c r="O22" s="1426"/>
      <c r="P22" s="1426"/>
      <c r="Q22" s="1426"/>
      <c r="R22" s="1426"/>
      <c r="S22" s="1426"/>
      <c r="T22" s="1426"/>
      <c r="U22" s="1426"/>
      <c r="V22" s="1426"/>
      <c r="W22" s="1426"/>
      <c r="X22" s="1426"/>
      <c r="Y22" s="1426"/>
      <c r="Z22" s="1426"/>
      <c r="AA22" s="1426"/>
      <c r="AB22" s="1426"/>
      <c r="AC22" s="1426"/>
      <c r="AD22" s="1426"/>
    </row>
    <row r="23" spans="3:30" s="1221" customFormat="1" ht="15" customHeight="1">
      <c r="D23" s="1222" t="s">
        <v>3488</v>
      </c>
      <c r="F23" s="1222"/>
      <c r="G23" s="1222"/>
      <c r="H23" s="1222"/>
      <c r="I23" s="1426" t="str">
        <f>cst_wskakunin_sekkei1_ZIP</f>
        <v>105-0001</v>
      </c>
      <c r="J23" s="1426"/>
      <c r="K23" s="1426"/>
      <c r="O23" s="1222"/>
      <c r="P23" s="1222"/>
      <c r="Q23" s="1222"/>
      <c r="R23" s="1222"/>
      <c r="S23" s="1222"/>
      <c r="T23" s="1222"/>
      <c r="U23" s="1222"/>
      <c r="V23" s="1222"/>
      <c r="W23" s="1222"/>
      <c r="X23" s="1222"/>
      <c r="Y23" s="1222"/>
      <c r="Z23" s="1222"/>
      <c r="AA23" s="1222"/>
      <c r="AB23" s="1222"/>
      <c r="AC23" s="1222"/>
      <c r="AD23" s="1222"/>
    </row>
    <row r="24" spans="3:30" s="1221" customFormat="1" ht="15" customHeight="1">
      <c r="D24" s="1221" t="s">
        <v>4039</v>
      </c>
      <c r="F24" s="1222"/>
      <c r="G24" s="1222"/>
      <c r="I24" s="1426" t="str">
        <f>cst_wskakunin_sekkei1__address</f>
        <v>東京都港区虎ノ門1-1-21</v>
      </c>
      <c r="J24" s="1426"/>
      <c r="K24" s="1426"/>
      <c r="L24" s="1426"/>
      <c r="M24" s="1426"/>
      <c r="N24" s="1426"/>
      <c r="O24" s="1426"/>
      <c r="P24" s="1426"/>
      <c r="Q24" s="1426"/>
      <c r="R24" s="1426"/>
      <c r="S24" s="1426"/>
      <c r="T24" s="1426"/>
      <c r="U24" s="1426"/>
      <c r="V24" s="1426"/>
      <c r="W24" s="1426"/>
      <c r="X24" s="1426"/>
      <c r="Y24" s="1426"/>
      <c r="Z24" s="1426"/>
      <c r="AA24" s="1426"/>
      <c r="AB24" s="1426"/>
      <c r="AC24" s="1426"/>
      <c r="AD24" s="1426"/>
    </row>
    <row r="25" spans="3:30" s="1221" customFormat="1" ht="15" customHeight="1">
      <c r="D25" s="1222" t="s">
        <v>3486</v>
      </c>
      <c r="F25" s="1222"/>
      <c r="G25" s="1222"/>
      <c r="H25" s="1222"/>
      <c r="I25" s="1426" t="str">
        <f>cst_wskakunin_sekkei1_TEL</f>
        <v>03-3504-2386</v>
      </c>
      <c r="J25" s="1426"/>
      <c r="K25" s="1426"/>
      <c r="L25" s="1426"/>
      <c r="M25" s="1426"/>
      <c r="N25" s="1426"/>
    </row>
    <row r="26" spans="3:30" s="1221" customFormat="1" ht="24" customHeight="1">
      <c r="D26" s="1222" t="s">
        <v>3789</v>
      </c>
      <c r="E26" s="1222"/>
      <c r="F26" s="1222"/>
      <c r="G26" s="1222"/>
      <c r="H26" s="1222"/>
      <c r="L26" s="1436" t="str">
        <f>cst_wskakunin_sekkei1_DOC</f>
        <v>意匠図一式</v>
      </c>
      <c r="M26" s="1436"/>
      <c r="N26" s="1436"/>
      <c r="O26" s="1436"/>
      <c r="P26" s="1436"/>
      <c r="Q26" s="1436"/>
      <c r="R26" s="1436"/>
      <c r="S26" s="1436"/>
      <c r="T26" s="1436"/>
      <c r="U26" s="1436"/>
      <c r="V26" s="1436"/>
      <c r="W26" s="1436"/>
      <c r="X26" s="1436"/>
      <c r="Y26" s="1436"/>
      <c r="Z26" s="1436"/>
      <c r="AA26" s="1436"/>
      <c r="AB26" s="1436"/>
      <c r="AC26" s="1436"/>
      <c r="AD26" s="1436"/>
    </row>
    <row r="27" spans="3:30" ht="15" customHeight="1">
      <c r="C27" s="1219" t="s">
        <v>4041</v>
      </c>
    </row>
    <row r="28" spans="3:30" s="1221" customFormat="1" ht="15" customHeight="1">
      <c r="D28" s="1222" t="s">
        <v>4038</v>
      </c>
      <c r="F28" s="1222"/>
      <c r="G28" s="1222"/>
      <c r="H28" s="1222"/>
      <c r="I28" s="1226" t="s">
        <v>2</v>
      </c>
      <c r="J28" s="1426" t="str">
        <f>cst_wskakunin_sekkei2_SIKAKU</f>
        <v>一級</v>
      </c>
      <c r="K28" s="1426"/>
      <c r="L28" s="1227" t="s">
        <v>3</v>
      </c>
      <c r="M28" s="1221" t="s">
        <v>3494</v>
      </c>
      <c r="Q28" s="1222" t="s">
        <v>2</v>
      </c>
      <c r="R28" s="1431" t="str">
        <f>cst_wskakunin_sekkei2_TOUROKU_KIKAN</f>
        <v>国土交通大臣</v>
      </c>
      <c r="S28" s="1431"/>
      <c r="T28" s="1431"/>
      <c r="U28" s="1227" t="s">
        <v>3</v>
      </c>
      <c r="W28" s="1226" t="s">
        <v>3493</v>
      </c>
      <c r="X28" s="1431" t="str">
        <f>cst_wskakunin_sekkei2_KENTIKUSI_NO</f>
        <v>111111</v>
      </c>
      <c r="Y28" s="1431"/>
      <c r="Z28" s="1431"/>
      <c r="AA28" s="1226" t="s">
        <v>381</v>
      </c>
    </row>
    <row r="29" spans="3:30" s="1221" customFormat="1" ht="15" customHeight="1">
      <c r="D29" s="1222" t="s">
        <v>4036</v>
      </c>
      <c r="F29" s="1222"/>
      <c r="G29" s="1222"/>
      <c r="H29" s="1222"/>
      <c r="I29" s="1426" t="str">
        <f>cst_wskakunin_sekkei2_NAME</f>
        <v>藤田　ゆき子</v>
      </c>
      <c r="J29" s="1426"/>
      <c r="K29" s="1426"/>
      <c r="L29" s="1426"/>
      <c r="M29" s="1426"/>
      <c r="N29" s="1426"/>
      <c r="O29" s="1426"/>
      <c r="P29" s="1426"/>
      <c r="Q29" s="1426"/>
      <c r="R29" s="1426"/>
      <c r="S29" s="1426"/>
      <c r="T29" s="1426"/>
      <c r="U29" s="1426"/>
      <c r="V29" s="1426"/>
      <c r="W29" s="1426"/>
      <c r="X29" s="1426"/>
      <c r="Y29" s="1426"/>
      <c r="Z29" s="1426"/>
      <c r="AA29" s="1426"/>
      <c r="AB29" s="1426"/>
      <c r="AC29" s="1426"/>
      <c r="AD29" s="1426"/>
    </row>
    <row r="30" spans="3:30" s="1221" customFormat="1" ht="15" customHeight="1">
      <c r="D30" s="1222" t="s">
        <v>3491</v>
      </c>
      <c r="I30" s="1226" t="s">
        <v>2</v>
      </c>
      <c r="J30" s="1431" t="str">
        <f>cst_wskakunin_sekkei2_JIMU_SIKAKU</f>
        <v>一級</v>
      </c>
      <c r="K30" s="1431"/>
      <c r="L30" s="1227" t="s">
        <v>3</v>
      </c>
      <c r="M30" s="1221" t="s">
        <v>3490</v>
      </c>
      <c r="Q30" s="1222" t="s">
        <v>2</v>
      </c>
      <c r="R30" s="1431" t="str">
        <f>cst_wskakunin_sekkei2_JIMU_TOUROKU_KIKAN</f>
        <v>東京都</v>
      </c>
      <c r="S30" s="1431"/>
      <c r="T30" s="1227" t="s">
        <v>3</v>
      </c>
      <c r="W30" s="1226" t="s">
        <v>3489</v>
      </c>
      <c r="X30" s="1431" t="str">
        <f>cst_wskakunin_sekkei2_JIMU_NO</f>
        <v>11111</v>
      </c>
      <c r="Y30" s="1431"/>
      <c r="Z30" s="1431"/>
      <c r="AA30" s="1226" t="s">
        <v>381</v>
      </c>
    </row>
    <row r="31" spans="3:30" s="1221" customFormat="1" ht="15" customHeight="1">
      <c r="I31" s="1426" t="str">
        <f>cst_wskakunin_sekkei2_JIMU_NAME</f>
        <v>一級建築士事務所　UHEC</v>
      </c>
      <c r="J31" s="1426"/>
      <c r="K31" s="1426"/>
      <c r="L31" s="1426"/>
      <c r="M31" s="1426"/>
      <c r="N31" s="1426"/>
      <c r="O31" s="1426"/>
      <c r="P31" s="1426"/>
      <c r="Q31" s="1426"/>
      <c r="R31" s="1426"/>
      <c r="S31" s="1426"/>
      <c r="T31" s="1426"/>
      <c r="U31" s="1426"/>
      <c r="V31" s="1426"/>
      <c r="W31" s="1426"/>
      <c r="X31" s="1426"/>
      <c r="Y31" s="1426"/>
      <c r="Z31" s="1426"/>
      <c r="AA31" s="1426"/>
      <c r="AB31" s="1426"/>
      <c r="AC31" s="1426"/>
      <c r="AD31" s="1426"/>
    </row>
    <row r="32" spans="3:30" s="1221" customFormat="1" ht="15" customHeight="1">
      <c r="D32" s="1222" t="s">
        <v>3488</v>
      </c>
      <c r="F32" s="1222"/>
      <c r="G32" s="1222"/>
      <c r="H32" s="1222"/>
      <c r="I32" s="1426" t="str">
        <f>cst_wskakunin_sekkei2_ZIP</f>
        <v>105-0001</v>
      </c>
      <c r="J32" s="1426"/>
      <c r="K32" s="1426"/>
      <c r="O32" s="1222"/>
      <c r="P32" s="1223"/>
      <c r="Q32" s="1223"/>
      <c r="R32" s="1223"/>
      <c r="S32" s="1223"/>
      <c r="T32" s="1223"/>
      <c r="U32" s="1223"/>
      <c r="V32" s="1223"/>
      <c r="W32" s="1223"/>
      <c r="X32" s="1223"/>
      <c r="Y32" s="1223"/>
      <c r="Z32" s="1223"/>
      <c r="AA32" s="1223"/>
      <c r="AB32" s="1223"/>
      <c r="AC32" s="1223"/>
      <c r="AD32" s="1223"/>
    </row>
    <row r="33" spans="4:30" s="1221" customFormat="1" ht="15" customHeight="1">
      <c r="D33" s="1221" t="s">
        <v>4039</v>
      </c>
      <c r="F33" s="1222"/>
      <c r="G33" s="1222"/>
      <c r="H33" s="1222"/>
      <c r="I33" s="1426" t="str">
        <f>cst_wskakunin_sekkei2__address</f>
        <v>東京都港区虎ノ門1-1-21</v>
      </c>
      <c r="J33" s="1426"/>
      <c r="K33" s="1426"/>
      <c r="L33" s="1426"/>
      <c r="M33" s="1426"/>
      <c r="N33" s="1426"/>
      <c r="O33" s="1426"/>
      <c r="P33" s="1426"/>
      <c r="Q33" s="1426"/>
      <c r="R33" s="1426"/>
      <c r="S33" s="1426"/>
      <c r="T33" s="1426"/>
      <c r="U33" s="1426"/>
      <c r="V33" s="1426"/>
      <c r="W33" s="1426"/>
      <c r="X33" s="1426"/>
      <c r="Y33" s="1426"/>
      <c r="Z33" s="1426"/>
      <c r="AA33" s="1426"/>
      <c r="AB33" s="1426"/>
      <c r="AC33" s="1426"/>
      <c r="AD33" s="1426"/>
    </row>
    <row r="34" spans="4:30" s="1221" customFormat="1" ht="15" customHeight="1">
      <c r="D34" s="1222" t="s">
        <v>3486</v>
      </c>
      <c r="F34" s="1222"/>
      <c r="G34" s="1222"/>
      <c r="H34" s="1222"/>
      <c r="I34" s="1426" t="str">
        <f>cst_wskakunin_sekkei2_TEL</f>
        <v>03-3504-2386</v>
      </c>
      <c r="J34" s="1426"/>
      <c r="K34" s="1426"/>
      <c r="L34" s="1426"/>
      <c r="M34" s="1426"/>
      <c r="N34" s="1426"/>
      <c r="P34" s="1223"/>
      <c r="Q34" s="1223"/>
      <c r="R34" s="1223"/>
      <c r="S34" s="1223"/>
      <c r="T34" s="1223"/>
      <c r="U34" s="1223"/>
      <c r="V34" s="1223"/>
      <c r="W34" s="1223"/>
      <c r="X34" s="1223"/>
      <c r="Y34" s="1223"/>
      <c r="Z34" s="1223"/>
      <c r="AA34" s="1223"/>
      <c r="AB34" s="1223"/>
      <c r="AC34" s="1223"/>
      <c r="AD34" s="1223"/>
    </row>
    <row r="35" spans="4:30" s="1221" customFormat="1" ht="24" customHeight="1">
      <c r="D35" s="1222" t="s">
        <v>3789</v>
      </c>
      <c r="E35" s="1222"/>
      <c r="F35" s="1222"/>
      <c r="G35" s="1222"/>
      <c r="H35" s="1222"/>
      <c r="I35" s="1222"/>
      <c r="J35" s="1222"/>
      <c r="K35" s="1222"/>
      <c r="L35" s="1435" t="str">
        <f>cst_wskakunin_sekkei2_DOC</f>
        <v>設計図書一式</v>
      </c>
      <c r="M35" s="1435"/>
      <c r="N35" s="1435"/>
      <c r="O35" s="1435"/>
      <c r="P35" s="1435"/>
      <c r="Q35" s="1435"/>
      <c r="R35" s="1435"/>
      <c r="S35" s="1435"/>
      <c r="T35" s="1435"/>
      <c r="U35" s="1435"/>
      <c r="V35" s="1435"/>
      <c r="W35" s="1435"/>
      <c r="X35" s="1435"/>
      <c r="Y35" s="1435"/>
      <c r="Z35" s="1435"/>
      <c r="AA35" s="1435"/>
      <c r="AB35" s="1435"/>
      <c r="AC35" s="1435"/>
      <c r="AD35" s="1435"/>
    </row>
    <row r="36" spans="4:30" s="1221" customFormat="1" ht="15" customHeight="1">
      <c r="D36" s="1222" t="s">
        <v>4038</v>
      </c>
      <c r="F36" s="1222"/>
      <c r="G36" s="1222"/>
      <c r="H36" s="1222"/>
      <c r="I36" s="1226" t="s">
        <v>2</v>
      </c>
      <c r="J36" s="1431" t="str">
        <f>cst_wskakunin_sekkei3_SIKAKU</f>
        <v>一級</v>
      </c>
      <c r="K36" s="1431"/>
      <c r="L36" s="1227" t="s">
        <v>3</v>
      </c>
      <c r="M36" s="1221" t="s">
        <v>3494</v>
      </c>
      <c r="Q36" s="1222" t="s">
        <v>2</v>
      </c>
      <c r="R36" s="1431" t="str">
        <f>cst_wskakunin_sekkei3_TOUROKU_KIKAN</f>
        <v>国土交通大臣</v>
      </c>
      <c r="S36" s="1431"/>
      <c r="T36" s="1431"/>
      <c r="U36" s="1227" t="s">
        <v>3</v>
      </c>
      <c r="W36" s="1226" t="s">
        <v>3493</v>
      </c>
      <c r="X36" s="1431" t="str">
        <f>cst_wskakunin_sekkei3_KENTIKUSI_NO</f>
        <v>1234556</v>
      </c>
      <c r="Y36" s="1431"/>
      <c r="Z36" s="1431"/>
      <c r="AA36" s="1226" t="s">
        <v>381</v>
      </c>
    </row>
    <row r="37" spans="4:30" s="1221" customFormat="1" ht="15" customHeight="1">
      <c r="D37" s="1222" t="s">
        <v>4036</v>
      </c>
      <c r="F37" s="1222"/>
      <c r="G37" s="1222"/>
      <c r="H37" s="1222"/>
      <c r="I37" s="1426" t="str">
        <f>cst_wskakunin_sekkei3_NAME</f>
        <v>橋上　眞光</v>
      </c>
      <c r="J37" s="1426"/>
      <c r="K37" s="1426"/>
      <c r="L37" s="1426"/>
      <c r="M37" s="1426"/>
      <c r="N37" s="1426"/>
      <c r="O37" s="1426"/>
      <c r="P37" s="1426"/>
      <c r="Q37" s="1426"/>
      <c r="R37" s="1426"/>
      <c r="S37" s="1426"/>
      <c r="T37" s="1426"/>
      <c r="U37" s="1426"/>
      <c r="V37" s="1426"/>
      <c r="W37" s="1426"/>
      <c r="X37" s="1426"/>
      <c r="Y37" s="1426"/>
      <c r="Z37" s="1426"/>
      <c r="AA37" s="1426"/>
      <c r="AB37" s="1426"/>
      <c r="AC37" s="1426"/>
      <c r="AD37" s="1426"/>
    </row>
    <row r="38" spans="4:30" s="1221" customFormat="1" ht="15" customHeight="1">
      <c r="D38" s="1222" t="s">
        <v>3491</v>
      </c>
      <c r="I38" s="1226" t="s">
        <v>2</v>
      </c>
      <c r="J38" s="1431" t="str">
        <f>cst_wskakunin_sekkei3_JIMU_SIKAKU</f>
        <v>一級</v>
      </c>
      <c r="K38" s="1431"/>
      <c r="L38" s="1227" t="s">
        <v>3</v>
      </c>
      <c r="M38" s="1221" t="s">
        <v>3490</v>
      </c>
      <c r="Q38" s="1222" t="s">
        <v>2</v>
      </c>
      <c r="R38" s="1431" t="str">
        <f>cst_wskakunin_sekkei3_JIMU_TOUROKU_KIKAN</f>
        <v>東京都</v>
      </c>
      <c r="S38" s="1431"/>
      <c r="T38" s="1227" t="s">
        <v>3</v>
      </c>
      <c r="W38" s="1226" t="s">
        <v>3489</v>
      </c>
      <c r="X38" s="1431" t="str">
        <f>cst_wskakunin_sekkei3_JIMU_NO</f>
        <v>11111</v>
      </c>
      <c r="Y38" s="1431"/>
      <c r="Z38" s="1431"/>
      <c r="AA38" s="1226" t="s">
        <v>381</v>
      </c>
    </row>
    <row r="39" spans="4:30" s="1221" customFormat="1" ht="15" customHeight="1">
      <c r="I39" s="1426" t="str">
        <f>cst_wskakunin_sekkei3_JIMU_NAME</f>
        <v>一級建築士事務所　UHEC</v>
      </c>
      <c r="J39" s="1426"/>
      <c r="K39" s="1426"/>
      <c r="L39" s="1426"/>
      <c r="M39" s="1426"/>
      <c r="N39" s="1426"/>
      <c r="O39" s="1426"/>
      <c r="P39" s="1426"/>
      <c r="Q39" s="1426"/>
      <c r="R39" s="1426"/>
      <c r="S39" s="1426"/>
      <c r="T39" s="1426"/>
      <c r="U39" s="1426"/>
      <c r="V39" s="1426"/>
      <c r="W39" s="1426"/>
      <c r="X39" s="1426"/>
      <c r="Y39" s="1426"/>
      <c r="Z39" s="1426"/>
      <c r="AA39" s="1426"/>
      <c r="AB39" s="1426"/>
      <c r="AC39" s="1426"/>
      <c r="AD39" s="1426"/>
    </row>
    <row r="40" spans="4:30" s="1221" customFormat="1" ht="15" customHeight="1">
      <c r="D40" s="1222" t="s">
        <v>3488</v>
      </c>
      <c r="F40" s="1222"/>
      <c r="G40" s="1222"/>
      <c r="H40" s="1222"/>
      <c r="I40" s="1426" t="str">
        <f>cst_wskakunin_sekkei3_ZIP</f>
        <v>105-0001</v>
      </c>
      <c r="J40" s="1426"/>
      <c r="K40" s="1426"/>
      <c r="O40" s="1222"/>
      <c r="P40" s="1222"/>
      <c r="Q40" s="1222"/>
      <c r="R40" s="1222"/>
      <c r="S40" s="1222"/>
      <c r="T40" s="1222"/>
      <c r="U40" s="1222"/>
      <c r="V40" s="1222"/>
      <c r="W40" s="1222"/>
      <c r="X40" s="1222"/>
      <c r="Y40" s="1222"/>
      <c r="Z40" s="1222"/>
      <c r="AA40" s="1222"/>
      <c r="AB40" s="1222"/>
      <c r="AC40" s="1222"/>
      <c r="AD40" s="1222"/>
    </row>
    <row r="41" spans="4:30" s="1221" customFormat="1" ht="15" customHeight="1">
      <c r="D41" s="1221" t="s">
        <v>4039</v>
      </c>
      <c r="F41" s="1222"/>
      <c r="G41" s="1222"/>
      <c r="H41" s="1222"/>
      <c r="I41" s="1426" t="str">
        <f>cst_wskakunin_sekkei3__address</f>
        <v>東京都港区虎ノ門1-1-21</v>
      </c>
      <c r="J41" s="1426"/>
      <c r="K41" s="1426"/>
      <c r="L41" s="1426"/>
      <c r="M41" s="1426"/>
      <c r="N41" s="1426"/>
      <c r="O41" s="1426"/>
      <c r="P41" s="1426"/>
      <c r="Q41" s="1426"/>
      <c r="R41" s="1426"/>
      <c r="S41" s="1426"/>
      <c r="T41" s="1426"/>
      <c r="U41" s="1426"/>
      <c r="V41" s="1426"/>
      <c r="W41" s="1426"/>
      <c r="X41" s="1426"/>
      <c r="Y41" s="1426"/>
      <c r="Z41" s="1426"/>
      <c r="AA41" s="1426"/>
      <c r="AB41" s="1426"/>
      <c r="AC41" s="1426"/>
      <c r="AD41" s="1426"/>
    </row>
    <row r="42" spans="4:30" s="1221" customFormat="1" ht="15" customHeight="1">
      <c r="D42" s="1222" t="s">
        <v>3486</v>
      </c>
      <c r="F42" s="1222"/>
      <c r="G42" s="1222"/>
      <c r="H42" s="1222"/>
      <c r="I42" s="1426" t="str">
        <f>cst_wskakunin_sekkei3_TEL</f>
        <v>03-3504-2386</v>
      </c>
      <c r="J42" s="1426"/>
      <c r="K42" s="1426"/>
      <c r="L42" s="1426"/>
      <c r="M42" s="1426"/>
      <c r="N42" s="1426"/>
    </row>
    <row r="43" spans="4:30" s="1221" customFormat="1" ht="24" customHeight="1">
      <c r="D43" s="1222" t="s">
        <v>3789</v>
      </c>
      <c r="E43" s="1222"/>
      <c r="F43" s="1222"/>
      <c r="G43" s="1222"/>
      <c r="H43" s="1222"/>
      <c r="L43" s="1435" t="str">
        <f>cst_wskakunin_sekkei3_DOC</f>
        <v>意匠図</v>
      </c>
      <c r="M43" s="1435"/>
      <c r="N43" s="1435"/>
      <c r="O43" s="1435"/>
      <c r="P43" s="1435"/>
      <c r="Q43" s="1435"/>
      <c r="R43" s="1435"/>
      <c r="S43" s="1435"/>
      <c r="T43" s="1435"/>
      <c r="U43" s="1435"/>
      <c r="V43" s="1435"/>
      <c r="W43" s="1435"/>
      <c r="X43" s="1435"/>
      <c r="Y43" s="1435"/>
      <c r="Z43" s="1435"/>
      <c r="AA43" s="1435"/>
      <c r="AB43" s="1435"/>
      <c r="AC43" s="1435"/>
      <c r="AD43" s="1435"/>
    </row>
    <row r="44" spans="4:30" s="1221" customFormat="1" ht="15" customHeight="1">
      <c r="D44" s="1222" t="s">
        <v>4038</v>
      </c>
      <c r="F44" s="1222"/>
      <c r="G44" s="1222"/>
      <c r="H44" s="1222"/>
      <c r="I44" s="1226" t="s">
        <v>2</v>
      </c>
      <c r="J44" s="1431" t="str">
        <f>cst_wskakunin_sekkei4_SIKAKU</f>
        <v>一級</v>
      </c>
      <c r="K44" s="1431"/>
      <c r="L44" s="1227" t="s">
        <v>3</v>
      </c>
      <c r="M44" s="1221" t="s">
        <v>3494</v>
      </c>
      <c r="Q44" s="1222" t="s">
        <v>2</v>
      </c>
      <c r="R44" s="1431" t="str">
        <f>cst_wskakunin_sekkei4_TOUROKU_KIKAN</f>
        <v>国土交通大臣</v>
      </c>
      <c r="S44" s="1431"/>
      <c r="T44" s="1431"/>
      <c r="U44" s="1227" t="s">
        <v>3</v>
      </c>
      <c r="W44" s="1226" t="s">
        <v>3493</v>
      </c>
      <c r="X44" s="1431" t="str">
        <f>cst_wskakunin_sekkei4_KENTIKUSI_NO</f>
        <v>9876543</v>
      </c>
      <c r="Y44" s="1431"/>
      <c r="Z44" s="1431"/>
      <c r="AA44" s="1226" t="s">
        <v>381</v>
      </c>
    </row>
    <row r="45" spans="4:30" s="1221" customFormat="1" ht="15" customHeight="1">
      <c r="D45" s="1222" t="s">
        <v>4036</v>
      </c>
      <c r="F45" s="1222"/>
      <c r="G45" s="1222"/>
      <c r="H45" s="1222"/>
      <c r="I45" s="1426" t="str">
        <f>cst_wskakunin_sekkei4_NAME</f>
        <v>櫻井　誠一</v>
      </c>
      <c r="J45" s="1426"/>
      <c r="K45" s="1426"/>
      <c r="L45" s="1426"/>
      <c r="M45" s="1426"/>
      <c r="N45" s="1426"/>
      <c r="O45" s="1426"/>
      <c r="P45" s="1426"/>
      <c r="Q45" s="1426"/>
      <c r="R45" s="1426"/>
      <c r="S45" s="1426"/>
      <c r="T45" s="1426"/>
      <c r="U45" s="1426"/>
      <c r="V45" s="1426"/>
      <c r="W45" s="1426"/>
      <c r="X45" s="1426"/>
      <c r="Y45" s="1426"/>
      <c r="Z45" s="1426"/>
      <c r="AA45" s="1426"/>
      <c r="AB45" s="1426"/>
      <c r="AC45" s="1426"/>
      <c r="AD45" s="1426"/>
    </row>
    <row r="46" spans="4:30" s="1221" customFormat="1" ht="15" customHeight="1">
      <c r="D46" s="1222" t="s">
        <v>3491</v>
      </c>
      <c r="I46" s="1226" t="s">
        <v>2</v>
      </c>
      <c r="J46" s="1431" t="str">
        <f>cst_wskakunin_sekkei4_JIMU_SIKAKU</f>
        <v>一級</v>
      </c>
      <c r="K46" s="1431"/>
      <c r="L46" s="1227" t="s">
        <v>3</v>
      </c>
      <c r="M46" s="1221" t="s">
        <v>3490</v>
      </c>
      <c r="Q46" s="1222" t="s">
        <v>2</v>
      </c>
      <c r="R46" s="1431" t="str">
        <f>cst_wskakunin_sekkei4_JIMU_TOUROKU_KIKAN</f>
        <v>東京都</v>
      </c>
      <c r="S46" s="1431"/>
      <c r="T46" s="1227" t="s">
        <v>3</v>
      </c>
      <c r="W46" s="1226" t="s">
        <v>3489</v>
      </c>
      <c r="X46" s="1431" t="str">
        <f>cst_wskakunin_sekkei4_JIMU_NO</f>
        <v>11111</v>
      </c>
      <c r="Y46" s="1431"/>
      <c r="Z46" s="1431"/>
      <c r="AA46" s="1226" t="s">
        <v>381</v>
      </c>
    </row>
    <row r="47" spans="4:30" s="1221" customFormat="1" ht="15" customHeight="1">
      <c r="I47" s="1426" t="str">
        <f>cst_wskakunin_sekkei4_JIMU_NAME</f>
        <v>一級建築士事務所　UHEC</v>
      </c>
      <c r="J47" s="1426"/>
      <c r="K47" s="1426"/>
      <c r="L47" s="1426"/>
      <c r="M47" s="1426"/>
      <c r="N47" s="1426"/>
      <c r="O47" s="1426"/>
      <c r="P47" s="1426"/>
      <c r="Q47" s="1426"/>
      <c r="R47" s="1426"/>
      <c r="S47" s="1426"/>
      <c r="T47" s="1426"/>
      <c r="U47" s="1426"/>
      <c r="V47" s="1426"/>
      <c r="W47" s="1426"/>
      <c r="X47" s="1426"/>
      <c r="Y47" s="1426"/>
      <c r="Z47" s="1426"/>
      <c r="AA47" s="1426"/>
      <c r="AB47" s="1426"/>
      <c r="AC47" s="1426"/>
      <c r="AD47" s="1426"/>
    </row>
    <row r="48" spans="4:30" s="1221" customFormat="1" ht="15" customHeight="1">
      <c r="D48" s="1222" t="s">
        <v>3488</v>
      </c>
      <c r="F48" s="1222"/>
      <c r="G48" s="1222"/>
      <c r="H48" s="1222"/>
      <c r="I48" s="1426" t="str">
        <f>cst_wskakunin_sekkei4_ZIP</f>
        <v>105-0001</v>
      </c>
      <c r="J48" s="1426"/>
      <c r="K48" s="1426"/>
      <c r="O48" s="1222"/>
      <c r="P48" s="1223"/>
      <c r="Q48" s="1223"/>
      <c r="R48" s="1223"/>
      <c r="S48" s="1223"/>
      <c r="T48" s="1223"/>
      <c r="U48" s="1223"/>
      <c r="V48" s="1223"/>
      <c r="W48" s="1223"/>
      <c r="X48" s="1223"/>
      <c r="Y48" s="1223"/>
      <c r="Z48" s="1223"/>
      <c r="AA48" s="1223"/>
      <c r="AB48" s="1223"/>
      <c r="AC48" s="1223"/>
      <c r="AD48" s="1223"/>
    </row>
    <row r="49" spans="3:30" s="1221" customFormat="1" ht="15" customHeight="1">
      <c r="D49" s="1221" t="s">
        <v>4039</v>
      </c>
      <c r="F49" s="1222"/>
      <c r="G49" s="1222"/>
      <c r="H49" s="1222"/>
      <c r="I49" s="1426" t="str">
        <f>cst_wskakunin_sekkei4__address</f>
        <v>東京都港区虎ノ門1-1-21</v>
      </c>
      <c r="J49" s="1426"/>
      <c r="K49" s="1426"/>
      <c r="L49" s="1426"/>
      <c r="M49" s="1426"/>
      <c r="N49" s="1426"/>
      <c r="O49" s="1426"/>
      <c r="P49" s="1426"/>
      <c r="Q49" s="1426"/>
      <c r="R49" s="1426"/>
      <c r="S49" s="1426"/>
      <c r="T49" s="1426"/>
      <c r="U49" s="1426"/>
      <c r="V49" s="1426"/>
      <c r="W49" s="1426"/>
      <c r="X49" s="1426"/>
      <c r="Y49" s="1426"/>
      <c r="Z49" s="1426"/>
      <c r="AA49" s="1426"/>
      <c r="AB49" s="1426"/>
      <c r="AC49" s="1426"/>
      <c r="AD49" s="1426"/>
    </row>
    <row r="50" spans="3:30" s="1221" customFormat="1" ht="15" customHeight="1">
      <c r="D50" s="1222" t="s">
        <v>3486</v>
      </c>
      <c r="F50" s="1222"/>
      <c r="G50" s="1222"/>
      <c r="H50" s="1222"/>
      <c r="I50" s="1426" t="str">
        <f>cst_wskakunin_sekkei4_TEL</f>
        <v>03-3504-2386</v>
      </c>
      <c r="J50" s="1426"/>
      <c r="K50" s="1426"/>
      <c r="L50" s="1426"/>
      <c r="M50" s="1426"/>
      <c r="N50" s="1426"/>
      <c r="P50" s="1223"/>
      <c r="Q50" s="1223"/>
      <c r="R50" s="1223"/>
      <c r="S50" s="1223"/>
      <c r="T50" s="1223"/>
      <c r="U50" s="1223"/>
      <c r="V50" s="1223"/>
      <c r="W50" s="1223"/>
      <c r="X50" s="1223"/>
      <c r="Y50" s="1223"/>
      <c r="Z50" s="1223"/>
      <c r="AA50" s="1223"/>
      <c r="AB50" s="1223"/>
      <c r="AC50" s="1223"/>
      <c r="AD50" s="1223"/>
    </row>
    <row r="51" spans="3:30" s="1221" customFormat="1" ht="24" customHeight="1">
      <c r="D51" s="1222" t="s">
        <v>3789</v>
      </c>
      <c r="E51" s="1222"/>
      <c r="F51" s="1222"/>
      <c r="G51" s="1222"/>
      <c r="H51" s="1222"/>
      <c r="L51" s="1435" t="str">
        <f>cst_wskakunin_sekkei4_DOC</f>
        <v>構造図一式</v>
      </c>
      <c r="M51" s="1435"/>
      <c r="N51" s="1435"/>
      <c r="O51" s="1435"/>
      <c r="P51" s="1435"/>
      <c r="Q51" s="1435"/>
      <c r="R51" s="1435"/>
      <c r="S51" s="1435"/>
      <c r="T51" s="1435"/>
      <c r="U51" s="1435"/>
      <c r="V51" s="1435"/>
      <c r="W51" s="1435"/>
      <c r="X51" s="1435"/>
      <c r="Y51" s="1435"/>
      <c r="Z51" s="1435"/>
      <c r="AA51" s="1435"/>
      <c r="AB51" s="1435"/>
      <c r="AC51" s="1435"/>
      <c r="AD51" s="1435"/>
    </row>
    <row r="52" spans="3:30" s="1221" customFormat="1" ht="15" customHeight="1">
      <c r="C52" s="1221" t="s">
        <v>4042</v>
      </c>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row>
    <row r="53" spans="3:30" s="1221" customFormat="1" ht="15" customHeight="1">
      <c r="C53" s="1221" t="s">
        <v>4043</v>
      </c>
      <c r="I53" s="1222"/>
      <c r="J53" s="1222"/>
      <c r="K53" s="1222"/>
      <c r="L53" s="1222"/>
      <c r="M53" s="1222"/>
      <c r="N53" s="1222"/>
      <c r="O53" s="1222"/>
      <c r="P53" s="1222"/>
      <c r="Q53" s="1222"/>
      <c r="R53" s="1222"/>
      <c r="S53" s="1222"/>
      <c r="T53" s="1222"/>
      <c r="U53" s="1222"/>
      <c r="V53" s="1222"/>
      <c r="W53" s="1222"/>
      <c r="X53" s="1222"/>
      <c r="Y53" s="1222"/>
      <c r="Z53" s="1222"/>
      <c r="AA53" s="1222"/>
      <c r="AB53" s="1222"/>
      <c r="AC53" s="1222"/>
      <c r="AD53" s="1222"/>
    </row>
    <row r="54" spans="3:30" s="1221" customFormat="1" ht="15" customHeight="1">
      <c r="D54" s="1221" t="s">
        <v>4044</v>
      </c>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row>
    <row r="55" spans="3:30" s="1221" customFormat="1" ht="15" customHeight="1">
      <c r="D55" s="1221" t="s">
        <v>4045</v>
      </c>
      <c r="I55" s="1222"/>
      <c r="J55" s="1222"/>
      <c r="K55" s="1222"/>
      <c r="L55" s="1222"/>
      <c r="M55" s="1222"/>
      <c r="N55" s="1222"/>
      <c r="O55" s="1222"/>
      <c r="P55" s="1426" t="str">
        <f>cst_wskakunin_20kouzou101_NAME</f>
        <v>櫻井　誠一</v>
      </c>
      <c r="Q55" s="1426"/>
      <c r="R55" s="1426"/>
      <c r="S55" s="1426"/>
      <c r="T55" s="1426"/>
      <c r="U55" s="1426"/>
      <c r="V55" s="1426"/>
      <c r="W55" s="1426"/>
      <c r="X55" s="1426"/>
      <c r="Y55" s="1426"/>
      <c r="Z55" s="1426"/>
      <c r="AA55" s="1222"/>
      <c r="AB55" s="1222"/>
      <c r="AC55" s="1222"/>
      <c r="AD55" s="1222"/>
    </row>
    <row r="56" spans="3:30" s="1221" customFormat="1" ht="15" customHeight="1">
      <c r="D56" s="1222" t="s">
        <v>4046</v>
      </c>
      <c r="I56" s="1434" t="s">
        <v>4047</v>
      </c>
      <c r="J56" s="1434"/>
      <c r="K56" s="1434"/>
      <c r="L56" s="1434"/>
      <c r="M56" s="1434"/>
      <c r="N56" s="1434"/>
      <c r="O56" s="1434"/>
      <c r="P56" s="1426" t="str">
        <f>cst_wskakunin_20kouzou101_KOUZOUSEKKEI_KOUFU_NO</f>
        <v>5678</v>
      </c>
      <c r="Q56" s="1426"/>
      <c r="R56" s="1426"/>
      <c r="S56" s="1426"/>
      <c r="T56" s="1426"/>
      <c r="U56" s="1426"/>
      <c r="V56" s="1426"/>
      <c r="W56" s="1426"/>
      <c r="X56" s="1426"/>
      <c r="Y56" s="1426"/>
      <c r="Z56" s="1426"/>
      <c r="AA56" s="1226" t="s">
        <v>381</v>
      </c>
      <c r="AB56" s="1222"/>
      <c r="AC56" s="1222"/>
      <c r="AD56" s="1222"/>
    </row>
    <row r="57" spans="3:30" s="1221" customFormat="1" ht="15" customHeight="1">
      <c r="D57" s="1221" t="s">
        <v>4048</v>
      </c>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row>
    <row r="58" spans="3:30" s="1221" customFormat="1" ht="15" customHeight="1">
      <c r="D58" s="1221" t="s">
        <v>4045</v>
      </c>
      <c r="I58" s="1222"/>
      <c r="J58" s="1222"/>
      <c r="K58" s="1222"/>
      <c r="L58" s="1222"/>
      <c r="M58" s="1222"/>
      <c r="N58" s="1222"/>
      <c r="O58" s="1222"/>
      <c r="P58" s="1426" t="str">
        <f>cst_wskakunin_20kouzou301_NAME</f>
        <v>櫻井　誠一</v>
      </c>
      <c r="Q58" s="1426"/>
      <c r="R58" s="1426"/>
      <c r="S58" s="1426"/>
      <c r="T58" s="1426"/>
      <c r="U58" s="1426"/>
      <c r="V58" s="1426"/>
      <c r="W58" s="1426"/>
      <c r="X58" s="1426"/>
      <c r="Y58" s="1426"/>
      <c r="Z58" s="1426"/>
      <c r="AA58" s="1222"/>
      <c r="AB58" s="1222"/>
      <c r="AC58" s="1222"/>
      <c r="AD58" s="1222"/>
    </row>
    <row r="59" spans="3:30" s="1221" customFormat="1" ht="15" customHeight="1">
      <c r="D59" s="1222" t="s">
        <v>4046</v>
      </c>
      <c r="I59" s="1434" t="s">
        <v>4047</v>
      </c>
      <c r="J59" s="1434"/>
      <c r="K59" s="1434"/>
      <c r="L59" s="1434"/>
      <c r="M59" s="1434"/>
      <c r="N59" s="1434"/>
      <c r="O59" s="1434"/>
      <c r="P59" s="1426" t="str">
        <f>cst_wskakunin_20kouzou301_KOUZOUSEKKEI_KOUFU_NO</f>
        <v>5678</v>
      </c>
      <c r="Q59" s="1426"/>
      <c r="R59" s="1426"/>
      <c r="S59" s="1426"/>
      <c r="T59" s="1426"/>
      <c r="U59" s="1426"/>
      <c r="V59" s="1426"/>
      <c r="W59" s="1426"/>
      <c r="X59" s="1426"/>
      <c r="Y59" s="1426"/>
      <c r="Z59" s="1426"/>
      <c r="AA59" s="1226" t="s">
        <v>381</v>
      </c>
      <c r="AB59" s="1222"/>
      <c r="AC59" s="1222"/>
      <c r="AD59" s="1222"/>
    </row>
    <row r="60" spans="3:30" s="1221" customFormat="1" ht="15" customHeight="1">
      <c r="D60" s="1221" t="s">
        <v>4049</v>
      </c>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row>
    <row r="61" spans="3:30" s="1221" customFormat="1" ht="15" customHeight="1">
      <c r="D61" s="1221" t="s">
        <v>4045</v>
      </c>
      <c r="I61" s="1222"/>
      <c r="J61" s="1222"/>
      <c r="K61" s="1222"/>
      <c r="L61" s="1222"/>
      <c r="M61" s="1222"/>
      <c r="N61" s="1222"/>
      <c r="O61" s="1222"/>
      <c r="P61" s="1426" t="str">
        <f>cst_wskakunin_20setubi101_NAME</f>
        <v>市川　治</v>
      </c>
      <c r="Q61" s="1426"/>
      <c r="R61" s="1426"/>
      <c r="S61" s="1426"/>
      <c r="T61" s="1426"/>
      <c r="U61" s="1426"/>
      <c r="V61" s="1426"/>
      <c r="W61" s="1426"/>
      <c r="X61" s="1426"/>
      <c r="Y61" s="1426"/>
      <c r="Z61" s="1426"/>
      <c r="AA61" s="1222"/>
      <c r="AB61" s="1222"/>
      <c r="AC61" s="1222"/>
      <c r="AD61" s="1222"/>
    </row>
    <row r="62" spans="3:30" s="1221" customFormat="1" ht="15" customHeight="1">
      <c r="D62" s="1222" t="s">
        <v>4046</v>
      </c>
      <c r="I62" s="1434" t="s">
        <v>4050</v>
      </c>
      <c r="J62" s="1434"/>
      <c r="K62" s="1434"/>
      <c r="L62" s="1434"/>
      <c r="M62" s="1434"/>
      <c r="N62" s="1434"/>
      <c r="O62" s="1434"/>
      <c r="P62" s="1426" t="str">
        <f>cst_wskakunin_20setubi101_SETUBISEKKEI_KOUFU_NO</f>
        <v>5555</v>
      </c>
      <c r="Q62" s="1426"/>
      <c r="R62" s="1426"/>
      <c r="S62" s="1426"/>
      <c r="T62" s="1426"/>
      <c r="U62" s="1426"/>
      <c r="V62" s="1426"/>
      <c r="W62" s="1426"/>
      <c r="X62" s="1426"/>
      <c r="Y62" s="1426"/>
      <c r="Z62" s="1426"/>
      <c r="AA62" s="1226" t="s">
        <v>381</v>
      </c>
      <c r="AB62" s="1222"/>
      <c r="AC62" s="1222"/>
      <c r="AD62" s="1222"/>
    </row>
    <row r="63" spans="3:30" s="1221" customFormat="1" ht="15" customHeight="1">
      <c r="D63" s="1221" t="s">
        <v>4045</v>
      </c>
      <c r="I63" s="1222"/>
      <c r="J63" s="1222"/>
      <c r="K63" s="1222"/>
      <c r="L63" s="1222"/>
      <c r="M63" s="1222"/>
      <c r="N63" s="1222"/>
      <c r="O63" s="1222"/>
      <c r="P63" s="1426" t="str">
        <f>cst_wskakunin_20setubi102_NAME</f>
        <v/>
      </c>
      <c r="Q63" s="1426"/>
      <c r="R63" s="1426"/>
      <c r="S63" s="1426"/>
      <c r="T63" s="1426"/>
      <c r="U63" s="1426"/>
      <c r="V63" s="1426"/>
      <c r="W63" s="1426"/>
      <c r="X63" s="1426"/>
      <c r="Y63" s="1426"/>
      <c r="Z63" s="1426"/>
      <c r="AA63" s="1222"/>
      <c r="AB63" s="1222"/>
      <c r="AC63" s="1222"/>
      <c r="AD63" s="1222"/>
    </row>
    <row r="64" spans="3:30" s="1221" customFormat="1" ht="15" customHeight="1">
      <c r="D64" s="1222" t="s">
        <v>4046</v>
      </c>
      <c r="I64" s="1434" t="s">
        <v>4050</v>
      </c>
      <c r="J64" s="1434"/>
      <c r="K64" s="1434"/>
      <c r="L64" s="1434"/>
      <c r="M64" s="1434"/>
      <c r="N64" s="1434"/>
      <c r="O64" s="1434"/>
      <c r="P64" s="1426" t="str">
        <f>cst_wskakunin_20setubi102_SETUBISEKKEI_KOUFU_NO</f>
        <v/>
      </c>
      <c r="Q64" s="1426"/>
      <c r="R64" s="1426"/>
      <c r="S64" s="1426"/>
      <c r="T64" s="1426"/>
      <c r="U64" s="1426"/>
      <c r="V64" s="1426"/>
      <c r="W64" s="1426"/>
      <c r="X64" s="1426"/>
      <c r="Y64" s="1426"/>
      <c r="Z64" s="1426"/>
      <c r="AA64" s="1226" t="s">
        <v>381</v>
      </c>
      <c r="AB64" s="1222"/>
      <c r="AC64" s="1222"/>
      <c r="AD64" s="1222"/>
    </row>
    <row r="65" spans="2:30" s="1221" customFormat="1" ht="15" customHeight="1">
      <c r="D65" s="1221" t="s">
        <v>4045</v>
      </c>
      <c r="I65" s="1222"/>
      <c r="J65" s="1222"/>
      <c r="K65" s="1222"/>
      <c r="L65" s="1222"/>
      <c r="M65" s="1222"/>
      <c r="N65" s="1222"/>
      <c r="O65" s="1222"/>
      <c r="P65" s="1426" t="str">
        <f>cst_wskakunin_20setubi103_NAME</f>
        <v/>
      </c>
      <c r="Q65" s="1426"/>
      <c r="R65" s="1426"/>
      <c r="S65" s="1426"/>
      <c r="T65" s="1426"/>
      <c r="U65" s="1426"/>
      <c r="V65" s="1426"/>
      <c r="W65" s="1426"/>
      <c r="X65" s="1426"/>
      <c r="Y65" s="1426"/>
      <c r="Z65" s="1426"/>
      <c r="AA65" s="1222"/>
      <c r="AB65" s="1222"/>
      <c r="AC65" s="1222"/>
      <c r="AD65" s="1222"/>
    </row>
    <row r="66" spans="2:30" s="1221" customFormat="1" ht="15" customHeight="1">
      <c r="D66" s="1222" t="s">
        <v>4046</v>
      </c>
      <c r="I66" s="1434" t="s">
        <v>4050</v>
      </c>
      <c r="J66" s="1434"/>
      <c r="K66" s="1434"/>
      <c r="L66" s="1434"/>
      <c r="M66" s="1434"/>
      <c r="N66" s="1434"/>
      <c r="O66" s="1434"/>
      <c r="P66" s="1426" t="str">
        <f>cst_wskakunin_20setubi103_SETUBISEKKEI_KOUFU_NO</f>
        <v/>
      </c>
      <c r="Q66" s="1426"/>
      <c r="R66" s="1426"/>
      <c r="S66" s="1426"/>
      <c r="T66" s="1426"/>
      <c r="U66" s="1426"/>
      <c r="V66" s="1426"/>
      <c r="W66" s="1426"/>
      <c r="X66" s="1426"/>
      <c r="Y66" s="1426"/>
      <c r="Z66" s="1426"/>
      <c r="AA66" s="1226" t="s">
        <v>381</v>
      </c>
      <c r="AB66" s="1222"/>
      <c r="AC66" s="1222"/>
      <c r="AD66" s="1222"/>
    </row>
    <row r="67" spans="2:30" s="1221" customFormat="1" ht="15" customHeight="1">
      <c r="D67" s="1221" t="s">
        <v>4051</v>
      </c>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row>
    <row r="68" spans="2:30" s="1221" customFormat="1" ht="15" customHeight="1">
      <c r="D68" s="1221" t="s">
        <v>4045</v>
      </c>
      <c r="I68" s="1222"/>
      <c r="J68" s="1222"/>
      <c r="K68" s="1222"/>
      <c r="L68" s="1222"/>
      <c r="M68" s="1222"/>
      <c r="N68" s="1222"/>
      <c r="O68" s="1222"/>
      <c r="P68" s="1426" t="str">
        <f>cst_wskakunin_20setubi301_NAME</f>
        <v>市川　治</v>
      </c>
      <c r="Q68" s="1426"/>
      <c r="R68" s="1426"/>
      <c r="S68" s="1426"/>
      <c r="T68" s="1426"/>
      <c r="U68" s="1426"/>
      <c r="V68" s="1426"/>
      <c r="W68" s="1426"/>
      <c r="X68" s="1426"/>
      <c r="Y68" s="1426"/>
      <c r="Z68" s="1426"/>
      <c r="AA68" s="1222"/>
      <c r="AB68" s="1222"/>
      <c r="AC68" s="1222"/>
      <c r="AD68" s="1222"/>
    </row>
    <row r="69" spans="2:30" s="1221" customFormat="1" ht="15" customHeight="1">
      <c r="D69" s="1222" t="s">
        <v>4046</v>
      </c>
      <c r="I69" s="1434" t="s">
        <v>4050</v>
      </c>
      <c r="J69" s="1434"/>
      <c r="K69" s="1434"/>
      <c r="L69" s="1434"/>
      <c r="M69" s="1434"/>
      <c r="N69" s="1434"/>
      <c r="O69" s="1434"/>
      <c r="P69" s="1426" t="str">
        <f>cst_wskakunin_20setubi301_SETUBISEKKEI_KOUFU_NO</f>
        <v>5555</v>
      </c>
      <c r="Q69" s="1426"/>
      <c r="R69" s="1426"/>
      <c r="S69" s="1426"/>
      <c r="T69" s="1426"/>
      <c r="U69" s="1426"/>
      <c r="V69" s="1426"/>
      <c r="W69" s="1426"/>
      <c r="X69" s="1426"/>
      <c r="Y69" s="1426"/>
      <c r="Z69" s="1426"/>
      <c r="AA69" s="1226" t="s">
        <v>381</v>
      </c>
      <c r="AB69" s="1222"/>
      <c r="AC69" s="1222"/>
      <c r="AD69" s="1222"/>
    </row>
    <row r="70" spans="2:30" s="1221" customFormat="1" ht="15" customHeight="1">
      <c r="D70" s="1221" t="s">
        <v>4045</v>
      </c>
      <c r="I70" s="1222"/>
      <c r="J70" s="1222"/>
      <c r="K70" s="1222"/>
      <c r="L70" s="1222"/>
      <c r="M70" s="1222"/>
      <c r="N70" s="1222"/>
      <c r="O70" s="1222"/>
      <c r="P70" s="1426" t="str">
        <f>cst_wskakunin_20setubi302_NAME</f>
        <v/>
      </c>
      <c r="Q70" s="1426"/>
      <c r="R70" s="1426"/>
      <c r="S70" s="1426"/>
      <c r="T70" s="1426"/>
      <c r="U70" s="1426"/>
      <c r="V70" s="1426"/>
      <c r="W70" s="1426"/>
      <c r="X70" s="1426"/>
      <c r="Y70" s="1426"/>
      <c r="Z70" s="1426"/>
      <c r="AA70" s="1222"/>
      <c r="AB70" s="1222"/>
      <c r="AC70" s="1222"/>
      <c r="AD70" s="1222"/>
    </row>
    <row r="71" spans="2:30" s="1221" customFormat="1" ht="15" customHeight="1">
      <c r="D71" s="1222" t="s">
        <v>4046</v>
      </c>
      <c r="I71" s="1434" t="s">
        <v>4050</v>
      </c>
      <c r="J71" s="1434"/>
      <c r="K71" s="1434"/>
      <c r="L71" s="1434"/>
      <c r="M71" s="1434"/>
      <c r="N71" s="1434"/>
      <c r="O71" s="1434"/>
      <c r="P71" s="1426" t="str">
        <f>cst_wskakunin_20setubi302_SETUBISEKKEI_KOUFU_NO</f>
        <v/>
      </c>
      <c r="Q71" s="1426"/>
      <c r="R71" s="1426"/>
      <c r="S71" s="1426"/>
      <c r="T71" s="1426"/>
      <c r="U71" s="1426"/>
      <c r="V71" s="1426"/>
      <c r="W71" s="1426"/>
      <c r="X71" s="1426"/>
      <c r="Y71" s="1426"/>
      <c r="Z71" s="1426"/>
      <c r="AA71" s="1226" t="s">
        <v>381</v>
      </c>
      <c r="AB71" s="1222"/>
      <c r="AC71" s="1222"/>
      <c r="AD71" s="1222"/>
    </row>
    <row r="72" spans="2:30" s="1221" customFormat="1" ht="15" customHeight="1">
      <c r="D72" s="1221" t="s">
        <v>4045</v>
      </c>
      <c r="I72" s="1222"/>
      <c r="J72" s="1222"/>
      <c r="K72" s="1222"/>
      <c r="L72" s="1222"/>
      <c r="M72" s="1222"/>
      <c r="N72" s="1222"/>
      <c r="O72" s="1222"/>
      <c r="P72" s="1426" t="str">
        <f>cst_wskakunin_20setubi303_NAME</f>
        <v/>
      </c>
      <c r="Q72" s="1426"/>
      <c r="R72" s="1426"/>
      <c r="S72" s="1426"/>
      <c r="T72" s="1426"/>
      <c r="U72" s="1426"/>
      <c r="V72" s="1426"/>
      <c r="W72" s="1426"/>
      <c r="X72" s="1426"/>
      <c r="Y72" s="1426"/>
      <c r="Z72" s="1426"/>
      <c r="AA72" s="1222"/>
      <c r="AB72" s="1222"/>
      <c r="AC72" s="1222"/>
      <c r="AD72" s="1222"/>
    </row>
    <row r="73" spans="2:30" s="1221" customFormat="1" ht="15" customHeight="1">
      <c r="B73" s="1225"/>
      <c r="C73" s="1225"/>
      <c r="D73" s="1228" t="s">
        <v>4046</v>
      </c>
      <c r="E73" s="1225"/>
      <c r="F73" s="1225"/>
      <c r="G73" s="1225"/>
      <c r="H73" s="1225"/>
      <c r="I73" s="1433" t="s">
        <v>4050</v>
      </c>
      <c r="J73" s="1433"/>
      <c r="K73" s="1433"/>
      <c r="L73" s="1433"/>
      <c r="M73" s="1433"/>
      <c r="N73" s="1433"/>
      <c r="O73" s="1433"/>
      <c r="P73" s="1427" t="str">
        <f>cst_wskakunin_20setubi303_SETUBISEKKEI_KOUFU_NO</f>
        <v/>
      </c>
      <c r="Q73" s="1427"/>
      <c r="R73" s="1427"/>
      <c r="S73" s="1427"/>
      <c r="T73" s="1427"/>
      <c r="U73" s="1427"/>
      <c r="V73" s="1427"/>
      <c r="W73" s="1427"/>
      <c r="X73" s="1427"/>
      <c r="Y73" s="1427"/>
      <c r="Z73" s="1427"/>
      <c r="AA73" s="1230" t="s">
        <v>381</v>
      </c>
      <c r="AB73" s="1228"/>
      <c r="AC73" s="1228"/>
      <c r="AD73" s="1228"/>
    </row>
    <row r="74" spans="2:30" ht="15" customHeight="1">
      <c r="C74" s="1220" t="s">
        <v>554</v>
      </c>
    </row>
    <row r="75" spans="2:30" ht="15" customHeight="1">
      <c r="C75" s="1219" t="s">
        <v>4052</v>
      </c>
    </row>
    <row r="76" spans="2:30" s="1221" customFormat="1" ht="15" customHeight="1">
      <c r="D76" s="1222" t="s">
        <v>4045</v>
      </c>
      <c r="F76" s="1222"/>
      <c r="G76" s="1222"/>
      <c r="H76" s="1222"/>
      <c r="I76" s="1426" t="str">
        <f>cst_wskakunin_iken1_NAME</f>
        <v/>
      </c>
      <c r="J76" s="1426"/>
      <c r="K76" s="1426"/>
      <c r="L76" s="1426"/>
      <c r="M76" s="1426"/>
      <c r="N76" s="1426"/>
      <c r="O76" s="1426"/>
      <c r="P76" s="1426"/>
      <c r="Q76" s="1426"/>
      <c r="R76" s="1426"/>
      <c r="S76" s="1426"/>
      <c r="T76" s="1426"/>
      <c r="U76" s="1426"/>
      <c r="V76" s="1426"/>
      <c r="W76" s="1426"/>
      <c r="X76" s="1426"/>
      <c r="Y76" s="1426"/>
      <c r="Z76" s="1426"/>
      <c r="AA76" s="1426"/>
      <c r="AB76" s="1426"/>
      <c r="AC76" s="1426"/>
      <c r="AD76" s="1426"/>
    </row>
    <row r="77" spans="2:30" s="1221" customFormat="1" ht="15" customHeight="1">
      <c r="D77" s="1222" t="s">
        <v>4053</v>
      </c>
      <c r="E77" s="1222"/>
      <c r="F77" s="1222"/>
      <c r="G77" s="1222"/>
      <c r="H77" s="1222"/>
      <c r="I77" s="1426" t="str">
        <f>cst_wskakunin_iken1_JIMU_NAME</f>
        <v/>
      </c>
      <c r="J77" s="1426"/>
      <c r="K77" s="1426"/>
      <c r="L77" s="1426"/>
      <c r="M77" s="1426"/>
      <c r="N77" s="1426"/>
      <c r="O77" s="1426"/>
      <c r="P77" s="1426"/>
      <c r="Q77" s="1426"/>
      <c r="R77" s="1426"/>
      <c r="S77" s="1426"/>
      <c r="T77" s="1426"/>
      <c r="U77" s="1426"/>
      <c r="V77" s="1426"/>
      <c r="W77" s="1426"/>
      <c r="X77" s="1426"/>
      <c r="Y77" s="1426"/>
      <c r="Z77" s="1426"/>
      <c r="AA77" s="1426"/>
      <c r="AB77" s="1426"/>
      <c r="AC77" s="1426"/>
      <c r="AD77" s="1426"/>
    </row>
    <row r="78" spans="2:30" s="1221" customFormat="1" ht="15" customHeight="1">
      <c r="D78" s="1222" t="s">
        <v>553</v>
      </c>
      <c r="I78" s="1426" t="str">
        <f>cst_wskakunin_iken1_ZIP</f>
        <v/>
      </c>
      <c r="J78" s="1426"/>
      <c r="K78" s="1426"/>
    </row>
    <row r="79" spans="2:30" s="1221" customFormat="1" ht="15" customHeight="1">
      <c r="D79" s="1221" t="s">
        <v>4054</v>
      </c>
      <c r="I79" s="1426" t="str">
        <f>cst_wskakunin_iken1__address</f>
        <v/>
      </c>
      <c r="J79" s="1426"/>
      <c r="K79" s="1426"/>
      <c r="L79" s="1426"/>
      <c r="M79" s="1426"/>
      <c r="N79" s="1426"/>
      <c r="O79" s="1426"/>
      <c r="P79" s="1426"/>
      <c r="Q79" s="1426"/>
      <c r="R79" s="1426"/>
      <c r="S79" s="1426"/>
      <c r="T79" s="1426"/>
      <c r="U79" s="1426"/>
      <c r="V79" s="1426"/>
      <c r="W79" s="1426"/>
      <c r="X79" s="1426"/>
      <c r="Y79" s="1426"/>
      <c r="Z79" s="1426"/>
      <c r="AA79" s="1426"/>
      <c r="AB79" s="1426"/>
      <c r="AC79" s="1426"/>
      <c r="AD79" s="1426"/>
    </row>
    <row r="80" spans="2:30" s="1221" customFormat="1" ht="15" customHeight="1">
      <c r="D80" s="1222" t="s">
        <v>555</v>
      </c>
      <c r="F80" s="1222"/>
      <c r="G80" s="1222"/>
      <c r="H80" s="1222"/>
      <c r="I80" s="1426" t="str">
        <f>cst_wskakunin_iken1_TEL</f>
        <v/>
      </c>
      <c r="J80" s="1426"/>
      <c r="K80" s="1426"/>
      <c r="L80" s="1426"/>
      <c r="M80" s="1426"/>
      <c r="N80" s="1426"/>
    </row>
    <row r="81" spans="3:30" s="1221" customFormat="1" ht="15" customHeight="1">
      <c r="D81" s="1222" t="s">
        <v>556</v>
      </c>
      <c r="F81" s="1222"/>
      <c r="G81" s="1222"/>
      <c r="H81" s="1222"/>
      <c r="I81" s="1426" t="str">
        <f>cst_wskakunin_iken1_IKEN_NO</f>
        <v/>
      </c>
      <c r="J81" s="1426"/>
      <c r="K81" s="1426"/>
      <c r="L81" s="1426"/>
      <c r="M81" s="1426"/>
      <c r="N81" s="1426"/>
      <c r="O81" s="1426"/>
      <c r="P81" s="1426"/>
      <c r="Q81" s="1426"/>
      <c r="R81" s="1426"/>
      <c r="S81" s="1426"/>
      <c r="T81" s="1426"/>
      <c r="U81" s="1426"/>
      <c r="V81" s="1426"/>
      <c r="W81" s="1426"/>
      <c r="X81" s="1426"/>
      <c r="Y81" s="1426"/>
      <c r="Z81" s="1426"/>
      <c r="AA81" s="1426"/>
      <c r="AB81" s="1426"/>
      <c r="AC81" s="1426"/>
      <c r="AD81" s="1426"/>
    </row>
    <row r="82" spans="3:30" ht="15" customHeight="1">
      <c r="D82" s="1219" t="s">
        <v>557</v>
      </c>
      <c r="K82" s="1425" t="str">
        <f>cst_wskakunin_iken1_DOC</f>
        <v/>
      </c>
      <c r="L82" s="1425"/>
      <c r="M82" s="1425"/>
      <c r="N82" s="1425"/>
      <c r="O82" s="1425"/>
      <c r="P82" s="1425"/>
      <c r="Q82" s="1425"/>
      <c r="R82" s="1425"/>
      <c r="S82" s="1425"/>
      <c r="T82" s="1425"/>
      <c r="U82" s="1425"/>
      <c r="V82" s="1425"/>
      <c r="W82" s="1425"/>
      <c r="X82" s="1425"/>
      <c r="Y82" s="1425"/>
      <c r="Z82" s="1425"/>
      <c r="AA82" s="1425"/>
      <c r="AB82" s="1425"/>
      <c r="AC82" s="1425"/>
      <c r="AD82" s="1425"/>
    </row>
    <row r="83" spans="3:30" ht="15" customHeight="1">
      <c r="C83" s="1219" t="s">
        <v>4055</v>
      </c>
    </row>
    <row r="84" spans="3:30" s="1221" customFormat="1" ht="15" customHeight="1">
      <c r="D84" s="1222" t="s">
        <v>4045</v>
      </c>
      <c r="F84" s="1222"/>
      <c r="G84" s="1222"/>
      <c r="H84" s="1222"/>
      <c r="I84" s="1426" t="str">
        <f>cst_wskakunin_iken2_NAME</f>
        <v/>
      </c>
      <c r="J84" s="1426"/>
      <c r="K84" s="1426"/>
      <c r="L84" s="1426"/>
      <c r="M84" s="1426"/>
      <c r="N84" s="1426"/>
      <c r="O84" s="1426"/>
      <c r="P84" s="1426"/>
      <c r="Q84" s="1426"/>
      <c r="R84" s="1426"/>
      <c r="S84" s="1426"/>
      <c r="T84" s="1426"/>
      <c r="U84" s="1426"/>
      <c r="V84" s="1426"/>
      <c r="W84" s="1426"/>
      <c r="X84" s="1426"/>
      <c r="Y84" s="1426"/>
      <c r="Z84" s="1426"/>
      <c r="AA84" s="1426"/>
      <c r="AB84" s="1426"/>
      <c r="AC84" s="1426"/>
      <c r="AD84" s="1426"/>
    </row>
    <row r="85" spans="3:30" s="1221" customFormat="1" ht="15" customHeight="1">
      <c r="D85" s="1222" t="s">
        <v>4053</v>
      </c>
      <c r="E85" s="1222"/>
      <c r="F85" s="1222"/>
      <c r="G85" s="1222"/>
      <c r="H85" s="1222"/>
      <c r="I85" s="1426" t="str">
        <f>cst_wskakunin_iken2_JIMU_NAME</f>
        <v/>
      </c>
      <c r="J85" s="1426"/>
      <c r="K85" s="1426"/>
      <c r="L85" s="1426"/>
      <c r="M85" s="1426"/>
      <c r="N85" s="1426"/>
      <c r="O85" s="1426"/>
      <c r="P85" s="1426"/>
      <c r="Q85" s="1426"/>
      <c r="R85" s="1426"/>
      <c r="S85" s="1426"/>
      <c r="T85" s="1426"/>
      <c r="U85" s="1426"/>
      <c r="V85" s="1426"/>
      <c r="W85" s="1426"/>
      <c r="X85" s="1426"/>
      <c r="Y85" s="1426"/>
      <c r="Z85" s="1426"/>
      <c r="AA85" s="1426"/>
      <c r="AB85" s="1426"/>
      <c r="AC85" s="1426"/>
      <c r="AD85" s="1426"/>
    </row>
    <row r="86" spans="3:30" s="1221" customFormat="1" ht="15" customHeight="1">
      <c r="D86" s="1222" t="s">
        <v>553</v>
      </c>
      <c r="I86" s="1426" t="str">
        <f>cst_wskakunin_iken2_ZIP</f>
        <v/>
      </c>
      <c r="J86" s="1426"/>
      <c r="K86" s="1426"/>
    </row>
    <row r="87" spans="3:30" s="1221" customFormat="1" ht="15" customHeight="1">
      <c r="D87" s="1221" t="s">
        <v>4054</v>
      </c>
      <c r="I87" s="1426" t="str">
        <f>cst_wskakunin_iken2__address</f>
        <v/>
      </c>
      <c r="J87" s="1426"/>
      <c r="K87" s="1426"/>
      <c r="L87" s="1426"/>
      <c r="M87" s="1426"/>
      <c r="N87" s="1426"/>
      <c r="O87" s="1426"/>
      <c r="P87" s="1426"/>
      <c r="Q87" s="1426"/>
      <c r="R87" s="1426"/>
      <c r="S87" s="1426"/>
      <c r="T87" s="1426"/>
      <c r="U87" s="1426"/>
      <c r="V87" s="1426"/>
      <c r="W87" s="1426"/>
      <c r="X87" s="1426"/>
      <c r="Y87" s="1426"/>
      <c r="Z87" s="1426"/>
      <c r="AA87" s="1426"/>
      <c r="AB87" s="1426"/>
      <c r="AC87" s="1426"/>
      <c r="AD87" s="1426"/>
    </row>
    <row r="88" spans="3:30" s="1221" customFormat="1" ht="15" customHeight="1">
      <c r="D88" s="1222" t="s">
        <v>555</v>
      </c>
      <c r="F88" s="1222"/>
      <c r="G88" s="1222"/>
      <c r="H88" s="1222"/>
      <c r="I88" s="1426" t="str">
        <f>cst_wskakunin_iken2_TEL</f>
        <v/>
      </c>
      <c r="J88" s="1426"/>
      <c r="K88" s="1426"/>
      <c r="L88" s="1426"/>
      <c r="M88" s="1426"/>
      <c r="N88" s="1426"/>
    </row>
    <row r="89" spans="3:30" s="1221" customFormat="1" ht="15" customHeight="1">
      <c r="D89" s="1222" t="s">
        <v>556</v>
      </c>
      <c r="F89" s="1222"/>
      <c r="G89" s="1222"/>
      <c r="H89" s="1222"/>
      <c r="I89" s="1426" t="str">
        <f>cst_wskakunin_iken2_IKEN_NO</f>
        <v/>
      </c>
      <c r="J89" s="1426"/>
      <c r="K89" s="1426"/>
      <c r="L89" s="1426"/>
      <c r="M89" s="1426"/>
      <c r="N89" s="1426"/>
      <c r="O89" s="1426"/>
      <c r="P89" s="1426"/>
      <c r="Q89" s="1426"/>
      <c r="R89" s="1426"/>
      <c r="S89" s="1426"/>
      <c r="T89" s="1426"/>
      <c r="U89" s="1426"/>
      <c r="V89" s="1426"/>
      <c r="W89" s="1426"/>
      <c r="X89" s="1426"/>
      <c r="Y89" s="1426"/>
      <c r="Z89" s="1426"/>
      <c r="AA89" s="1426"/>
      <c r="AB89" s="1426"/>
      <c r="AC89" s="1426"/>
      <c r="AD89" s="1426"/>
    </row>
    <row r="90" spans="3:30" ht="15" customHeight="1">
      <c r="D90" s="1219" t="s">
        <v>557</v>
      </c>
      <c r="K90" s="1425" t="str">
        <f>cst_wskakunin_iken2_DOC</f>
        <v/>
      </c>
      <c r="L90" s="1425"/>
      <c r="M90" s="1425"/>
      <c r="N90" s="1425"/>
      <c r="O90" s="1425"/>
      <c r="P90" s="1425"/>
      <c r="Q90" s="1425"/>
      <c r="R90" s="1425"/>
      <c r="S90" s="1425"/>
      <c r="T90" s="1425"/>
      <c r="U90" s="1425"/>
      <c r="V90" s="1425"/>
      <c r="W90" s="1425"/>
      <c r="X90" s="1425"/>
      <c r="Y90" s="1425"/>
      <c r="Z90" s="1425"/>
      <c r="AA90" s="1425"/>
      <c r="AB90" s="1425"/>
      <c r="AC90" s="1425"/>
      <c r="AD90" s="1425"/>
    </row>
    <row r="91" spans="3:30" s="1221" customFormat="1" ht="15" customHeight="1">
      <c r="D91" s="1222" t="s">
        <v>4045</v>
      </c>
      <c r="F91" s="1222"/>
      <c r="G91" s="1222"/>
      <c r="H91" s="1222"/>
      <c r="I91" s="1426" t="str">
        <f>cst_wskakunin_iken3_NAME</f>
        <v/>
      </c>
      <c r="J91" s="1426"/>
      <c r="K91" s="1426"/>
      <c r="L91" s="1426"/>
      <c r="M91" s="1426"/>
      <c r="N91" s="1426"/>
      <c r="O91" s="1426"/>
      <c r="P91" s="1426"/>
      <c r="Q91" s="1426"/>
      <c r="R91" s="1426"/>
      <c r="S91" s="1426"/>
      <c r="T91" s="1426"/>
      <c r="U91" s="1426"/>
      <c r="V91" s="1426"/>
      <c r="W91" s="1426"/>
      <c r="X91" s="1426"/>
      <c r="Y91" s="1426"/>
      <c r="Z91" s="1426"/>
      <c r="AA91" s="1426"/>
      <c r="AB91" s="1426"/>
      <c r="AC91" s="1426"/>
      <c r="AD91" s="1426"/>
    </row>
    <row r="92" spans="3:30" s="1221" customFormat="1" ht="15" customHeight="1">
      <c r="D92" s="1222" t="s">
        <v>4053</v>
      </c>
      <c r="E92" s="1222"/>
      <c r="F92" s="1222"/>
      <c r="G92" s="1222"/>
      <c r="H92" s="1222"/>
      <c r="I92" s="1426" t="str">
        <f>cst_wskakunin_iken3_JIMU_NAME</f>
        <v/>
      </c>
      <c r="J92" s="1426"/>
      <c r="K92" s="1426"/>
      <c r="L92" s="1426"/>
      <c r="M92" s="1426"/>
      <c r="N92" s="1426"/>
      <c r="O92" s="1426"/>
      <c r="P92" s="1426"/>
      <c r="Q92" s="1426"/>
      <c r="R92" s="1426"/>
      <c r="S92" s="1426"/>
      <c r="T92" s="1426"/>
      <c r="U92" s="1426"/>
      <c r="V92" s="1426"/>
      <c r="W92" s="1426"/>
      <c r="X92" s="1426"/>
      <c r="Y92" s="1426"/>
      <c r="Z92" s="1426"/>
      <c r="AA92" s="1426"/>
      <c r="AB92" s="1426"/>
      <c r="AC92" s="1426"/>
      <c r="AD92" s="1426"/>
    </row>
    <row r="93" spans="3:30" s="1221" customFormat="1" ht="15" customHeight="1">
      <c r="D93" s="1222" t="s">
        <v>553</v>
      </c>
      <c r="I93" s="1426" t="str">
        <f>cst_wskakunin_iken3_ZIP</f>
        <v/>
      </c>
      <c r="J93" s="1426"/>
      <c r="K93" s="1426"/>
    </row>
    <row r="94" spans="3:30" s="1221" customFormat="1" ht="15" customHeight="1">
      <c r="D94" s="1221" t="s">
        <v>4054</v>
      </c>
      <c r="I94" s="1426" t="str">
        <f>cst_wskakunin_iken3__address</f>
        <v/>
      </c>
      <c r="J94" s="1426"/>
      <c r="K94" s="1426"/>
      <c r="L94" s="1426"/>
      <c r="M94" s="1426"/>
      <c r="N94" s="1426"/>
      <c r="O94" s="1426"/>
      <c r="P94" s="1426"/>
      <c r="Q94" s="1426"/>
      <c r="R94" s="1426"/>
      <c r="S94" s="1426"/>
      <c r="T94" s="1426"/>
      <c r="U94" s="1426"/>
      <c r="V94" s="1426"/>
      <c r="W94" s="1426"/>
      <c r="X94" s="1426"/>
      <c r="Y94" s="1426"/>
      <c r="Z94" s="1426"/>
      <c r="AA94" s="1426"/>
      <c r="AB94" s="1426"/>
      <c r="AC94" s="1426"/>
      <c r="AD94" s="1426"/>
    </row>
    <row r="95" spans="3:30" s="1221" customFormat="1" ht="15" customHeight="1">
      <c r="D95" s="1222" t="s">
        <v>555</v>
      </c>
      <c r="F95" s="1222"/>
      <c r="G95" s="1222"/>
      <c r="H95" s="1222"/>
      <c r="I95" s="1426" t="str">
        <f>cst_wskakunin_iken3_TEL</f>
        <v/>
      </c>
      <c r="J95" s="1426"/>
      <c r="K95" s="1426"/>
      <c r="L95" s="1426"/>
      <c r="M95" s="1426"/>
      <c r="N95" s="1426"/>
    </row>
    <row r="96" spans="3:30" s="1221" customFormat="1" ht="15" customHeight="1">
      <c r="D96" s="1222" t="s">
        <v>556</v>
      </c>
      <c r="F96" s="1222"/>
      <c r="G96" s="1222"/>
      <c r="H96" s="1222"/>
      <c r="I96" s="1426" t="str">
        <f>cst_wskakunin_iken3_IKEN_NO</f>
        <v/>
      </c>
      <c r="J96" s="1426"/>
      <c r="K96" s="1426"/>
      <c r="L96" s="1426"/>
      <c r="M96" s="1426"/>
      <c r="N96" s="1426"/>
      <c r="O96" s="1426"/>
      <c r="P96" s="1426"/>
      <c r="Q96" s="1426"/>
      <c r="R96" s="1426"/>
      <c r="S96" s="1426"/>
      <c r="T96" s="1426"/>
      <c r="U96" s="1426"/>
      <c r="V96" s="1426"/>
      <c r="W96" s="1426"/>
      <c r="X96" s="1426"/>
      <c r="Y96" s="1426"/>
      <c r="Z96" s="1426"/>
      <c r="AA96" s="1426"/>
      <c r="AB96" s="1426"/>
      <c r="AC96" s="1426"/>
      <c r="AD96" s="1426"/>
    </row>
    <row r="97" spans="2:30" ht="15" customHeight="1">
      <c r="D97" s="1219" t="s">
        <v>557</v>
      </c>
      <c r="K97" s="1425" t="str">
        <f>cst_wskakunin_iken3_DOC</f>
        <v/>
      </c>
      <c r="L97" s="1425"/>
      <c r="M97" s="1425"/>
      <c r="N97" s="1425"/>
      <c r="O97" s="1425"/>
      <c r="P97" s="1425"/>
      <c r="Q97" s="1425"/>
      <c r="R97" s="1425"/>
      <c r="S97" s="1425"/>
      <c r="T97" s="1425"/>
      <c r="U97" s="1425"/>
      <c r="V97" s="1425"/>
      <c r="W97" s="1425"/>
      <c r="X97" s="1425"/>
      <c r="Y97" s="1425"/>
      <c r="Z97" s="1425"/>
      <c r="AA97" s="1425"/>
      <c r="AB97" s="1425"/>
      <c r="AC97" s="1425"/>
      <c r="AD97" s="1425"/>
    </row>
    <row r="98" spans="2:30" s="1221" customFormat="1" ht="15" customHeight="1">
      <c r="D98" s="1222" t="s">
        <v>4045</v>
      </c>
      <c r="F98" s="1222"/>
      <c r="G98" s="1222"/>
      <c r="H98" s="1222"/>
      <c r="I98" s="1426" t="str">
        <f>cst_wskakunin_iken4_NAME</f>
        <v/>
      </c>
      <c r="J98" s="1426"/>
      <c r="K98" s="1426"/>
      <c r="L98" s="1426"/>
      <c r="M98" s="1426"/>
      <c r="N98" s="1426"/>
      <c r="O98" s="1426"/>
      <c r="P98" s="1426"/>
      <c r="Q98" s="1426"/>
      <c r="R98" s="1426"/>
      <c r="S98" s="1426"/>
      <c r="T98" s="1426"/>
      <c r="U98" s="1426"/>
      <c r="V98" s="1426"/>
      <c r="W98" s="1426"/>
      <c r="X98" s="1426"/>
      <c r="Y98" s="1426"/>
      <c r="Z98" s="1426"/>
      <c r="AA98" s="1426"/>
      <c r="AB98" s="1426"/>
      <c r="AC98" s="1426"/>
      <c r="AD98" s="1426"/>
    </row>
    <row r="99" spans="2:30" s="1221" customFormat="1" ht="15" customHeight="1">
      <c r="D99" s="1222" t="s">
        <v>4053</v>
      </c>
      <c r="E99" s="1222"/>
      <c r="F99" s="1222"/>
      <c r="G99" s="1222"/>
      <c r="H99" s="1222"/>
      <c r="I99" s="1426" t="str">
        <f>cst_wskakunin_iken4_JIMU_NAME</f>
        <v/>
      </c>
      <c r="J99" s="1426"/>
      <c r="K99" s="1426"/>
      <c r="L99" s="1426"/>
      <c r="M99" s="1426"/>
      <c r="N99" s="1426"/>
      <c r="O99" s="1426"/>
      <c r="P99" s="1426"/>
      <c r="Q99" s="1426"/>
      <c r="R99" s="1426"/>
      <c r="S99" s="1426"/>
      <c r="T99" s="1426"/>
      <c r="U99" s="1426"/>
      <c r="V99" s="1426"/>
      <c r="W99" s="1426"/>
      <c r="X99" s="1426"/>
      <c r="Y99" s="1426"/>
      <c r="Z99" s="1426"/>
      <c r="AA99" s="1426"/>
      <c r="AB99" s="1426"/>
      <c r="AC99" s="1426"/>
      <c r="AD99" s="1426"/>
    </row>
    <row r="100" spans="2:30" s="1221" customFormat="1" ht="15" customHeight="1">
      <c r="D100" s="1222" t="s">
        <v>553</v>
      </c>
      <c r="I100" s="1426" t="str">
        <f>cst_wskakunin_iken4_ZIP</f>
        <v/>
      </c>
      <c r="J100" s="1426"/>
      <c r="K100" s="1426"/>
    </row>
    <row r="101" spans="2:30" s="1221" customFormat="1" ht="15" customHeight="1">
      <c r="D101" s="1221" t="s">
        <v>4054</v>
      </c>
      <c r="I101" s="1426" t="str">
        <f>cst_wskakunin_iken4__address</f>
        <v/>
      </c>
      <c r="J101" s="1426"/>
      <c r="K101" s="1426"/>
      <c r="L101" s="1426"/>
      <c r="M101" s="1426"/>
      <c r="N101" s="1426"/>
      <c r="O101" s="1426"/>
      <c r="P101" s="1426"/>
      <c r="Q101" s="1426"/>
      <c r="R101" s="1426"/>
      <c r="S101" s="1426"/>
      <c r="T101" s="1426"/>
      <c r="U101" s="1426"/>
      <c r="V101" s="1426"/>
      <c r="W101" s="1426"/>
      <c r="X101" s="1426"/>
      <c r="Y101" s="1426"/>
      <c r="Z101" s="1426"/>
      <c r="AA101" s="1426"/>
      <c r="AB101" s="1426"/>
      <c r="AC101" s="1426"/>
      <c r="AD101" s="1426"/>
    </row>
    <row r="102" spans="2:30" s="1221" customFormat="1" ht="15" customHeight="1">
      <c r="D102" s="1222" t="s">
        <v>555</v>
      </c>
      <c r="F102" s="1222"/>
      <c r="G102" s="1222"/>
      <c r="H102" s="1222"/>
      <c r="I102" s="1426" t="str">
        <f>cst_wskakunin_iken4_TEL</f>
        <v/>
      </c>
      <c r="J102" s="1426"/>
      <c r="K102" s="1426"/>
      <c r="L102" s="1426"/>
      <c r="M102" s="1426"/>
      <c r="N102" s="1426"/>
    </row>
    <row r="103" spans="2:30" s="1221" customFormat="1" ht="15" customHeight="1">
      <c r="D103" s="1222" t="s">
        <v>556</v>
      </c>
      <c r="F103" s="1222"/>
      <c r="G103" s="1222"/>
      <c r="H103" s="1222"/>
      <c r="I103" s="1426" t="str">
        <f>cst_wskakunin_iken4_IKEN_NO</f>
        <v/>
      </c>
      <c r="J103" s="1426"/>
      <c r="K103" s="1426"/>
      <c r="L103" s="1426"/>
      <c r="M103" s="1426"/>
      <c r="N103" s="1426"/>
      <c r="O103" s="1426"/>
      <c r="P103" s="1426"/>
      <c r="Q103" s="1426"/>
      <c r="R103" s="1426"/>
      <c r="S103" s="1426"/>
      <c r="T103" s="1426"/>
      <c r="U103" s="1426"/>
      <c r="V103" s="1426"/>
      <c r="W103" s="1426"/>
      <c r="X103" s="1426"/>
      <c r="Y103" s="1426"/>
      <c r="Z103" s="1426"/>
      <c r="AA103" s="1426"/>
      <c r="AB103" s="1426"/>
      <c r="AC103" s="1426"/>
      <c r="AD103" s="1426"/>
    </row>
    <row r="104" spans="2:30" ht="15" customHeight="1">
      <c r="B104" s="1224"/>
      <c r="C104" s="1224"/>
      <c r="D104" s="1224" t="s">
        <v>557</v>
      </c>
      <c r="E104" s="1224"/>
      <c r="F104" s="1224"/>
      <c r="G104" s="1224"/>
      <c r="H104" s="1224"/>
      <c r="I104" s="1224"/>
      <c r="J104" s="1224"/>
      <c r="K104" s="1432" t="str">
        <f>cst_wskakunin_iken4_DOC</f>
        <v/>
      </c>
      <c r="L104" s="1432"/>
      <c r="M104" s="1432"/>
      <c r="N104" s="1432"/>
      <c r="O104" s="1432"/>
      <c r="P104" s="1432"/>
      <c r="Q104" s="1432"/>
      <c r="R104" s="1432"/>
      <c r="S104" s="1432"/>
      <c r="T104" s="1432"/>
      <c r="U104" s="1432"/>
      <c r="V104" s="1432"/>
      <c r="W104" s="1432"/>
      <c r="X104" s="1432"/>
      <c r="Y104" s="1432"/>
      <c r="Z104" s="1432"/>
      <c r="AA104" s="1432"/>
      <c r="AB104" s="1432"/>
      <c r="AC104" s="1432"/>
      <c r="AD104" s="1432"/>
    </row>
    <row r="105" spans="2:30" ht="15" customHeight="1">
      <c r="C105" s="1231" t="s">
        <v>3794</v>
      </c>
    </row>
    <row r="106" spans="2:30" ht="15" customHeight="1">
      <c r="C106" s="1219" t="s">
        <v>4056</v>
      </c>
    </row>
    <row r="107" spans="2:30" s="1221" customFormat="1" ht="15" customHeight="1">
      <c r="D107" s="1222" t="s">
        <v>4038</v>
      </c>
      <c r="F107" s="1222"/>
      <c r="G107" s="1222"/>
      <c r="H107" s="1222"/>
      <c r="I107" s="1226" t="s">
        <v>2</v>
      </c>
      <c r="J107" s="1431" t="str">
        <f>cst_wskakunin_kanri1_SIKAKU</f>
        <v>一級</v>
      </c>
      <c r="K107" s="1431"/>
      <c r="L107" s="1227" t="s">
        <v>3</v>
      </c>
      <c r="M107" s="1221" t="s">
        <v>3494</v>
      </c>
      <c r="Q107" s="1222" t="s">
        <v>2</v>
      </c>
      <c r="R107" s="1431" t="str">
        <f>cst_wskakunin_kanri1_TOUROKU_KIKAN</f>
        <v>国土交通大臣</v>
      </c>
      <c r="S107" s="1431"/>
      <c r="T107" s="1431"/>
      <c r="U107" s="1227" t="s">
        <v>3</v>
      </c>
      <c r="W107" s="1226" t="s">
        <v>3493</v>
      </c>
      <c r="X107" s="1431" t="str">
        <f>cst_wskakunin_kanri1_KENTIKUSI_NO</f>
        <v>12121212</v>
      </c>
      <c r="Y107" s="1431"/>
      <c r="Z107" s="1431"/>
      <c r="AA107" s="1226" t="s">
        <v>381</v>
      </c>
    </row>
    <row r="108" spans="2:30" s="1221" customFormat="1" ht="15" customHeight="1">
      <c r="D108" s="1222" t="s">
        <v>4036</v>
      </c>
      <c r="F108" s="1222"/>
      <c r="G108" s="1222"/>
      <c r="H108" s="1222"/>
      <c r="I108" s="1426" t="str">
        <f>cst_wskakunin_kanri1_NAME</f>
        <v>髙橋　一郎</v>
      </c>
      <c r="J108" s="1426"/>
      <c r="K108" s="1426"/>
      <c r="L108" s="1426"/>
      <c r="M108" s="1426"/>
      <c r="N108" s="1426"/>
      <c r="O108" s="1426"/>
      <c r="P108" s="1426"/>
      <c r="Q108" s="1426"/>
      <c r="R108" s="1426"/>
      <c r="S108" s="1426"/>
      <c r="T108" s="1426"/>
      <c r="U108" s="1426"/>
      <c r="V108" s="1426"/>
      <c r="W108" s="1426"/>
      <c r="X108" s="1426"/>
      <c r="Y108" s="1426"/>
      <c r="Z108" s="1426"/>
      <c r="AA108" s="1426"/>
      <c r="AB108" s="1426"/>
      <c r="AC108" s="1426"/>
      <c r="AD108" s="1426"/>
    </row>
    <row r="109" spans="2:30" s="1221" customFormat="1" ht="15" customHeight="1">
      <c r="D109" s="1222" t="s">
        <v>3491</v>
      </c>
      <c r="I109" s="1226" t="s">
        <v>2</v>
      </c>
      <c r="J109" s="1431" t="str">
        <f>cst_wskakunin_kanri1_JIMU_SIKAKU</f>
        <v>一級</v>
      </c>
      <c r="K109" s="1431"/>
      <c r="L109" s="1227" t="s">
        <v>3</v>
      </c>
      <c r="M109" s="1221" t="s">
        <v>3490</v>
      </c>
      <c r="Q109" s="1222" t="s">
        <v>2</v>
      </c>
      <c r="R109" s="1431" t="str">
        <f>cst_wskakunin_kanri1_JIMU_TOUROKU_KIKAN</f>
        <v>東京都</v>
      </c>
      <c r="S109" s="1431"/>
      <c r="T109" s="1227" t="s">
        <v>3</v>
      </c>
      <c r="W109" s="1226" t="s">
        <v>3489</v>
      </c>
      <c r="X109" s="1431">
        <f>cst_wskakunin_kanri1_JIMU_NO</f>
        <v>11111</v>
      </c>
      <c r="Y109" s="1431"/>
      <c r="Z109" s="1431"/>
      <c r="AA109" s="1226" t="s">
        <v>381</v>
      </c>
    </row>
    <row r="110" spans="2:30" s="1221" customFormat="1" ht="15" customHeight="1">
      <c r="I110" s="1426" t="str">
        <f>cst_wskakunin_kanri1_JIMU_NAME</f>
        <v>一級建築士事務所　UHEC</v>
      </c>
      <c r="J110" s="1426"/>
      <c r="K110" s="1426"/>
      <c r="L110" s="1426"/>
      <c r="M110" s="1426"/>
      <c r="N110" s="1426"/>
      <c r="O110" s="1426"/>
      <c r="P110" s="1426"/>
      <c r="Q110" s="1426"/>
      <c r="R110" s="1426"/>
      <c r="S110" s="1426"/>
      <c r="T110" s="1426"/>
      <c r="U110" s="1426"/>
      <c r="V110" s="1426"/>
      <c r="W110" s="1426"/>
      <c r="X110" s="1426"/>
      <c r="Y110" s="1426"/>
      <c r="Z110" s="1426"/>
      <c r="AA110" s="1426"/>
      <c r="AB110" s="1426"/>
      <c r="AC110" s="1426"/>
      <c r="AD110" s="1426"/>
    </row>
    <row r="111" spans="2:30" s="1221" customFormat="1" ht="15" customHeight="1">
      <c r="D111" s="1222" t="s">
        <v>3488</v>
      </c>
      <c r="F111" s="1222"/>
      <c r="G111" s="1222"/>
      <c r="H111" s="1222"/>
      <c r="I111" s="1426" t="str">
        <f>cst_wskakunin_kanri1_ZIP</f>
        <v>105-0001</v>
      </c>
      <c r="J111" s="1426"/>
      <c r="K111" s="1426"/>
      <c r="O111" s="1222"/>
      <c r="P111" s="1222"/>
      <c r="Q111" s="1222"/>
      <c r="R111" s="1222"/>
      <c r="S111" s="1222"/>
      <c r="T111" s="1222"/>
      <c r="U111" s="1222"/>
      <c r="V111" s="1222"/>
      <c r="W111" s="1222"/>
      <c r="X111" s="1222"/>
      <c r="Y111" s="1222"/>
      <c r="Z111" s="1222"/>
      <c r="AA111" s="1222"/>
      <c r="AB111" s="1222"/>
      <c r="AC111" s="1222"/>
      <c r="AD111" s="1222"/>
    </row>
    <row r="112" spans="2:30" s="1221" customFormat="1" ht="15" customHeight="1">
      <c r="D112" s="1221" t="s">
        <v>4039</v>
      </c>
      <c r="F112" s="1222"/>
      <c r="G112" s="1222"/>
      <c r="H112" s="1222"/>
      <c r="I112" s="1426" t="str">
        <f>cst_wskakunin_kanri1__address</f>
        <v>東京都港区虎ノ門1-1-21</v>
      </c>
      <c r="J112" s="1426"/>
      <c r="K112" s="1426"/>
      <c r="L112" s="1426"/>
      <c r="M112" s="1426"/>
      <c r="N112" s="1426"/>
      <c r="O112" s="1426"/>
      <c r="P112" s="1426"/>
      <c r="Q112" s="1426"/>
      <c r="R112" s="1426"/>
      <c r="S112" s="1426"/>
      <c r="T112" s="1426"/>
      <c r="U112" s="1426"/>
      <c r="V112" s="1426"/>
      <c r="W112" s="1426"/>
      <c r="X112" s="1426"/>
      <c r="Y112" s="1426"/>
      <c r="Z112" s="1426"/>
      <c r="AA112" s="1426"/>
      <c r="AB112" s="1426"/>
      <c r="AC112" s="1426"/>
      <c r="AD112" s="1426"/>
    </row>
    <row r="113" spans="3:31" s="1221" customFormat="1" ht="15" customHeight="1">
      <c r="D113" s="1222" t="s">
        <v>3486</v>
      </c>
      <c r="F113" s="1222"/>
      <c r="G113" s="1222"/>
      <c r="H113" s="1222"/>
      <c r="I113" s="1426" t="str">
        <f>cst_wskakunin_kanri1_TEL</f>
        <v>03-3504-2386</v>
      </c>
      <c r="J113" s="1426"/>
      <c r="K113" s="1426"/>
      <c r="L113" s="1426"/>
      <c r="M113" s="1426"/>
      <c r="N113" s="1426"/>
    </row>
    <row r="114" spans="3:31" s="1221" customFormat="1" ht="15" customHeight="1">
      <c r="D114" s="1222" t="s">
        <v>3795</v>
      </c>
      <c r="F114" s="1222"/>
      <c r="G114" s="1222"/>
      <c r="H114" s="1222"/>
      <c r="I114" s="1222"/>
      <c r="J114" s="1222"/>
      <c r="K114" s="1426" t="str">
        <f>cst_wskakunin_kanri1_DOC</f>
        <v>全ての設計図書</v>
      </c>
      <c r="L114" s="1426"/>
      <c r="M114" s="1426"/>
      <c r="N114" s="1426"/>
      <c r="O114" s="1426"/>
      <c r="P114" s="1426"/>
      <c r="Q114" s="1426"/>
      <c r="R114" s="1426"/>
      <c r="S114" s="1426"/>
      <c r="T114" s="1426"/>
      <c r="U114" s="1426"/>
      <c r="V114" s="1426"/>
      <c r="W114" s="1426"/>
      <c r="X114" s="1426"/>
      <c r="Y114" s="1426"/>
      <c r="Z114" s="1426"/>
      <c r="AA114" s="1426"/>
      <c r="AB114" s="1426"/>
      <c r="AC114" s="1426"/>
      <c r="AD114" s="1426"/>
    </row>
    <row r="115" spans="3:31" ht="15" customHeight="1">
      <c r="C115" s="1219" t="s">
        <v>4057</v>
      </c>
    </row>
    <row r="116" spans="3:31" s="1221" customFormat="1" ht="15" customHeight="1">
      <c r="D116" s="1222" t="s">
        <v>4038</v>
      </c>
      <c r="F116" s="1222"/>
      <c r="G116" s="1222"/>
      <c r="H116" s="1222"/>
      <c r="I116" s="1226" t="s">
        <v>2</v>
      </c>
      <c r="J116" s="1431" t="str">
        <f>cst_wskakunin_kanri2_SIKAKU</f>
        <v/>
      </c>
      <c r="K116" s="1431"/>
      <c r="L116" s="1227" t="s">
        <v>3</v>
      </c>
      <c r="M116" s="1221" t="s">
        <v>3494</v>
      </c>
      <c r="Q116" s="1222" t="s">
        <v>2</v>
      </c>
      <c r="R116" s="1431" t="str">
        <f>cst_wskakunin_kanri2_TOUROKU_KIKAN</f>
        <v/>
      </c>
      <c r="S116" s="1431"/>
      <c r="T116" s="1431"/>
      <c r="U116" s="1227" t="s">
        <v>3</v>
      </c>
      <c r="W116" s="1226" t="s">
        <v>3493</v>
      </c>
      <c r="X116" s="1431" t="str">
        <f>cst_wskakunin_kanri2_KENTIKUSI_NO</f>
        <v/>
      </c>
      <c r="Y116" s="1431"/>
      <c r="Z116" s="1431"/>
      <c r="AA116" s="1226" t="s">
        <v>381</v>
      </c>
    </row>
    <row r="117" spans="3:31" s="1221" customFormat="1" ht="15" customHeight="1">
      <c r="D117" s="1222" t="s">
        <v>4036</v>
      </c>
      <c r="F117" s="1222"/>
      <c r="G117" s="1222"/>
      <c r="H117" s="1222"/>
      <c r="I117" s="1426" t="str">
        <f>cst_wskakunin_kanri2_NAME</f>
        <v/>
      </c>
      <c r="J117" s="1426"/>
      <c r="K117" s="1426"/>
      <c r="L117" s="1426"/>
      <c r="M117" s="1426"/>
      <c r="N117" s="1426"/>
      <c r="O117" s="1426"/>
      <c r="P117" s="1426"/>
      <c r="Q117" s="1426"/>
      <c r="R117" s="1426"/>
      <c r="S117" s="1426"/>
      <c r="T117" s="1426"/>
      <c r="U117" s="1426"/>
      <c r="V117" s="1426"/>
      <c r="W117" s="1426"/>
      <c r="X117" s="1426"/>
      <c r="Y117" s="1426"/>
      <c r="Z117" s="1426"/>
      <c r="AA117" s="1426"/>
      <c r="AB117" s="1426"/>
      <c r="AC117" s="1426"/>
      <c r="AD117" s="1426"/>
    </row>
    <row r="118" spans="3:31" s="1221" customFormat="1" ht="15" customHeight="1">
      <c r="D118" s="1222" t="s">
        <v>3491</v>
      </c>
      <c r="I118" s="1226" t="s">
        <v>2</v>
      </c>
      <c r="J118" s="1431" t="str">
        <f>cst_wskakunin_kanri2_JIMU_SIKAKU</f>
        <v/>
      </c>
      <c r="K118" s="1431"/>
      <c r="L118" s="1227" t="s">
        <v>3</v>
      </c>
      <c r="M118" s="1221" t="s">
        <v>3490</v>
      </c>
      <c r="Q118" s="1222" t="s">
        <v>2</v>
      </c>
      <c r="R118" s="1431" t="str">
        <f>cst_wskakunin_kanri2_JIMU_TOUROKU_KIKAN</f>
        <v/>
      </c>
      <c r="S118" s="1431"/>
      <c r="T118" s="1227" t="s">
        <v>3</v>
      </c>
      <c r="W118" s="1226" t="s">
        <v>3489</v>
      </c>
      <c r="X118" s="1431" t="str">
        <f>cst_wskakunin_kanri2_JIMU_NO</f>
        <v/>
      </c>
      <c r="Y118" s="1431"/>
      <c r="Z118" s="1431"/>
      <c r="AA118" s="1226" t="s">
        <v>381</v>
      </c>
    </row>
    <row r="119" spans="3:31" s="1221" customFormat="1" ht="15" customHeight="1">
      <c r="I119" s="1426" t="str">
        <f>cst_wskakunin_kanri2_JIMU_NAME</f>
        <v/>
      </c>
      <c r="J119" s="1426"/>
      <c r="K119" s="1426"/>
      <c r="L119" s="1426"/>
      <c r="M119" s="1426"/>
      <c r="N119" s="1426"/>
      <c r="O119" s="1426"/>
      <c r="P119" s="1426"/>
      <c r="Q119" s="1426"/>
      <c r="R119" s="1426"/>
      <c r="S119" s="1426"/>
      <c r="T119" s="1426"/>
      <c r="U119" s="1426"/>
      <c r="V119" s="1426"/>
      <c r="W119" s="1426"/>
      <c r="X119" s="1426"/>
      <c r="Y119" s="1426"/>
      <c r="Z119" s="1426"/>
      <c r="AA119" s="1426"/>
      <c r="AB119" s="1426"/>
      <c r="AC119" s="1426"/>
      <c r="AD119" s="1426"/>
    </row>
    <row r="120" spans="3:31" s="1221" customFormat="1" ht="15" customHeight="1">
      <c r="D120" s="1222" t="s">
        <v>3488</v>
      </c>
      <c r="F120" s="1222"/>
      <c r="G120" s="1222"/>
      <c r="H120" s="1222"/>
      <c r="I120" s="1426" t="str">
        <f>cst_wskakunin_kanri2_ZIP</f>
        <v/>
      </c>
      <c r="J120" s="1426"/>
      <c r="K120" s="1426"/>
      <c r="O120" s="1222"/>
      <c r="P120" s="1222"/>
      <c r="Q120" s="1222"/>
      <c r="R120" s="1222"/>
      <c r="S120" s="1222"/>
      <c r="T120" s="1222"/>
      <c r="U120" s="1222"/>
      <c r="V120" s="1222"/>
      <c r="W120" s="1222"/>
      <c r="X120" s="1222"/>
      <c r="Y120" s="1222"/>
      <c r="Z120" s="1222"/>
      <c r="AA120" s="1222"/>
      <c r="AB120" s="1222"/>
      <c r="AC120" s="1222"/>
      <c r="AD120" s="1222"/>
    </row>
    <row r="121" spans="3:31" s="1221" customFormat="1" ht="15" customHeight="1">
      <c r="D121" s="1221" t="s">
        <v>4039</v>
      </c>
      <c r="F121" s="1222"/>
      <c r="G121" s="1222"/>
      <c r="H121" s="1222"/>
      <c r="I121" s="1426" t="str">
        <f>cst_wskakunin_kanri2__address</f>
        <v/>
      </c>
      <c r="J121" s="1426"/>
      <c r="K121" s="1426"/>
      <c r="L121" s="1426"/>
      <c r="M121" s="1426"/>
      <c r="N121" s="1426"/>
      <c r="O121" s="1426"/>
      <c r="P121" s="1426"/>
      <c r="Q121" s="1426"/>
      <c r="R121" s="1426"/>
      <c r="S121" s="1426"/>
      <c r="T121" s="1426"/>
      <c r="U121" s="1426"/>
      <c r="V121" s="1426"/>
      <c r="W121" s="1426"/>
      <c r="X121" s="1426"/>
      <c r="Y121" s="1426"/>
      <c r="Z121" s="1426"/>
      <c r="AA121" s="1426"/>
      <c r="AB121" s="1426"/>
      <c r="AC121" s="1426"/>
      <c r="AD121" s="1426"/>
    </row>
    <row r="122" spans="3:31" s="1221" customFormat="1" ht="15" customHeight="1">
      <c r="D122" s="1222" t="s">
        <v>3486</v>
      </c>
      <c r="F122" s="1222"/>
      <c r="G122" s="1222"/>
      <c r="H122" s="1222"/>
      <c r="I122" s="1426" t="str">
        <f>cst_wskakunin_kanri2_TEL</f>
        <v/>
      </c>
      <c r="J122" s="1426"/>
      <c r="K122" s="1426"/>
      <c r="L122" s="1426"/>
      <c r="M122" s="1426"/>
      <c r="N122" s="1426"/>
    </row>
    <row r="123" spans="3:31" s="1221" customFormat="1" ht="15" customHeight="1">
      <c r="D123" s="1222" t="s">
        <v>3795</v>
      </c>
      <c r="F123" s="1222"/>
      <c r="G123" s="1222"/>
      <c r="H123" s="1222"/>
      <c r="I123" s="1222"/>
      <c r="J123" s="1222"/>
      <c r="K123" s="1426" t="str">
        <f>cst_wskakunin_kanri2_DOC</f>
        <v/>
      </c>
      <c r="L123" s="1426"/>
      <c r="M123" s="1426"/>
      <c r="N123" s="1426"/>
      <c r="O123" s="1426"/>
      <c r="P123" s="1426"/>
      <c r="Q123" s="1426"/>
      <c r="R123" s="1426"/>
      <c r="S123" s="1426"/>
      <c r="T123" s="1426"/>
      <c r="U123" s="1426"/>
      <c r="V123" s="1426"/>
      <c r="W123" s="1426"/>
      <c r="X123" s="1426"/>
      <c r="Y123" s="1426"/>
      <c r="Z123" s="1426"/>
      <c r="AA123" s="1426"/>
      <c r="AB123" s="1426"/>
      <c r="AC123" s="1426"/>
      <c r="AD123" s="1426"/>
    </row>
    <row r="124" spans="3:31" s="1221" customFormat="1" ht="15" customHeight="1">
      <c r="D124" s="1222" t="s">
        <v>4038</v>
      </c>
      <c r="F124" s="1222"/>
      <c r="G124" s="1222"/>
      <c r="H124" s="1222"/>
      <c r="I124" s="1226" t="s">
        <v>2</v>
      </c>
      <c r="J124" s="1431" t="str">
        <f>cst_wskakunin_kanri3_SIKAKU</f>
        <v/>
      </c>
      <c r="K124" s="1431"/>
      <c r="L124" s="1227" t="s">
        <v>3</v>
      </c>
      <c r="M124" s="1221" t="s">
        <v>3494</v>
      </c>
      <c r="Q124" s="1222" t="s">
        <v>2</v>
      </c>
      <c r="R124" s="1431" t="str">
        <f>cst_wskakunin_kanri3_TOUROKU_KIKAN</f>
        <v/>
      </c>
      <c r="S124" s="1431"/>
      <c r="T124" s="1431"/>
      <c r="U124" s="1227" t="s">
        <v>3</v>
      </c>
      <c r="W124" s="1226" t="s">
        <v>3493</v>
      </c>
      <c r="X124" s="1431" t="str">
        <f>cst_wskakunin_kanri3_KENTIKUSI_NO</f>
        <v/>
      </c>
      <c r="Y124" s="1431"/>
      <c r="Z124" s="1431"/>
      <c r="AA124" s="1226" t="s">
        <v>381</v>
      </c>
    </row>
    <row r="125" spans="3:31" s="1221" customFormat="1" ht="15" customHeight="1">
      <c r="D125" s="1222" t="s">
        <v>4036</v>
      </c>
      <c r="F125" s="1222"/>
      <c r="G125" s="1222"/>
      <c r="H125" s="1222"/>
      <c r="I125" s="1426" t="str">
        <f>cst_wskakunin_kanri3_NAME</f>
        <v/>
      </c>
      <c r="J125" s="1426"/>
      <c r="K125" s="1426"/>
      <c r="L125" s="1426"/>
      <c r="M125" s="1426"/>
      <c r="N125" s="1426"/>
      <c r="O125" s="1426"/>
      <c r="P125" s="1426"/>
      <c r="Q125" s="1426"/>
      <c r="R125" s="1426"/>
      <c r="S125" s="1426"/>
      <c r="T125" s="1426"/>
      <c r="U125" s="1426"/>
      <c r="V125" s="1426"/>
      <c r="W125" s="1426"/>
      <c r="X125" s="1426"/>
      <c r="Y125" s="1426"/>
      <c r="Z125" s="1426"/>
      <c r="AA125" s="1426"/>
      <c r="AB125" s="1426"/>
      <c r="AC125" s="1426"/>
      <c r="AD125" s="1426"/>
    </row>
    <row r="126" spans="3:31" s="1221" customFormat="1" ht="15" customHeight="1">
      <c r="D126" s="1222" t="s">
        <v>3491</v>
      </c>
      <c r="I126" s="1226" t="s">
        <v>2</v>
      </c>
      <c r="J126" s="1431" t="str">
        <f>cst_wskakunin_kanri3_JIMU_SIKAKU</f>
        <v/>
      </c>
      <c r="K126" s="1431"/>
      <c r="L126" s="1227" t="s">
        <v>3</v>
      </c>
      <c r="M126" s="1221" t="s">
        <v>3490</v>
      </c>
      <c r="Q126" s="1222" t="s">
        <v>2</v>
      </c>
      <c r="R126" s="1431" t="str">
        <f>cst_wskakunin_kanri3_JIMU_TOUROKU_KIKAN</f>
        <v/>
      </c>
      <c r="S126" s="1431"/>
      <c r="T126" s="1227" t="s">
        <v>3</v>
      </c>
      <c r="W126" s="1226" t="s">
        <v>3489</v>
      </c>
      <c r="X126" s="1431" t="str">
        <f>cst_wskakunin_kanri3_JIMU_NO</f>
        <v/>
      </c>
      <c r="Y126" s="1431"/>
      <c r="Z126" s="1431"/>
      <c r="AA126" s="1226" t="s">
        <v>381</v>
      </c>
    </row>
    <row r="127" spans="3:31" s="1221" customFormat="1" ht="15" customHeight="1">
      <c r="I127" s="1426" t="str">
        <f>cst_wskakunin_kanri3_JIMU_NAME</f>
        <v/>
      </c>
      <c r="J127" s="1426"/>
      <c r="K127" s="1426"/>
      <c r="L127" s="1426"/>
      <c r="M127" s="1426"/>
      <c r="N127" s="1426"/>
      <c r="O127" s="1426"/>
      <c r="P127" s="1426"/>
      <c r="Q127" s="1426"/>
      <c r="R127" s="1426"/>
      <c r="S127" s="1426"/>
      <c r="T127" s="1426"/>
      <c r="U127" s="1426"/>
      <c r="V127" s="1426"/>
      <c r="W127" s="1426"/>
      <c r="X127" s="1426"/>
      <c r="Y127" s="1426"/>
      <c r="Z127" s="1426"/>
      <c r="AA127" s="1426"/>
      <c r="AB127" s="1426"/>
      <c r="AC127" s="1426"/>
      <c r="AD127" s="1426"/>
    </row>
    <row r="128" spans="3:31" s="1221" customFormat="1" ht="15" customHeight="1">
      <c r="D128" s="1222" t="s">
        <v>3488</v>
      </c>
      <c r="F128" s="1222"/>
      <c r="G128" s="1222"/>
      <c r="H128" s="1222"/>
      <c r="I128" s="1426" t="str">
        <f>cst_wskakunin_kanri3_ZIP</f>
        <v/>
      </c>
      <c r="J128" s="1426"/>
      <c r="K128" s="1426"/>
      <c r="O128" s="1222"/>
      <c r="P128" s="1222"/>
      <c r="Q128" s="1222"/>
      <c r="R128" s="1222"/>
      <c r="S128" s="1222"/>
      <c r="T128" s="1222"/>
      <c r="U128" s="1222"/>
      <c r="V128" s="1222"/>
      <c r="W128" s="1222"/>
      <c r="X128" s="1222"/>
      <c r="Y128" s="1222"/>
      <c r="Z128" s="1222"/>
      <c r="AA128" s="1222"/>
      <c r="AB128" s="1222"/>
      <c r="AC128" s="1222"/>
      <c r="AD128" s="1222"/>
      <c r="AE128" s="1222"/>
    </row>
    <row r="129" spans="2:30" s="1221" customFormat="1" ht="15" customHeight="1">
      <c r="D129" s="1221" t="s">
        <v>4039</v>
      </c>
      <c r="F129" s="1222"/>
      <c r="G129" s="1222"/>
      <c r="H129" s="1222"/>
      <c r="I129" s="1426" t="str">
        <f>cst_wskakunin_kanri3__address</f>
        <v/>
      </c>
      <c r="J129" s="1426"/>
      <c r="K129" s="1426"/>
      <c r="L129" s="1426"/>
      <c r="M129" s="1426"/>
      <c r="N129" s="1426"/>
      <c r="O129" s="1426"/>
      <c r="P129" s="1426"/>
      <c r="Q129" s="1426"/>
      <c r="R129" s="1426"/>
      <c r="S129" s="1426"/>
      <c r="T129" s="1426"/>
      <c r="U129" s="1426"/>
      <c r="V129" s="1426"/>
      <c r="W129" s="1426"/>
      <c r="X129" s="1426"/>
      <c r="Y129" s="1426"/>
      <c r="Z129" s="1426"/>
      <c r="AA129" s="1426"/>
      <c r="AB129" s="1426"/>
      <c r="AC129" s="1426"/>
      <c r="AD129" s="1426"/>
    </row>
    <row r="130" spans="2:30" s="1221" customFormat="1" ht="15" customHeight="1">
      <c r="D130" s="1222" t="s">
        <v>3486</v>
      </c>
      <c r="F130" s="1222"/>
      <c r="G130" s="1222"/>
      <c r="H130" s="1222"/>
      <c r="I130" s="1426" t="str">
        <f>cst_wskakunin_kanri3_TEL</f>
        <v/>
      </c>
      <c r="J130" s="1426"/>
      <c r="K130" s="1426"/>
      <c r="L130" s="1426"/>
      <c r="M130" s="1426"/>
      <c r="N130" s="1426"/>
    </row>
    <row r="131" spans="2:30" s="1221" customFormat="1" ht="15" customHeight="1">
      <c r="D131" s="1222" t="s">
        <v>3795</v>
      </c>
      <c r="F131" s="1222"/>
      <c r="G131" s="1222"/>
      <c r="H131" s="1222"/>
      <c r="I131" s="1222"/>
      <c r="J131" s="1222"/>
      <c r="K131" s="1426" t="str">
        <f>cst_wskakunin_kanri3_DOC</f>
        <v/>
      </c>
      <c r="L131" s="1426"/>
      <c r="M131" s="1426"/>
      <c r="N131" s="1426"/>
      <c r="O131" s="1426"/>
      <c r="P131" s="1426"/>
      <c r="Q131" s="1426"/>
      <c r="R131" s="1426"/>
      <c r="S131" s="1426"/>
      <c r="T131" s="1426"/>
      <c r="U131" s="1426"/>
      <c r="V131" s="1426"/>
      <c r="W131" s="1426"/>
      <c r="X131" s="1426"/>
      <c r="Y131" s="1426"/>
      <c r="Z131" s="1426"/>
      <c r="AA131" s="1426"/>
      <c r="AB131" s="1426"/>
      <c r="AC131" s="1426"/>
      <c r="AD131" s="1426"/>
    </row>
    <row r="132" spans="2:30" s="1221" customFormat="1" ht="15" customHeight="1">
      <c r="D132" s="1222" t="s">
        <v>4038</v>
      </c>
      <c r="F132" s="1222"/>
      <c r="G132" s="1222"/>
      <c r="H132" s="1222"/>
      <c r="I132" s="1226" t="s">
        <v>2</v>
      </c>
      <c r="J132" s="1431" t="str">
        <f>cst_wskakunin_kanri4_SIKAKU</f>
        <v/>
      </c>
      <c r="K132" s="1431"/>
      <c r="L132" s="1227" t="s">
        <v>3</v>
      </c>
      <c r="M132" s="1221" t="s">
        <v>3494</v>
      </c>
      <c r="Q132" s="1222" t="s">
        <v>2</v>
      </c>
      <c r="R132" s="1431" t="str">
        <f>cst_wskakunin_kanri4_TOUROKU_KIKAN</f>
        <v/>
      </c>
      <c r="S132" s="1431"/>
      <c r="T132" s="1431"/>
      <c r="U132" s="1227" t="s">
        <v>3</v>
      </c>
      <c r="W132" s="1226" t="s">
        <v>3493</v>
      </c>
      <c r="X132" s="1431" t="str">
        <f>cst_wskakunin_kanri4_KENTIKUSI_NO</f>
        <v/>
      </c>
      <c r="Y132" s="1431"/>
      <c r="Z132" s="1431"/>
      <c r="AA132" s="1226" t="s">
        <v>381</v>
      </c>
    </row>
    <row r="133" spans="2:30" s="1221" customFormat="1" ht="15" customHeight="1">
      <c r="D133" s="1222" t="s">
        <v>4036</v>
      </c>
      <c r="F133" s="1222"/>
      <c r="G133" s="1222"/>
      <c r="H133" s="1222"/>
      <c r="I133" s="1426" t="str">
        <f>cst_wskakunin_kanri4_NAME</f>
        <v/>
      </c>
      <c r="J133" s="1426"/>
      <c r="K133" s="1426"/>
      <c r="L133" s="1426"/>
      <c r="M133" s="1426"/>
      <c r="N133" s="1426"/>
      <c r="O133" s="1426"/>
      <c r="P133" s="1426"/>
      <c r="Q133" s="1426"/>
      <c r="R133" s="1426"/>
      <c r="S133" s="1426"/>
      <c r="T133" s="1426"/>
      <c r="U133" s="1426"/>
      <c r="V133" s="1426"/>
      <c r="W133" s="1426"/>
      <c r="X133" s="1426"/>
      <c r="Y133" s="1426"/>
      <c r="Z133" s="1426"/>
      <c r="AA133" s="1426"/>
      <c r="AB133" s="1426"/>
      <c r="AC133" s="1426"/>
      <c r="AD133" s="1426"/>
    </row>
    <row r="134" spans="2:30" s="1221" customFormat="1" ht="15" customHeight="1">
      <c r="D134" s="1222" t="s">
        <v>3491</v>
      </c>
      <c r="I134" s="1226" t="s">
        <v>2</v>
      </c>
      <c r="J134" s="1431" t="str">
        <f>cst_wskakunin_kanri4_JIMU_SIKAKU</f>
        <v/>
      </c>
      <c r="K134" s="1431"/>
      <c r="L134" s="1227" t="s">
        <v>3</v>
      </c>
      <c r="M134" s="1221" t="s">
        <v>3490</v>
      </c>
      <c r="Q134" s="1222" t="s">
        <v>2</v>
      </c>
      <c r="R134" s="1431" t="str">
        <f>cst_wskakunin_kanri4_JIMU_TOUROKU_KIKAN</f>
        <v/>
      </c>
      <c r="S134" s="1431"/>
      <c r="T134" s="1227" t="s">
        <v>3</v>
      </c>
      <c r="W134" s="1226" t="s">
        <v>3489</v>
      </c>
      <c r="X134" s="1431" t="str">
        <f>cst_wskakunin_kanri4_JIMU_NO</f>
        <v/>
      </c>
      <c r="Y134" s="1431"/>
      <c r="Z134" s="1431"/>
      <c r="AA134" s="1226" t="s">
        <v>381</v>
      </c>
    </row>
    <row r="135" spans="2:30" s="1221" customFormat="1" ht="15" customHeight="1">
      <c r="I135" s="1426" t="str">
        <f>cst_wskakunin_kanri4_JIMU_NAME</f>
        <v/>
      </c>
      <c r="J135" s="1426"/>
      <c r="K135" s="1426"/>
      <c r="L135" s="1426"/>
      <c r="M135" s="1426"/>
      <c r="N135" s="1426"/>
      <c r="O135" s="1426"/>
      <c r="P135" s="1426"/>
      <c r="Q135" s="1426"/>
      <c r="R135" s="1426"/>
      <c r="S135" s="1426"/>
      <c r="T135" s="1426"/>
      <c r="U135" s="1426"/>
      <c r="V135" s="1426"/>
      <c r="W135" s="1426"/>
      <c r="X135" s="1426"/>
      <c r="Y135" s="1426"/>
      <c r="Z135" s="1426"/>
      <c r="AA135" s="1426"/>
      <c r="AB135" s="1426"/>
      <c r="AC135" s="1426"/>
      <c r="AD135" s="1426"/>
    </row>
    <row r="136" spans="2:30" s="1221" customFormat="1" ht="15" customHeight="1">
      <c r="D136" s="1222" t="s">
        <v>3488</v>
      </c>
      <c r="F136" s="1222"/>
      <c r="G136" s="1222"/>
      <c r="H136" s="1222"/>
      <c r="I136" s="1426" t="str">
        <f>cst_wskakunin_kanri4_ZIP</f>
        <v/>
      </c>
      <c r="J136" s="1426"/>
      <c r="K136" s="1426"/>
      <c r="O136" s="1222"/>
      <c r="P136" s="1222"/>
      <c r="Q136" s="1222"/>
      <c r="R136" s="1222"/>
      <c r="S136" s="1222"/>
      <c r="T136" s="1222"/>
      <c r="U136" s="1222"/>
      <c r="V136" s="1222"/>
      <c r="W136" s="1222"/>
      <c r="X136" s="1222"/>
      <c r="Y136" s="1222"/>
      <c r="Z136" s="1222"/>
      <c r="AA136" s="1222"/>
      <c r="AB136" s="1222"/>
      <c r="AC136" s="1222"/>
      <c r="AD136" s="1222"/>
    </row>
    <row r="137" spans="2:30" s="1221" customFormat="1" ht="15" customHeight="1">
      <c r="D137" s="1221" t="s">
        <v>4039</v>
      </c>
      <c r="F137" s="1222"/>
      <c r="G137" s="1222"/>
      <c r="H137" s="1222"/>
      <c r="I137" s="1426" t="str">
        <f>cst_wskakunin_kanri4__address</f>
        <v/>
      </c>
      <c r="J137" s="1426"/>
      <c r="K137" s="1426"/>
      <c r="L137" s="1426"/>
      <c r="M137" s="1426"/>
      <c r="N137" s="1426"/>
      <c r="O137" s="1426"/>
      <c r="P137" s="1426"/>
      <c r="Q137" s="1426"/>
      <c r="R137" s="1426"/>
      <c r="S137" s="1426"/>
      <c r="T137" s="1426"/>
      <c r="U137" s="1426"/>
      <c r="V137" s="1426"/>
      <c r="W137" s="1426"/>
      <c r="X137" s="1426"/>
      <c r="Y137" s="1426"/>
      <c r="Z137" s="1426"/>
      <c r="AA137" s="1426"/>
      <c r="AB137" s="1426"/>
      <c r="AC137" s="1426"/>
      <c r="AD137" s="1426"/>
    </row>
    <row r="138" spans="2:30" s="1221" customFormat="1" ht="15" customHeight="1">
      <c r="D138" s="1222" t="s">
        <v>3486</v>
      </c>
      <c r="F138" s="1222"/>
      <c r="G138" s="1222"/>
      <c r="H138" s="1222"/>
      <c r="I138" s="1426" t="str">
        <f>cst_wskakunin_kanri4_TEL</f>
        <v/>
      </c>
      <c r="J138" s="1426"/>
      <c r="K138" s="1426"/>
      <c r="L138" s="1426"/>
      <c r="M138" s="1426"/>
      <c r="N138" s="1426"/>
    </row>
    <row r="139" spans="2:30" s="1221" customFormat="1" ht="15" customHeight="1">
      <c r="B139" s="1225"/>
      <c r="C139" s="1225"/>
      <c r="D139" s="1228" t="s">
        <v>3795</v>
      </c>
      <c r="E139" s="1225"/>
      <c r="F139" s="1228"/>
      <c r="G139" s="1228"/>
      <c r="H139" s="1228"/>
      <c r="I139" s="1228"/>
      <c r="J139" s="1228"/>
      <c r="K139" s="1427" t="str">
        <f>cst_wskakunin_kanri4_DOC</f>
        <v/>
      </c>
      <c r="L139" s="1427"/>
      <c r="M139" s="1427"/>
      <c r="N139" s="1427"/>
      <c r="O139" s="1427"/>
      <c r="P139" s="1427"/>
      <c r="Q139" s="1427"/>
      <c r="R139" s="1427"/>
      <c r="S139" s="1427"/>
      <c r="T139" s="1427"/>
      <c r="U139" s="1427"/>
      <c r="V139" s="1427"/>
      <c r="W139" s="1427"/>
      <c r="X139" s="1427"/>
      <c r="Y139" s="1427"/>
      <c r="Z139" s="1427"/>
      <c r="AA139" s="1427"/>
      <c r="AB139" s="1427"/>
      <c r="AC139" s="1427"/>
      <c r="AD139" s="1427"/>
    </row>
    <row r="140" spans="2:30" ht="15" customHeight="1">
      <c r="C140" s="1220" t="s">
        <v>3796</v>
      </c>
    </row>
    <row r="141" spans="2:30" ht="15" customHeight="1">
      <c r="D141" s="1222" t="s">
        <v>4045</v>
      </c>
      <c r="I141" s="1425" t="str">
        <f>cst_wskakunin_sekou1_NAME</f>
        <v>代表取締役社長　野崎　豊</v>
      </c>
      <c r="J141" s="1425"/>
      <c r="K141" s="1425"/>
      <c r="L141" s="1425"/>
      <c r="M141" s="1425"/>
      <c r="N141" s="1425"/>
      <c r="O141" s="1425"/>
      <c r="P141" s="1425"/>
      <c r="Q141" s="1425"/>
      <c r="R141" s="1425"/>
      <c r="S141" s="1425"/>
      <c r="T141" s="1425"/>
      <c r="U141" s="1425"/>
      <c r="V141" s="1425"/>
      <c r="W141" s="1425"/>
      <c r="X141" s="1425"/>
      <c r="Y141" s="1425"/>
      <c r="Z141" s="1425"/>
      <c r="AA141" s="1425"/>
      <c r="AB141" s="1425"/>
      <c r="AC141" s="1425"/>
    </row>
    <row r="142" spans="2:30" ht="15" customHeight="1">
      <c r="D142" s="1222" t="s">
        <v>3797</v>
      </c>
      <c r="I142" s="1219" t="s">
        <v>591</v>
      </c>
      <c r="M142" s="1219" t="s">
        <v>2</v>
      </c>
      <c r="N142" s="1430" t="str">
        <f>cst_wskakunin_sekou1_SEKOU_SIKAKU</f>
        <v>国土交通大臣</v>
      </c>
      <c r="O142" s="1430"/>
      <c r="P142" s="1430"/>
      <c r="Q142" s="1219" t="s">
        <v>3</v>
      </c>
      <c r="S142" s="1219" t="s">
        <v>3065</v>
      </c>
      <c r="T142" s="1430" t="str">
        <f>cst_wskakunin_sekou1_SEKOU_NO</f>
        <v>(特-7)1111</v>
      </c>
      <c r="U142" s="1430"/>
      <c r="V142" s="1430"/>
      <c r="W142" s="1430"/>
      <c r="X142" s="1430"/>
      <c r="Y142" s="1219" t="s">
        <v>381</v>
      </c>
    </row>
    <row r="143" spans="2:30" ht="15" customHeight="1">
      <c r="D143" s="1222"/>
      <c r="I143" s="1425" t="str">
        <f>cst_wskakunin_sekou1_JIMU_NAME</f>
        <v>株式会社UHEC</v>
      </c>
      <c r="J143" s="1425"/>
      <c r="K143" s="1425"/>
      <c r="L143" s="1425"/>
      <c r="M143" s="1425"/>
      <c r="N143" s="1425"/>
      <c r="O143" s="1425"/>
      <c r="P143" s="1425"/>
      <c r="Q143" s="1425"/>
      <c r="R143" s="1425"/>
      <c r="S143" s="1425"/>
      <c r="T143" s="1425"/>
      <c r="U143" s="1425"/>
      <c r="V143" s="1425"/>
      <c r="W143" s="1425"/>
      <c r="X143" s="1425"/>
      <c r="Y143" s="1425"/>
      <c r="Z143" s="1425"/>
      <c r="AA143" s="1425"/>
      <c r="AB143" s="1425"/>
      <c r="AC143" s="1425"/>
      <c r="AD143" s="1425"/>
    </row>
    <row r="144" spans="2:30" s="1221" customFormat="1" ht="15" customHeight="1">
      <c r="D144" s="1222" t="s">
        <v>553</v>
      </c>
      <c r="F144" s="1222"/>
      <c r="G144" s="1222"/>
      <c r="H144" s="1222"/>
      <c r="I144" s="1426" t="str">
        <f>cst_wskakunin_sekou1_ZIP</f>
        <v>105-0001</v>
      </c>
      <c r="J144" s="1426"/>
      <c r="K144" s="1426"/>
    </row>
    <row r="145" spans="2:30" s="1221" customFormat="1" ht="15" customHeight="1">
      <c r="D145" s="1221" t="s">
        <v>4054</v>
      </c>
      <c r="F145" s="1222"/>
      <c r="G145" s="1222"/>
      <c r="H145" s="1222"/>
      <c r="I145" s="1426" t="str">
        <f>cst_wskakunin_sekou1__address</f>
        <v>東京都港区虎ノ門1-1-</v>
      </c>
      <c r="J145" s="1426"/>
      <c r="K145" s="1426"/>
      <c r="L145" s="1426"/>
      <c r="M145" s="1426"/>
      <c r="N145" s="1426"/>
      <c r="O145" s="1426"/>
      <c r="P145" s="1426"/>
      <c r="Q145" s="1426"/>
      <c r="R145" s="1426"/>
      <c r="S145" s="1426"/>
      <c r="T145" s="1426"/>
      <c r="U145" s="1426"/>
      <c r="V145" s="1426"/>
      <c r="W145" s="1426"/>
      <c r="X145" s="1426"/>
      <c r="Y145" s="1426"/>
      <c r="Z145" s="1426"/>
      <c r="AA145" s="1426"/>
      <c r="AB145" s="1426"/>
      <c r="AC145" s="1426"/>
      <c r="AD145" s="1426"/>
    </row>
    <row r="146" spans="2:30" s="1221" customFormat="1" ht="15" customHeight="1">
      <c r="B146" s="1225"/>
      <c r="C146" s="1225"/>
      <c r="D146" s="1228" t="s">
        <v>555</v>
      </c>
      <c r="E146" s="1225"/>
      <c r="F146" s="1228"/>
      <c r="G146" s="1228"/>
      <c r="H146" s="1228"/>
      <c r="I146" s="1427" t="str">
        <f>cst_wskakunin_sekou1_TEL</f>
        <v>03-3504-2386</v>
      </c>
      <c r="J146" s="1427"/>
      <c r="K146" s="1427"/>
      <c r="L146" s="1427"/>
      <c r="M146" s="1427"/>
      <c r="N146" s="1427"/>
      <c r="O146" s="1225"/>
      <c r="P146" s="1225"/>
      <c r="Q146" s="1225"/>
      <c r="R146" s="1225"/>
      <c r="S146" s="1225"/>
      <c r="T146" s="1225"/>
      <c r="U146" s="1225"/>
      <c r="V146" s="1225"/>
      <c r="W146" s="1225"/>
      <c r="X146" s="1225"/>
      <c r="Y146" s="1225"/>
      <c r="Z146" s="1225"/>
      <c r="AA146" s="1225"/>
      <c r="AB146" s="1225"/>
      <c r="AC146" s="1225"/>
      <c r="AD146" s="1225"/>
    </row>
    <row r="147" spans="2:30" ht="15" customHeight="1">
      <c r="C147" s="1220" t="s">
        <v>4058</v>
      </c>
      <c r="I147" s="1219" t="s">
        <v>3433</v>
      </c>
      <c r="J147" s="1223"/>
      <c r="K147" s="1232"/>
      <c r="L147" s="1232"/>
      <c r="M147" s="1232"/>
      <c r="N147" s="1428" t="str">
        <f>cst_wskakunin_BUILD_NAME</f>
        <v>テスト新築工事</v>
      </c>
      <c r="O147" s="1428"/>
      <c r="P147" s="1428"/>
      <c r="Q147" s="1428"/>
      <c r="R147" s="1428"/>
      <c r="S147" s="1428"/>
      <c r="T147" s="1428"/>
      <c r="U147" s="1428"/>
      <c r="V147" s="1428"/>
      <c r="W147" s="1428"/>
      <c r="X147" s="1428"/>
      <c r="Y147" s="1428"/>
      <c r="Z147" s="1428"/>
      <c r="AA147" s="1428"/>
      <c r="AB147" s="1428"/>
      <c r="AC147" s="1428"/>
      <c r="AD147" s="1428"/>
    </row>
    <row r="148" spans="2:30" ht="15" customHeight="1">
      <c r="I148" s="1429" t="str">
        <f>cst_wskakunin_P2_BIKOU</f>
        <v/>
      </c>
      <c r="J148" s="1429"/>
      <c r="K148" s="1429"/>
      <c r="L148" s="1429"/>
      <c r="M148" s="1429"/>
      <c r="N148" s="1429"/>
      <c r="O148" s="1429"/>
      <c r="P148" s="1429"/>
      <c r="Q148" s="1429"/>
      <c r="R148" s="1429"/>
      <c r="S148" s="1429"/>
      <c r="T148" s="1429"/>
      <c r="U148" s="1429"/>
      <c r="V148" s="1429"/>
      <c r="W148" s="1429"/>
      <c r="X148" s="1429"/>
      <c r="Y148" s="1429"/>
      <c r="Z148" s="1429"/>
      <c r="AA148" s="1429"/>
      <c r="AB148" s="1429"/>
      <c r="AC148" s="1429"/>
      <c r="AD148" s="1429"/>
    </row>
    <row r="149" spans="2:30" ht="15" customHeight="1">
      <c r="I149" s="1429"/>
      <c r="J149" s="1429"/>
      <c r="K149" s="1429"/>
      <c r="L149" s="1429"/>
      <c r="M149" s="1429"/>
      <c r="N149" s="1429"/>
      <c r="O149" s="1429"/>
      <c r="P149" s="1429"/>
      <c r="Q149" s="1429"/>
      <c r="R149" s="1429"/>
      <c r="S149" s="1429"/>
      <c r="T149" s="1429"/>
      <c r="U149" s="1429"/>
      <c r="V149" s="1429"/>
      <c r="W149" s="1429"/>
      <c r="X149" s="1429"/>
      <c r="Y149" s="1429"/>
      <c r="Z149" s="1429"/>
      <c r="AA149" s="1429"/>
      <c r="AB149" s="1429"/>
      <c r="AC149" s="1429"/>
      <c r="AD149" s="1429"/>
    </row>
    <row r="150" spans="2:30">
      <c r="C150" s="1220"/>
    </row>
  </sheetData>
  <mergeCells count="173">
    <mergeCell ref="I11:AD11"/>
    <mergeCell ref="J12:K12"/>
    <mergeCell ref="R12:S12"/>
    <mergeCell ref="X12:Z12"/>
    <mergeCell ref="I13:AD13"/>
    <mergeCell ref="I14:K14"/>
    <mergeCell ref="C1:AD1"/>
    <mergeCell ref="I4:AD4"/>
    <mergeCell ref="I5:AD5"/>
    <mergeCell ref="I6:K6"/>
    <mergeCell ref="I7:AD7"/>
    <mergeCell ref="J10:K10"/>
    <mergeCell ref="R10:T10"/>
    <mergeCell ref="X10:Z10"/>
    <mergeCell ref="J21:K21"/>
    <mergeCell ref="R21:S21"/>
    <mergeCell ref="X21:Z21"/>
    <mergeCell ref="I22:AD22"/>
    <mergeCell ref="I23:K23"/>
    <mergeCell ref="I24:AD24"/>
    <mergeCell ref="I15:AD15"/>
    <mergeCell ref="I16:N16"/>
    <mergeCell ref="J19:K19"/>
    <mergeCell ref="R19:T19"/>
    <mergeCell ref="X19:Z19"/>
    <mergeCell ref="I20:AD20"/>
    <mergeCell ref="J30:K30"/>
    <mergeCell ref="R30:S30"/>
    <mergeCell ref="X30:Z30"/>
    <mergeCell ref="I31:AD31"/>
    <mergeCell ref="I32:K32"/>
    <mergeCell ref="I33:AD33"/>
    <mergeCell ref="I25:N25"/>
    <mergeCell ref="L26:AD26"/>
    <mergeCell ref="J28:K28"/>
    <mergeCell ref="R28:T28"/>
    <mergeCell ref="X28:Z28"/>
    <mergeCell ref="I29:AD29"/>
    <mergeCell ref="J38:K38"/>
    <mergeCell ref="R38:S38"/>
    <mergeCell ref="X38:Z38"/>
    <mergeCell ref="I39:AD39"/>
    <mergeCell ref="I40:K40"/>
    <mergeCell ref="I41:AD41"/>
    <mergeCell ref="I34:N34"/>
    <mergeCell ref="L35:AD35"/>
    <mergeCell ref="J36:K36"/>
    <mergeCell ref="R36:T36"/>
    <mergeCell ref="X36:Z36"/>
    <mergeCell ref="I37:AD37"/>
    <mergeCell ref="J46:K46"/>
    <mergeCell ref="R46:S46"/>
    <mergeCell ref="X46:Z46"/>
    <mergeCell ref="I47:AD47"/>
    <mergeCell ref="I48:K48"/>
    <mergeCell ref="I49:AD49"/>
    <mergeCell ref="I42:N42"/>
    <mergeCell ref="L43:AD43"/>
    <mergeCell ref="J44:K44"/>
    <mergeCell ref="R44:T44"/>
    <mergeCell ref="X44:Z44"/>
    <mergeCell ref="I45:AD45"/>
    <mergeCell ref="I59:O59"/>
    <mergeCell ref="P59:Z59"/>
    <mergeCell ref="P61:Z61"/>
    <mergeCell ref="I62:O62"/>
    <mergeCell ref="P62:Z62"/>
    <mergeCell ref="P63:Z63"/>
    <mergeCell ref="I50:N50"/>
    <mergeCell ref="L51:AD51"/>
    <mergeCell ref="P55:Z55"/>
    <mergeCell ref="I56:O56"/>
    <mergeCell ref="P56:Z56"/>
    <mergeCell ref="P58:Z58"/>
    <mergeCell ref="I69:O69"/>
    <mergeCell ref="P69:Z69"/>
    <mergeCell ref="P70:Z70"/>
    <mergeCell ref="I71:O71"/>
    <mergeCell ref="P71:Z71"/>
    <mergeCell ref="P72:Z72"/>
    <mergeCell ref="I64:O64"/>
    <mergeCell ref="P64:Z64"/>
    <mergeCell ref="P65:Z65"/>
    <mergeCell ref="I66:O66"/>
    <mergeCell ref="P66:Z66"/>
    <mergeCell ref="P68:Z68"/>
    <mergeCell ref="I80:N80"/>
    <mergeCell ref="I81:AD81"/>
    <mergeCell ref="K82:AD82"/>
    <mergeCell ref="I84:AD84"/>
    <mergeCell ref="I85:AD85"/>
    <mergeCell ref="I86:K86"/>
    <mergeCell ref="I73:O73"/>
    <mergeCell ref="P73:Z73"/>
    <mergeCell ref="I76:AD76"/>
    <mergeCell ref="I77:AD77"/>
    <mergeCell ref="I78:K78"/>
    <mergeCell ref="I79:AD79"/>
    <mergeCell ref="I93:K93"/>
    <mergeCell ref="I94:AD94"/>
    <mergeCell ref="I95:N95"/>
    <mergeCell ref="I96:AD96"/>
    <mergeCell ref="K97:AD97"/>
    <mergeCell ref="I98:AD98"/>
    <mergeCell ref="I87:AD87"/>
    <mergeCell ref="I88:N88"/>
    <mergeCell ref="I89:AD89"/>
    <mergeCell ref="K90:AD90"/>
    <mergeCell ref="I91:AD91"/>
    <mergeCell ref="I92:AD92"/>
    <mergeCell ref="J107:K107"/>
    <mergeCell ref="R107:T107"/>
    <mergeCell ref="X107:Z107"/>
    <mergeCell ref="I108:AD108"/>
    <mergeCell ref="J109:K109"/>
    <mergeCell ref="R109:S109"/>
    <mergeCell ref="X109:Z109"/>
    <mergeCell ref="I99:AD99"/>
    <mergeCell ref="I100:K100"/>
    <mergeCell ref="I101:AD101"/>
    <mergeCell ref="I102:N102"/>
    <mergeCell ref="I103:AD103"/>
    <mergeCell ref="K104:AD104"/>
    <mergeCell ref="I117:AD117"/>
    <mergeCell ref="J118:K118"/>
    <mergeCell ref="R118:S118"/>
    <mergeCell ref="X118:Z118"/>
    <mergeCell ref="I119:AD119"/>
    <mergeCell ref="I120:K120"/>
    <mergeCell ref="I110:AD110"/>
    <mergeCell ref="I111:K111"/>
    <mergeCell ref="I112:AD112"/>
    <mergeCell ref="I113:N113"/>
    <mergeCell ref="K114:AD114"/>
    <mergeCell ref="J116:K116"/>
    <mergeCell ref="R116:T116"/>
    <mergeCell ref="X116:Z116"/>
    <mergeCell ref="I125:AD125"/>
    <mergeCell ref="J126:K126"/>
    <mergeCell ref="R126:S126"/>
    <mergeCell ref="X126:Z126"/>
    <mergeCell ref="I127:AD127"/>
    <mergeCell ref="I128:K128"/>
    <mergeCell ref="I121:AD121"/>
    <mergeCell ref="I122:N122"/>
    <mergeCell ref="K123:AD123"/>
    <mergeCell ref="J124:K124"/>
    <mergeCell ref="R124:T124"/>
    <mergeCell ref="X124:Z124"/>
    <mergeCell ref="I133:AD133"/>
    <mergeCell ref="J134:K134"/>
    <mergeCell ref="R134:S134"/>
    <mergeCell ref="X134:Z134"/>
    <mergeCell ref="I135:AD135"/>
    <mergeCell ref="I136:K136"/>
    <mergeCell ref="I129:AD129"/>
    <mergeCell ref="I130:N130"/>
    <mergeCell ref="K131:AD131"/>
    <mergeCell ref="J132:K132"/>
    <mergeCell ref="R132:T132"/>
    <mergeCell ref="X132:Z132"/>
    <mergeCell ref="I143:AD143"/>
    <mergeCell ref="I144:K144"/>
    <mergeCell ref="I145:AD145"/>
    <mergeCell ref="I146:N146"/>
    <mergeCell ref="N147:AD147"/>
    <mergeCell ref="I148:AD149"/>
    <mergeCell ref="I137:AD137"/>
    <mergeCell ref="I138:N138"/>
    <mergeCell ref="K139:AD139"/>
    <mergeCell ref="I141:AC141"/>
    <mergeCell ref="N142:P142"/>
    <mergeCell ref="T142:X142"/>
  </mergeCells>
  <phoneticPr fontId="122"/>
  <printOptions horizontalCentered="1"/>
  <pageMargins left="0.59055118110236227" right="0.59055118110236227" top="0.78740157480314965" bottom="0.39370078740157483" header="0" footer="0.19685039370078741"/>
  <pageSetup paperSize="9" scale="95" fitToHeight="3" orientation="portrait" blackAndWhite="1" r:id="rId1"/>
  <rowBreaks count="2" manualBreakCount="2">
    <brk id="56" max="16383" man="1"/>
    <brk id="10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D120"/>
  <sheetViews>
    <sheetView zoomScaleNormal="100" workbookViewId="0"/>
  </sheetViews>
  <sheetFormatPr defaultColWidth="9" defaultRowHeight="10.8"/>
  <cols>
    <col min="1" max="2" width="1.77734375" style="1219" customWidth="1"/>
    <col min="3" max="3" width="2.88671875" style="1219" customWidth="1"/>
    <col min="4" max="4" width="3" style="1219" customWidth="1"/>
    <col min="5" max="6" width="3.6640625" style="1219" customWidth="1"/>
    <col min="7" max="7" width="3.21875" style="1219" customWidth="1"/>
    <col min="8" max="8" width="1.33203125" style="1219" customWidth="1"/>
    <col min="9" max="9" width="2.109375" style="1219" customWidth="1"/>
    <col min="10" max="11" width="3" style="1219" customWidth="1"/>
    <col min="12" max="14" width="2.88671875" style="1219" customWidth="1"/>
    <col min="15" max="15" width="3" style="1219" customWidth="1"/>
    <col min="16" max="16" width="2.88671875" style="1219" customWidth="1"/>
    <col min="17" max="17" width="2.109375" style="1219" customWidth="1"/>
    <col min="18" max="19" width="2.77734375" style="1219" customWidth="1"/>
    <col min="20" max="21" width="2.109375" style="1219" customWidth="1"/>
    <col min="22" max="59" width="2.88671875" style="1219" customWidth="1"/>
    <col min="60" max="256" width="9" style="1219" customWidth="1"/>
    <col min="257" max="258" width="1.77734375" style="1219" customWidth="1"/>
    <col min="259" max="259" width="2.88671875" style="1219" customWidth="1"/>
    <col min="260" max="260" width="3" style="1219" customWidth="1"/>
    <col min="261" max="262" width="3.6640625" style="1219" customWidth="1"/>
    <col min="263" max="263" width="3.21875" style="1219" customWidth="1"/>
    <col min="264" max="264" width="1.33203125" style="1219" customWidth="1"/>
    <col min="265" max="265" width="2.109375" style="1219" customWidth="1"/>
    <col min="266" max="267" width="3" style="1219" customWidth="1"/>
    <col min="268" max="270" width="2.88671875" style="1219" customWidth="1"/>
    <col min="271" max="271" width="3" style="1219" customWidth="1"/>
    <col min="272" max="272" width="2.88671875" style="1219" customWidth="1"/>
    <col min="273" max="273" width="2.109375" style="1219" customWidth="1"/>
    <col min="274" max="275" width="2.77734375" style="1219" customWidth="1"/>
    <col min="276" max="277" width="2.109375" style="1219" customWidth="1"/>
    <col min="278" max="315" width="2.88671875" style="1219" customWidth="1"/>
    <col min="316" max="512" width="9" style="1219" customWidth="1"/>
    <col min="513" max="514" width="1.77734375" style="1219" customWidth="1"/>
    <col min="515" max="515" width="2.88671875" style="1219" customWidth="1"/>
    <col min="516" max="516" width="3" style="1219" customWidth="1"/>
    <col min="517" max="518" width="3.6640625" style="1219" customWidth="1"/>
    <col min="519" max="519" width="3.21875" style="1219" customWidth="1"/>
    <col min="520" max="520" width="1.33203125" style="1219" customWidth="1"/>
    <col min="521" max="521" width="2.109375" style="1219" customWidth="1"/>
    <col min="522" max="523" width="3" style="1219" customWidth="1"/>
    <col min="524" max="526" width="2.88671875" style="1219" customWidth="1"/>
    <col min="527" max="527" width="3" style="1219" customWidth="1"/>
    <col min="528" max="528" width="2.88671875" style="1219" customWidth="1"/>
    <col min="529" max="529" width="2.109375" style="1219" customWidth="1"/>
    <col min="530" max="531" width="2.77734375" style="1219" customWidth="1"/>
    <col min="532" max="533" width="2.109375" style="1219" customWidth="1"/>
    <col min="534" max="571" width="2.88671875" style="1219" customWidth="1"/>
    <col min="572" max="768" width="9" style="1219" customWidth="1"/>
    <col min="769" max="770" width="1.77734375" style="1219" customWidth="1"/>
    <col min="771" max="771" width="2.88671875" style="1219" customWidth="1"/>
    <col min="772" max="772" width="3" style="1219" customWidth="1"/>
    <col min="773" max="774" width="3.6640625" style="1219" customWidth="1"/>
    <col min="775" max="775" width="3.21875" style="1219" customWidth="1"/>
    <col min="776" max="776" width="1.33203125" style="1219" customWidth="1"/>
    <col min="777" max="777" width="2.109375" style="1219" customWidth="1"/>
    <col min="778" max="779" width="3" style="1219" customWidth="1"/>
    <col min="780" max="782" width="2.88671875" style="1219" customWidth="1"/>
    <col min="783" max="783" width="3" style="1219" customWidth="1"/>
    <col min="784" max="784" width="2.88671875" style="1219" customWidth="1"/>
    <col min="785" max="785" width="2.109375" style="1219" customWidth="1"/>
    <col min="786" max="787" width="2.77734375" style="1219" customWidth="1"/>
    <col min="788" max="789" width="2.109375" style="1219" customWidth="1"/>
    <col min="790" max="827" width="2.88671875" style="1219" customWidth="1"/>
    <col min="828" max="1024" width="9" style="1219" customWidth="1"/>
    <col min="1025" max="1026" width="1.77734375" style="1219" customWidth="1"/>
    <col min="1027" max="1027" width="2.88671875" style="1219" customWidth="1"/>
    <col min="1028" max="1028" width="3" style="1219" customWidth="1"/>
    <col min="1029" max="1030" width="3.6640625" style="1219" customWidth="1"/>
    <col min="1031" max="1031" width="3.21875" style="1219" customWidth="1"/>
    <col min="1032" max="1032" width="1.33203125" style="1219" customWidth="1"/>
    <col min="1033" max="1033" width="2.109375" style="1219" customWidth="1"/>
    <col min="1034" max="1035" width="3" style="1219" customWidth="1"/>
    <col min="1036" max="1038" width="2.88671875" style="1219" customWidth="1"/>
    <col min="1039" max="1039" width="3" style="1219" customWidth="1"/>
    <col min="1040" max="1040" width="2.88671875" style="1219" customWidth="1"/>
    <col min="1041" max="1041" width="2.109375" style="1219" customWidth="1"/>
    <col min="1042" max="1043" width="2.77734375" style="1219" customWidth="1"/>
    <col min="1044" max="1045" width="2.109375" style="1219" customWidth="1"/>
    <col min="1046" max="1083" width="2.88671875" style="1219" customWidth="1"/>
    <col min="1084" max="1280" width="9" style="1219" customWidth="1"/>
    <col min="1281" max="1282" width="1.77734375" style="1219" customWidth="1"/>
    <col min="1283" max="1283" width="2.88671875" style="1219" customWidth="1"/>
    <col min="1284" max="1284" width="3" style="1219" customWidth="1"/>
    <col min="1285" max="1286" width="3.6640625" style="1219" customWidth="1"/>
    <col min="1287" max="1287" width="3.21875" style="1219" customWidth="1"/>
    <col min="1288" max="1288" width="1.33203125" style="1219" customWidth="1"/>
    <col min="1289" max="1289" width="2.109375" style="1219" customWidth="1"/>
    <col min="1290" max="1291" width="3" style="1219" customWidth="1"/>
    <col min="1292" max="1294" width="2.88671875" style="1219" customWidth="1"/>
    <col min="1295" max="1295" width="3" style="1219" customWidth="1"/>
    <col min="1296" max="1296" width="2.88671875" style="1219" customWidth="1"/>
    <col min="1297" max="1297" width="2.109375" style="1219" customWidth="1"/>
    <col min="1298" max="1299" width="2.77734375" style="1219" customWidth="1"/>
    <col min="1300" max="1301" width="2.109375" style="1219" customWidth="1"/>
    <col min="1302" max="1339" width="2.88671875" style="1219" customWidth="1"/>
    <col min="1340" max="1536" width="9" style="1219" customWidth="1"/>
    <col min="1537" max="1538" width="1.77734375" style="1219" customWidth="1"/>
    <col min="1539" max="1539" width="2.88671875" style="1219" customWidth="1"/>
    <col min="1540" max="1540" width="3" style="1219" customWidth="1"/>
    <col min="1541" max="1542" width="3.6640625" style="1219" customWidth="1"/>
    <col min="1543" max="1543" width="3.21875" style="1219" customWidth="1"/>
    <col min="1544" max="1544" width="1.33203125" style="1219" customWidth="1"/>
    <col min="1545" max="1545" width="2.109375" style="1219" customWidth="1"/>
    <col min="1546" max="1547" width="3" style="1219" customWidth="1"/>
    <col min="1548" max="1550" width="2.88671875" style="1219" customWidth="1"/>
    <col min="1551" max="1551" width="3" style="1219" customWidth="1"/>
    <col min="1552" max="1552" width="2.88671875" style="1219" customWidth="1"/>
    <col min="1553" max="1553" width="2.109375" style="1219" customWidth="1"/>
    <col min="1554" max="1555" width="2.77734375" style="1219" customWidth="1"/>
    <col min="1556" max="1557" width="2.109375" style="1219" customWidth="1"/>
    <col min="1558" max="1595" width="2.88671875" style="1219" customWidth="1"/>
    <col min="1596" max="1792" width="9" style="1219" customWidth="1"/>
    <col min="1793" max="1794" width="1.77734375" style="1219" customWidth="1"/>
    <col min="1795" max="1795" width="2.88671875" style="1219" customWidth="1"/>
    <col min="1796" max="1796" width="3" style="1219" customWidth="1"/>
    <col min="1797" max="1798" width="3.6640625" style="1219" customWidth="1"/>
    <col min="1799" max="1799" width="3.21875" style="1219" customWidth="1"/>
    <col min="1800" max="1800" width="1.33203125" style="1219" customWidth="1"/>
    <col min="1801" max="1801" width="2.109375" style="1219" customWidth="1"/>
    <col min="1802" max="1803" width="3" style="1219" customWidth="1"/>
    <col min="1804" max="1806" width="2.88671875" style="1219" customWidth="1"/>
    <col min="1807" max="1807" width="3" style="1219" customWidth="1"/>
    <col min="1808" max="1808" width="2.88671875" style="1219" customWidth="1"/>
    <col min="1809" max="1809" width="2.109375" style="1219" customWidth="1"/>
    <col min="1810" max="1811" width="2.77734375" style="1219" customWidth="1"/>
    <col min="1812" max="1813" width="2.109375" style="1219" customWidth="1"/>
    <col min="1814" max="1851" width="2.88671875" style="1219" customWidth="1"/>
    <col min="1852" max="2048" width="9" style="1219" customWidth="1"/>
    <col min="2049" max="2050" width="1.77734375" style="1219" customWidth="1"/>
    <col min="2051" max="2051" width="2.88671875" style="1219" customWidth="1"/>
    <col min="2052" max="2052" width="3" style="1219" customWidth="1"/>
    <col min="2053" max="2054" width="3.6640625" style="1219" customWidth="1"/>
    <col min="2055" max="2055" width="3.21875" style="1219" customWidth="1"/>
    <col min="2056" max="2056" width="1.33203125" style="1219" customWidth="1"/>
    <col min="2057" max="2057" width="2.109375" style="1219" customWidth="1"/>
    <col min="2058" max="2059" width="3" style="1219" customWidth="1"/>
    <col min="2060" max="2062" width="2.88671875" style="1219" customWidth="1"/>
    <col min="2063" max="2063" width="3" style="1219" customWidth="1"/>
    <col min="2064" max="2064" width="2.88671875" style="1219" customWidth="1"/>
    <col min="2065" max="2065" width="2.109375" style="1219" customWidth="1"/>
    <col min="2066" max="2067" width="2.77734375" style="1219" customWidth="1"/>
    <col min="2068" max="2069" width="2.109375" style="1219" customWidth="1"/>
    <col min="2070" max="2107" width="2.88671875" style="1219" customWidth="1"/>
    <col min="2108" max="2304" width="9" style="1219" customWidth="1"/>
    <col min="2305" max="2306" width="1.77734375" style="1219" customWidth="1"/>
    <col min="2307" max="2307" width="2.88671875" style="1219" customWidth="1"/>
    <col min="2308" max="2308" width="3" style="1219" customWidth="1"/>
    <col min="2309" max="2310" width="3.6640625" style="1219" customWidth="1"/>
    <col min="2311" max="2311" width="3.21875" style="1219" customWidth="1"/>
    <col min="2312" max="2312" width="1.33203125" style="1219" customWidth="1"/>
    <col min="2313" max="2313" width="2.109375" style="1219" customWidth="1"/>
    <col min="2314" max="2315" width="3" style="1219" customWidth="1"/>
    <col min="2316" max="2318" width="2.88671875" style="1219" customWidth="1"/>
    <col min="2319" max="2319" width="3" style="1219" customWidth="1"/>
    <col min="2320" max="2320" width="2.88671875" style="1219" customWidth="1"/>
    <col min="2321" max="2321" width="2.109375" style="1219" customWidth="1"/>
    <col min="2322" max="2323" width="2.77734375" style="1219" customWidth="1"/>
    <col min="2324" max="2325" width="2.109375" style="1219" customWidth="1"/>
    <col min="2326" max="2363" width="2.88671875" style="1219" customWidth="1"/>
    <col min="2364" max="2560" width="9" style="1219" customWidth="1"/>
    <col min="2561" max="2562" width="1.77734375" style="1219" customWidth="1"/>
    <col min="2563" max="2563" width="2.88671875" style="1219" customWidth="1"/>
    <col min="2564" max="2564" width="3" style="1219" customWidth="1"/>
    <col min="2565" max="2566" width="3.6640625" style="1219" customWidth="1"/>
    <col min="2567" max="2567" width="3.21875" style="1219" customWidth="1"/>
    <col min="2568" max="2568" width="1.33203125" style="1219" customWidth="1"/>
    <col min="2569" max="2569" width="2.109375" style="1219" customWidth="1"/>
    <col min="2570" max="2571" width="3" style="1219" customWidth="1"/>
    <col min="2572" max="2574" width="2.88671875" style="1219" customWidth="1"/>
    <col min="2575" max="2575" width="3" style="1219" customWidth="1"/>
    <col min="2576" max="2576" width="2.88671875" style="1219" customWidth="1"/>
    <col min="2577" max="2577" width="2.109375" style="1219" customWidth="1"/>
    <col min="2578" max="2579" width="2.77734375" style="1219" customWidth="1"/>
    <col min="2580" max="2581" width="2.109375" style="1219" customWidth="1"/>
    <col min="2582" max="2619" width="2.88671875" style="1219" customWidth="1"/>
    <col min="2620" max="2816" width="9" style="1219" customWidth="1"/>
    <col min="2817" max="2818" width="1.77734375" style="1219" customWidth="1"/>
    <col min="2819" max="2819" width="2.88671875" style="1219" customWidth="1"/>
    <col min="2820" max="2820" width="3" style="1219" customWidth="1"/>
    <col min="2821" max="2822" width="3.6640625" style="1219" customWidth="1"/>
    <col min="2823" max="2823" width="3.21875" style="1219" customWidth="1"/>
    <col min="2824" max="2824" width="1.33203125" style="1219" customWidth="1"/>
    <col min="2825" max="2825" width="2.109375" style="1219" customWidth="1"/>
    <col min="2826" max="2827" width="3" style="1219" customWidth="1"/>
    <col min="2828" max="2830" width="2.88671875" style="1219" customWidth="1"/>
    <col min="2831" max="2831" width="3" style="1219" customWidth="1"/>
    <col min="2832" max="2832" width="2.88671875" style="1219" customWidth="1"/>
    <col min="2833" max="2833" width="2.109375" style="1219" customWidth="1"/>
    <col min="2834" max="2835" width="2.77734375" style="1219" customWidth="1"/>
    <col min="2836" max="2837" width="2.109375" style="1219" customWidth="1"/>
    <col min="2838" max="2875" width="2.88671875" style="1219" customWidth="1"/>
    <col min="2876" max="3072" width="9" style="1219" customWidth="1"/>
    <col min="3073" max="3074" width="1.77734375" style="1219" customWidth="1"/>
    <col min="3075" max="3075" width="2.88671875" style="1219" customWidth="1"/>
    <col min="3076" max="3076" width="3" style="1219" customWidth="1"/>
    <col min="3077" max="3078" width="3.6640625" style="1219" customWidth="1"/>
    <col min="3079" max="3079" width="3.21875" style="1219" customWidth="1"/>
    <col min="3080" max="3080" width="1.33203125" style="1219" customWidth="1"/>
    <col min="3081" max="3081" width="2.109375" style="1219" customWidth="1"/>
    <col min="3082" max="3083" width="3" style="1219" customWidth="1"/>
    <col min="3084" max="3086" width="2.88671875" style="1219" customWidth="1"/>
    <col min="3087" max="3087" width="3" style="1219" customWidth="1"/>
    <col min="3088" max="3088" width="2.88671875" style="1219" customWidth="1"/>
    <col min="3089" max="3089" width="2.109375" style="1219" customWidth="1"/>
    <col min="3090" max="3091" width="2.77734375" style="1219" customWidth="1"/>
    <col min="3092" max="3093" width="2.109375" style="1219" customWidth="1"/>
    <col min="3094" max="3131" width="2.88671875" style="1219" customWidth="1"/>
    <col min="3132" max="3328" width="9" style="1219" customWidth="1"/>
    <col min="3329" max="3330" width="1.77734375" style="1219" customWidth="1"/>
    <col min="3331" max="3331" width="2.88671875" style="1219" customWidth="1"/>
    <col min="3332" max="3332" width="3" style="1219" customWidth="1"/>
    <col min="3333" max="3334" width="3.6640625" style="1219" customWidth="1"/>
    <col min="3335" max="3335" width="3.21875" style="1219" customWidth="1"/>
    <col min="3336" max="3336" width="1.33203125" style="1219" customWidth="1"/>
    <col min="3337" max="3337" width="2.109375" style="1219" customWidth="1"/>
    <col min="3338" max="3339" width="3" style="1219" customWidth="1"/>
    <col min="3340" max="3342" width="2.88671875" style="1219" customWidth="1"/>
    <col min="3343" max="3343" width="3" style="1219" customWidth="1"/>
    <col min="3344" max="3344" width="2.88671875" style="1219" customWidth="1"/>
    <col min="3345" max="3345" width="2.109375" style="1219" customWidth="1"/>
    <col min="3346" max="3347" width="2.77734375" style="1219" customWidth="1"/>
    <col min="3348" max="3349" width="2.109375" style="1219" customWidth="1"/>
    <col min="3350" max="3387" width="2.88671875" style="1219" customWidth="1"/>
    <col min="3388" max="3584" width="9" style="1219" customWidth="1"/>
    <col min="3585" max="3586" width="1.77734375" style="1219" customWidth="1"/>
    <col min="3587" max="3587" width="2.88671875" style="1219" customWidth="1"/>
    <col min="3588" max="3588" width="3" style="1219" customWidth="1"/>
    <col min="3589" max="3590" width="3.6640625" style="1219" customWidth="1"/>
    <col min="3591" max="3591" width="3.21875" style="1219" customWidth="1"/>
    <col min="3592" max="3592" width="1.33203125" style="1219" customWidth="1"/>
    <col min="3593" max="3593" width="2.109375" style="1219" customWidth="1"/>
    <col min="3594" max="3595" width="3" style="1219" customWidth="1"/>
    <col min="3596" max="3598" width="2.88671875" style="1219" customWidth="1"/>
    <col min="3599" max="3599" width="3" style="1219" customWidth="1"/>
    <col min="3600" max="3600" width="2.88671875" style="1219" customWidth="1"/>
    <col min="3601" max="3601" width="2.109375" style="1219" customWidth="1"/>
    <col min="3602" max="3603" width="2.77734375" style="1219" customWidth="1"/>
    <col min="3604" max="3605" width="2.109375" style="1219" customWidth="1"/>
    <col min="3606" max="3643" width="2.88671875" style="1219" customWidth="1"/>
    <col min="3644" max="3840" width="9" style="1219" customWidth="1"/>
    <col min="3841" max="3842" width="1.77734375" style="1219" customWidth="1"/>
    <col min="3843" max="3843" width="2.88671875" style="1219" customWidth="1"/>
    <col min="3844" max="3844" width="3" style="1219" customWidth="1"/>
    <col min="3845" max="3846" width="3.6640625" style="1219" customWidth="1"/>
    <col min="3847" max="3847" width="3.21875" style="1219" customWidth="1"/>
    <col min="3848" max="3848" width="1.33203125" style="1219" customWidth="1"/>
    <col min="3849" max="3849" width="2.109375" style="1219" customWidth="1"/>
    <col min="3850" max="3851" width="3" style="1219" customWidth="1"/>
    <col min="3852" max="3854" width="2.88671875" style="1219" customWidth="1"/>
    <col min="3855" max="3855" width="3" style="1219" customWidth="1"/>
    <col min="3856" max="3856" width="2.88671875" style="1219" customWidth="1"/>
    <col min="3857" max="3857" width="2.109375" style="1219" customWidth="1"/>
    <col min="3858" max="3859" width="2.77734375" style="1219" customWidth="1"/>
    <col min="3860" max="3861" width="2.109375" style="1219" customWidth="1"/>
    <col min="3862" max="3899" width="2.88671875" style="1219" customWidth="1"/>
    <col min="3900" max="4096" width="9" style="1219" customWidth="1"/>
    <col min="4097" max="4098" width="1.77734375" style="1219" customWidth="1"/>
    <col min="4099" max="4099" width="2.88671875" style="1219" customWidth="1"/>
    <col min="4100" max="4100" width="3" style="1219" customWidth="1"/>
    <col min="4101" max="4102" width="3.6640625" style="1219" customWidth="1"/>
    <col min="4103" max="4103" width="3.21875" style="1219" customWidth="1"/>
    <col min="4104" max="4104" width="1.33203125" style="1219" customWidth="1"/>
    <col min="4105" max="4105" width="2.109375" style="1219" customWidth="1"/>
    <col min="4106" max="4107" width="3" style="1219" customWidth="1"/>
    <col min="4108" max="4110" width="2.88671875" style="1219" customWidth="1"/>
    <col min="4111" max="4111" width="3" style="1219" customWidth="1"/>
    <col min="4112" max="4112" width="2.88671875" style="1219" customWidth="1"/>
    <col min="4113" max="4113" width="2.109375" style="1219" customWidth="1"/>
    <col min="4114" max="4115" width="2.77734375" style="1219" customWidth="1"/>
    <col min="4116" max="4117" width="2.109375" style="1219" customWidth="1"/>
    <col min="4118" max="4155" width="2.88671875" style="1219" customWidth="1"/>
    <col min="4156" max="4352" width="9" style="1219" customWidth="1"/>
    <col min="4353" max="4354" width="1.77734375" style="1219" customWidth="1"/>
    <col min="4355" max="4355" width="2.88671875" style="1219" customWidth="1"/>
    <col min="4356" max="4356" width="3" style="1219" customWidth="1"/>
    <col min="4357" max="4358" width="3.6640625" style="1219" customWidth="1"/>
    <col min="4359" max="4359" width="3.21875" style="1219" customWidth="1"/>
    <col min="4360" max="4360" width="1.33203125" style="1219" customWidth="1"/>
    <col min="4361" max="4361" width="2.109375" style="1219" customWidth="1"/>
    <col min="4362" max="4363" width="3" style="1219" customWidth="1"/>
    <col min="4364" max="4366" width="2.88671875" style="1219" customWidth="1"/>
    <col min="4367" max="4367" width="3" style="1219" customWidth="1"/>
    <col min="4368" max="4368" width="2.88671875" style="1219" customWidth="1"/>
    <col min="4369" max="4369" width="2.109375" style="1219" customWidth="1"/>
    <col min="4370" max="4371" width="2.77734375" style="1219" customWidth="1"/>
    <col min="4372" max="4373" width="2.109375" style="1219" customWidth="1"/>
    <col min="4374" max="4411" width="2.88671875" style="1219" customWidth="1"/>
    <col min="4412" max="4608" width="9" style="1219" customWidth="1"/>
    <col min="4609" max="4610" width="1.77734375" style="1219" customWidth="1"/>
    <col min="4611" max="4611" width="2.88671875" style="1219" customWidth="1"/>
    <col min="4612" max="4612" width="3" style="1219" customWidth="1"/>
    <col min="4613" max="4614" width="3.6640625" style="1219" customWidth="1"/>
    <col min="4615" max="4615" width="3.21875" style="1219" customWidth="1"/>
    <col min="4616" max="4616" width="1.33203125" style="1219" customWidth="1"/>
    <col min="4617" max="4617" width="2.109375" style="1219" customWidth="1"/>
    <col min="4618" max="4619" width="3" style="1219" customWidth="1"/>
    <col min="4620" max="4622" width="2.88671875" style="1219" customWidth="1"/>
    <col min="4623" max="4623" width="3" style="1219" customWidth="1"/>
    <col min="4624" max="4624" width="2.88671875" style="1219" customWidth="1"/>
    <col min="4625" max="4625" width="2.109375" style="1219" customWidth="1"/>
    <col min="4626" max="4627" width="2.77734375" style="1219" customWidth="1"/>
    <col min="4628" max="4629" width="2.109375" style="1219" customWidth="1"/>
    <col min="4630" max="4667" width="2.88671875" style="1219" customWidth="1"/>
    <col min="4668" max="4864" width="9" style="1219" customWidth="1"/>
    <col min="4865" max="4866" width="1.77734375" style="1219" customWidth="1"/>
    <col min="4867" max="4867" width="2.88671875" style="1219" customWidth="1"/>
    <col min="4868" max="4868" width="3" style="1219" customWidth="1"/>
    <col min="4869" max="4870" width="3.6640625" style="1219" customWidth="1"/>
    <col min="4871" max="4871" width="3.21875" style="1219" customWidth="1"/>
    <col min="4872" max="4872" width="1.33203125" style="1219" customWidth="1"/>
    <col min="4873" max="4873" width="2.109375" style="1219" customWidth="1"/>
    <col min="4874" max="4875" width="3" style="1219" customWidth="1"/>
    <col min="4876" max="4878" width="2.88671875" style="1219" customWidth="1"/>
    <col min="4879" max="4879" width="3" style="1219" customWidth="1"/>
    <col min="4880" max="4880" width="2.88671875" style="1219" customWidth="1"/>
    <col min="4881" max="4881" width="2.109375" style="1219" customWidth="1"/>
    <col min="4882" max="4883" width="2.77734375" style="1219" customWidth="1"/>
    <col min="4884" max="4885" width="2.109375" style="1219" customWidth="1"/>
    <col min="4886" max="4923" width="2.88671875" style="1219" customWidth="1"/>
    <col min="4924" max="5120" width="9" style="1219" customWidth="1"/>
    <col min="5121" max="5122" width="1.77734375" style="1219" customWidth="1"/>
    <col min="5123" max="5123" width="2.88671875" style="1219" customWidth="1"/>
    <col min="5124" max="5124" width="3" style="1219" customWidth="1"/>
    <col min="5125" max="5126" width="3.6640625" style="1219" customWidth="1"/>
    <col min="5127" max="5127" width="3.21875" style="1219" customWidth="1"/>
    <col min="5128" max="5128" width="1.33203125" style="1219" customWidth="1"/>
    <col min="5129" max="5129" width="2.109375" style="1219" customWidth="1"/>
    <col min="5130" max="5131" width="3" style="1219" customWidth="1"/>
    <col min="5132" max="5134" width="2.88671875" style="1219" customWidth="1"/>
    <col min="5135" max="5135" width="3" style="1219" customWidth="1"/>
    <col min="5136" max="5136" width="2.88671875" style="1219" customWidth="1"/>
    <col min="5137" max="5137" width="2.109375" style="1219" customWidth="1"/>
    <col min="5138" max="5139" width="2.77734375" style="1219" customWidth="1"/>
    <col min="5140" max="5141" width="2.109375" style="1219" customWidth="1"/>
    <col min="5142" max="5179" width="2.88671875" style="1219" customWidth="1"/>
    <col min="5180" max="5376" width="9" style="1219" customWidth="1"/>
    <col min="5377" max="5378" width="1.77734375" style="1219" customWidth="1"/>
    <col min="5379" max="5379" width="2.88671875" style="1219" customWidth="1"/>
    <col min="5380" max="5380" width="3" style="1219" customWidth="1"/>
    <col min="5381" max="5382" width="3.6640625" style="1219" customWidth="1"/>
    <col min="5383" max="5383" width="3.21875" style="1219" customWidth="1"/>
    <col min="5384" max="5384" width="1.33203125" style="1219" customWidth="1"/>
    <col min="5385" max="5385" width="2.109375" style="1219" customWidth="1"/>
    <col min="5386" max="5387" width="3" style="1219" customWidth="1"/>
    <col min="5388" max="5390" width="2.88671875" style="1219" customWidth="1"/>
    <col min="5391" max="5391" width="3" style="1219" customWidth="1"/>
    <col min="5392" max="5392" width="2.88671875" style="1219" customWidth="1"/>
    <col min="5393" max="5393" width="2.109375" style="1219" customWidth="1"/>
    <col min="5394" max="5395" width="2.77734375" style="1219" customWidth="1"/>
    <col min="5396" max="5397" width="2.109375" style="1219" customWidth="1"/>
    <col min="5398" max="5435" width="2.88671875" style="1219" customWidth="1"/>
    <col min="5436" max="5632" width="9" style="1219" customWidth="1"/>
    <col min="5633" max="5634" width="1.77734375" style="1219" customWidth="1"/>
    <col min="5635" max="5635" width="2.88671875" style="1219" customWidth="1"/>
    <col min="5636" max="5636" width="3" style="1219" customWidth="1"/>
    <col min="5637" max="5638" width="3.6640625" style="1219" customWidth="1"/>
    <col min="5639" max="5639" width="3.21875" style="1219" customWidth="1"/>
    <col min="5640" max="5640" width="1.33203125" style="1219" customWidth="1"/>
    <col min="5641" max="5641" width="2.109375" style="1219" customWidth="1"/>
    <col min="5642" max="5643" width="3" style="1219" customWidth="1"/>
    <col min="5644" max="5646" width="2.88671875" style="1219" customWidth="1"/>
    <col min="5647" max="5647" width="3" style="1219" customWidth="1"/>
    <col min="5648" max="5648" width="2.88671875" style="1219" customWidth="1"/>
    <col min="5649" max="5649" width="2.109375" style="1219" customWidth="1"/>
    <col min="5650" max="5651" width="2.77734375" style="1219" customWidth="1"/>
    <col min="5652" max="5653" width="2.109375" style="1219" customWidth="1"/>
    <col min="5654" max="5691" width="2.88671875" style="1219" customWidth="1"/>
    <col min="5692" max="5888" width="9" style="1219" customWidth="1"/>
    <col min="5889" max="5890" width="1.77734375" style="1219" customWidth="1"/>
    <col min="5891" max="5891" width="2.88671875" style="1219" customWidth="1"/>
    <col min="5892" max="5892" width="3" style="1219" customWidth="1"/>
    <col min="5893" max="5894" width="3.6640625" style="1219" customWidth="1"/>
    <col min="5895" max="5895" width="3.21875" style="1219" customWidth="1"/>
    <col min="5896" max="5896" width="1.33203125" style="1219" customWidth="1"/>
    <col min="5897" max="5897" width="2.109375" style="1219" customWidth="1"/>
    <col min="5898" max="5899" width="3" style="1219" customWidth="1"/>
    <col min="5900" max="5902" width="2.88671875" style="1219" customWidth="1"/>
    <col min="5903" max="5903" width="3" style="1219" customWidth="1"/>
    <col min="5904" max="5904" width="2.88671875" style="1219" customWidth="1"/>
    <col min="5905" max="5905" width="2.109375" style="1219" customWidth="1"/>
    <col min="5906" max="5907" width="2.77734375" style="1219" customWidth="1"/>
    <col min="5908" max="5909" width="2.109375" style="1219" customWidth="1"/>
    <col min="5910" max="5947" width="2.88671875" style="1219" customWidth="1"/>
    <col min="5948" max="6144" width="9" style="1219" customWidth="1"/>
    <col min="6145" max="6146" width="1.77734375" style="1219" customWidth="1"/>
    <col min="6147" max="6147" width="2.88671875" style="1219" customWidth="1"/>
    <col min="6148" max="6148" width="3" style="1219" customWidth="1"/>
    <col min="6149" max="6150" width="3.6640625" style="1219" customWidth="1"/>
    <col min="6151" max="6151" width="3.21875" style="1219" customWidth="1"/>
    <col min="6152" max="6152" width="1.33203125" style="1219" customWidth="1"/>
    <col min="6153" max="6153" width="2.109375" style="1219" customWidth="1"/>
    <col min="6154" max="6155" width="3" style="1219" customWidth="1"/>
    <col min="6156" max="6158" width="2.88671875" style="1219" customWidth="1"/>
    <col min="6159" max="6159" width="3" style="1219" customWidth="1"/>
    <col min="6160" max="6160" width="2.88671875" style="1219" customWidth="1"/>
    <col min="6161" max="6161" width="2.109375" style="1219" customWidth="1"/>
    <col min="6162" max="6163" width="2.77734375" style="1219" customWidth="1"/>
    <col min="6164" max="6165" width="2.109375" style="1219" customWidth="1"/>
    <col min="6166" max="6203" width="2.88671875" style="1219" customWidth="1"/>
    <col min="6204" max="6400" width="9" style="1219" customWidth="1"/>
    <col min="6401" max="6402" width="1.77734375" style="1219" customWidth="1"/>
    <col min="6403" max="6403" width="2.88671875" style="1219" customWidth="1"/>
    <col min="6404" max="6404" width="3" style="1219" customWidth="1"/>
    <col min="6405" max="6406" width="3.6640625" style="1219" customWidth="1"/>
    <col min="6407" max="6407" width="3.21875" style="1219" customWidth="1"/>
    <col min="6408" max="6408" width="1.33203125" style="1219" customWidth="1"/>
    <col min="6409" max="6409" width="2.109375" style="1219" customWidth="1"/>
    <col min="6410" max="6411" width="3" style="1219" customWidth="1"/>
    <col min="6412" max="6414" width="2.88671875" style="1219" customWidth="1"/>
    <col min="6415" max="6415" width="3" style="1219" customWidth="1"/>
    <col min="6416" max="6416" width="2.88671875" style="1219" customWidth="1"/>
    <col min="6417" max="6417" width="2.109375" style="1219" customWidth="1"/>
    <col min="6418" max="6419" width="2.77734375" style="1219" customWidth="1"/>
    <col min="6420" max="6421" width="2.109375" style="1219" customWidth="1"/>
    <col min="6422" max="6459" width="2.88671875" style="1219" customWidth="1"/>
    <col min="6460" max="6656" width="9" style="1219" customWidth="1"/>
    <col min="6657" max="6658" width="1.77734375" style="1219" customWidth="1"/>
    <col min="6659" max="6659" width="2.88671875" style="1219" customWidth="1"/>
    <col min="6660" max="6660" width="3" style="1219" customWidth="1"/>
    <col min="6661" max="6662" width="3.6640625" style="1219" customWidth="1"/>
    <col min="6663" max="6663" width="3.21875" style="1219" customWidth="1"/>
    <col min="6664" max="6664" width="1.33203125" style="1219" customWidth="1"/>
    <col min="6665" max="6665" width="2.109375" style="1219" customWidth="1"/>
    <col min="6666" max="6667" width="3" style="1219" customWidth="1"/>
    <col min="6668" max="6670" width="2.88671875" style="1219" customWidth="1"/>
    <col min="6671" max="6671" width="3" style="1219" customWidth="1"/>
    <col min="6672" max="6672" width="2.88671875" style="1219" customWidth="1"/>
    <col min="6673" max="6673" width="2.109375" style="1219" customWidth="1"/>
    <col min="6674" max="6675" width="2.77734375" style="1219" customWidth="1"/>
    <col min="6676" max="6677" width="2.109375" style="1219" customWidth="1"/>
    <col min="6678" max="6715" width="2.88671875" style="1219" customWidth="1"/>
    <col min="6716" max="6912" width="9" style="1219" customWidth="1"/>
    <col min="6913" max="6914" width="1.77734375" style="1219" customWidth="1"/>
    <col min="6915" max="6915" width="2.88671875" style="1219" customWidth="1"/>
    <col min="6916" max="6916" width="3" style="1219" customWidth="1"/>
    <col min="6917" max="6918" width="3.6640625" style="1219" customWidth="1"/>
    <col min="6919" max="6919" width="3.21875" style="1219" customWidth="1"/>
    <col min="6920" max="6920" width="1.33203125" style="1219" customWidth="1"/>
    <col min="6921" max="6921" width="2.109375" style="1219" customWidth="1"/>
    <col min="6922" max="6923" width="3" style="1219" customWidth="1"/>
    <col min="6924" max="6926" width="2.88671875" style="1219" customWidth="1"/>
    <col min="6927" max="6927" width="3" style="1219" customWidth="1"/>
    <col min="6928" max="6928" width="2.88671875" style="1219" customWidth="1"/>
    <col min="6929" max="6929" width="2.109375" style="1219" customWidth="1"/>
    <col min="6930" max="6931" width="2.77734375" style="1219" customWidth="1"/>
    <col min="6932" max="6933" width="2.109375" style="1219" customWidth="1"/>
    <col min="6934" max="6971" width="2.88671875" style="1219" customWidth="1"/>
    <col min="6972" max="7168" width="9" style="1219" customWidth="1"/>
    <col min="7169" max="7170" width="1.77734375" style="1219" customWidth="1"/>
    <col min="7171" max="7171" width="2.88671875" style="1219" customWidth="1"/>
    <col min="7172" max="7172" width="3" style="1219" customWidth="1"/>
    <col min="7173" max="7174" width="3.6640625" style="1219" customWidth="1"/>
    <col min="7175" max="7175" width="3.21875" style="1219" customWidth="1"/>
    <col min="7176" max="7176" width="1.33203125" style="1219" customWidth="1"/>
    <col min="7177" max="7177" width="2.109375" style="1219" customWidth="1"/>
    <col min="7178" max="7179" width="3" style="1219" customWidth="1"/>
    <col min="7180" max="7182" width="2.88671875" style="1219" customWidth="1"/>
    <col min="7183" max="7183" width="3" style="1219" customWidth="1"/>
    <col min="7184" max="7184" width="2.88671875" style="1219" customWidth="1"/>
    <col min="7185" max="7185" width="2.109375" style="1219" customWidth="1"/>
    <col min="7186" max="7187" width="2.77734375" style="1219" customWidth="1"/>
    <col min="7188" max="7189" width="2.109375" style="1219" customWidth="1"/>
    <col min="7190" max="7227" width="2.88671875" style="1219" customWidth="1"/>
    <col min="7228" max="7424" width="9" style="1219" customWidth="1"/>
    <col min="7425" max="7426" width="1.77734375" style="1219" customWidth="1"/>
    <col min="7427" max="7427" width="2.88671875" style="1219" customWidth="1"/>
    <col min="7428" max="7428" width="3" style="1219" customWidth="1"/>
    <col min="7429" max="7430" width="3.6640625" style="1219" customWidth="1"/>
    <col min="7431" max="7431" width="3.21875" style="1219" customWidth="1"/>
    <col min="7432" max="7432" width="1.33203125" style="1219" customWidth="1"/>
    <col min="7433" max="7433" width="2.109375" style="1219" customWidth="1"/>
    <col min="7434" max="7435" width="3" style="1219" customWidth="1"/>
    <col min="7436" max="7438" width="2.88671875" style="1219" customWidth="1"/>
    <col min="7439" max="7439" width="3" style="1219" customWidth="1"/>
    <col min="7440" max="7440" width="2.88671875" style="1219" customWidth="1"/>
    <col min="7441" max="7441" width="2.109375" style="1219" customWidth="1"/>
    <col min="7442" max="7443" width="2.77734375" style="1219" customWidth="1"/>
    <col min="7444" max="7445" width="2.109375" style="1219" customWidth="1"/>
    <col min="7446" max="7483" width="2.88671875" style="1219" customWidth="1"/>
    <col min="7484" max="7680" width="9" style="1219" customWidth="1"/>
    <col min="7681" max="7682" width="1.77734375" style="1219" customWidth="1"/>
    <col min="7683" max="7683" width="2.88671875" style="1219" customWidth="1"/>
    <col min="7684" max="7684" width="3" style="1219" customWidth="1"/>
    <col min="7685" max="7686" width="3.6640625" style="1219" customWidth="1"/>
    <col min="7687" max="7687" width="3.21875" style="1219" customWidth="1"/>
    <col min="7688" max="7688" width="1.33203125" style="1219" customWidth="1"/>
    <col min="7689" max="7689" width="2.109375" style="1219" customWidth="1"/>
    <col min="7690" max="7691" width="3" style="1219" customWidth="1"/>
    <col min="7692" max="7694" width="2.88671875" style="1219" customWidth="1"/>
    <col min="7695" max="7695" width="3" style="1219" customWidth="1"/>
    <col min="7696" max="7696" width="2.88671875" style="1219" customWidth="1"/>
    <col min="7697" max="7697" width="2.109375" style="1219" customWidth="1"/>
    <col min="7698" max="7699" width="2.77734375" style="1219" customWidth="1"/>
    <col min="7700" max="7701" width="2.109375" style="1219" customWidth="1"/>
    <col min="7702" max="7739" width="2.88671875" style="1219" customWidth="1"/>
    <col min="7740" max="7936" width="9" style="1219" customWidth="1"/>
    <col min="7937" max="7938" width="1.77734375" style="1219" customWidth="1"/>
    <col min="7939" max="7939" width="2.88671875" style="1219" customWidth="1"/>
    <col min="7940" max="7940" width="3" style="1219" customWidth="1"/>
    <col min="7941" max="7942" width="3.6640625" style="1219" customWidth="1"/>
    <col min="7943" max="7943" width="3.21875" style="1219" customWidth="1"/>
    <col min="7944" max="7944" width="1.33203125" style="1219" customWidth="1"/>
    <col min="7945" max="7945" width="2.109375" style="1219" customWidth="1"/>
    <col min="7946" max="7947" width="3" style="1219" customWidth="1"/>
    <col min="7948" max="7950" width="2.88671875" style="1219" customWidth="1"/>
    <col min="7951" max="7951" width="3" style="1219" customWidth="1"/>
    <col min="7952" max="7952" width="2.88671875" style="1219" customWidth="1"/>
    <col min="7953" max="7953" width="2.109375" style="1219" customWidth="1"/>
    <col min="7954" max="7955" width="2.77734375" style="1219" customWidth="1"/>
    <col min="7956" max="7957" width="2.109375" style="1219" customWidth="1"/>
    <col min="7958" max="7995" width="2.88671875" style="1219" customWidth="1"/>
    <col min="7996" max="8192" width="9" style="1219" customWidth="1"/>
    <col min="8193" max="8194" width="1.77734375" style="1219" customWidth="1"/>
    <col min="8195" max="8195" width="2.88671875" style="1219" customWidth="1"/>
    <col min="8196" max="8196" width="3" style="1219" customWidth="1"/>
    <col min="8197" max="8198" width="3.6640625" style="1219" customWidth="1"/>
    <col min="8199" max="8199" width="3.21875" style="1219" customWidth="1"/>
    <col min="8200" max="8200" width="1.33203125" style="1219" customWidth="1"/>
    <col min="8201" max="8201" width="2.109375" style="1219" customWidth="1"/>
    <col min="8202" max="8203" width="3" style="1219" customWidth="1"/>
    <col min="8204" max="8206" width="2.88671875" style="1219" customWidth="1"/>
    <col min="8207" max="8207" width="3" style="1219" customWidth="1"/>
    <col min="8208" max="8208" width="2.88671875" style="1219" customWidth="1"/>
    <col min="8209" max="8209" width="2.109375" style="1219" customWidth="1"/>
    <col min="8210" max="8211" width="2.77734375" style="1219" customWidth="1"/>
    <col min="8212" max="8213" width="2.109375" style="1219" customWidth="1"/>
    <col min="8214" max="8251" width="2.88671875" style="1219" customWidth="1"/>
    <col min="8252" max="8448" width="9" style="1219" customWidth="1"/>
    <col min="8449" max="8450" width="1.77734375" style="1219" customWidth="1"/>
    <col min="8451" max="8451" width="2.88671875" style="1219" customWidth="1"/>
    <col min="8452" max="8452" width="3" style="1219" customWidth="1"/>
    <col min="8453" max="8454" width="3.6640625" style="1219" customWidth="1"/>
    <col min="8455" max="8455" width="3.21875" style="1219" customWidth="1"/>
    <col min="8456" max="8456" width="1.33203125" style="1219" customWidth="1"/>
    <col min="8457" max="8457" width="2.109375" style="1219" customWidth="1"/>
    <col min="8458" max="8459" width="3" style="1219" customWidth="1"/>
    <col min="8460" max="8462" width="2.88671875" style="1219" customWidth="1"/>
    <col min="8463" max="8463" width="3" style="1219" customWidth="1"/>
    <col min="8464" max="8464" width="2.88671875" style="1219" customWidth="1"/>
    <col min="8465" max="8465" width="2.109375" style="1219" customWidth="1"/>
    <col min="8466" max="8467" width="2.77734375" style="1219" customWidth="1"/>
    <col min="8468" max="8469" width="2.109375" style="1219" customWidth="1"/>
    <col min="8470" max="8507" width="2.88671875" style="1219" customWidth="1"/>
    <col min="8508" max="8704" width="9" style="1219" customWidth="1"/>
    <col min="8705" max="8706" width="1.77734375" style="1219" customWidth="1"/>
    <col min="8707" max="8707" width="2.88671875" style="1219" customWidth="1"/>
    <col min="8708" max="8708" width="3" style="1219" customWidth="1"/>
    <col min="8709" max="8710" width="3.6640625" style="1219" customWidth="1"/>
    <col min="8711" max="8711" width="3.21875" style="1219" customWidth="1"/>
    <col min="8712" max="8712" width="1.33203125" style="1219" customWidth="1"/>
    <col min="8713" max="8713" width="2.109375" style="1219" customWidth="1"/>
    <col min="8714" max="8715" width="3" style="1219" customWidth="1"/>
    <col min="8716" max="8718" width="2.88671875" style="1219" customWidth="1"/>
    <col min="8719" max="8719" width="3" style="1219" customWidth="1"/>
    <col min="8720" max="8720" width="2.88671875" style="1219" customWidth="1"/>
    <col min="8721" max="8721" width="2.109375" style="1219" customWidth="1"/>
    <col min="8722" max="8723" width="2.77734375" style="1219" customWidth="1"/>
    <col min="8724" max="8725" width="2.109375" style="1219" customWidth="1"/>
    <col min="8726" max="8763" width="2.88671875" style="1219" customWidth="1"/>
    <col min="8764" max="8960" width="9" style="1219" customWidth="1"/>
    <col min="8961" max="8962" width="1.77734375" style="1219" customWidth="1"/>
    <col min="8963" max="8963" width="2.88671875" style="1219" customWidth="1"/>
    <col min="8964" max="8964" width="3" style="1219" customWidth="1"/>
    <col min="8965" max="8966" width="3.6640625" style="1219" customWidth="1"/>
    <col min="8967" max="8967" width="3.21875" style="1219" customWidth="1"/>
    <col min="8968" max="8968" width="1.33203125" style="1219" customWidth="1"/>
    <col min="8969" max="8969" width="2.109375" style="1219" customWidth="1"/>
    <col min="8970" max="8971" width="3" style="1219" customWidth="1"/>
    <col min="8972" max="8974" width="2.88671875" style="1219" customWidth="1"/>
    <col min="8975" max="8975" width="3" style="1219" customWidth="1"/>
    <col min="8976" max="8976" width="2.88671875" style="1219" customWidth="1"/>
    <col min="8977" max="8977" width="2.109375" style="1219" customWidth="1"/>
    <col min="8978" max="8979" width="2.77734375" style="1219" customWidth="1"/>
    <col min="8980" max="8981" width="2.109375" style="1219" customWidth="1"/>
    <col min="8982" max="9019" width="2.88671875" style="1219" customWidth="1"/>
    <col min="9020" max="9216" width="9" style="1219" customWidth="1"/>
    <col min="9217" max="9218" width="1.77734375" style="1219" customWidth="1"/>
    <col min="9219" max="9219" width="2.88671875" style="1219" customWidth="1"/>
    <col min="9220" max="9220" width="3" style="1219" customWidth="1"/>
    <col min="9221" max="9222" width="3.6640625" style="1219" customWidth="1"/>
    <col min="9223" max="9223" width="3.21875" style="1219" customWidth="1"/>
    <col min="9224" max="9224" width="1.33203125" style="1219" customWidth="1"/>
    <col min="9225" max="9225" width="2.109375" style="1219" customWidth="1"/>
    <col min="9226" max="9227" width="3" style="1219" customWidth="1"/>
    <col min="9228" max="9230" width="2.88671875" style="1219" customWidth="1"/>
    <col min="9231" max="9231" width="3" style="1219" customWidth="1"/>
    <col min="9232" max="9232" width="2.88671875" style="1219" customWidth="1"/>
    <col min="9233" max="9233" width="2.109375" style="1219" customWidth="1"/>
    <col min="9234" max="9235" width="2.77734375" style="1219" customWidth="1"/>
    <col min="9236" max="9237" width="2.109375" style="1219" customWidth="1"/>
    <col min="9238" max="9275" width="2.88671875" style="1219" customWidth="1"/>
    <col min="9276" max="9472" width="9" style="1219" customWidth="1"/>
    <col min="9473" max="9474" width="1.77734375" style="1219" customWidth="1"/>
    <col min="9475" max="9475" width="2.88671875" style="1219" customWidth="1"/>
    <col min="9476" max="9476" width="3" style="1219" customWidth="1"/>
    <col min="9477" max="9478" width="3.6640625" style="1219" customWidth="1"/>
    <col min="9479" max="9479" width="3.21875" style="1219" customWidth="1"/>
    <col min="9480" max="9480" width="1.33203125" style="1219" customWidth="1"/>
    <col min="9481" max="9481" width="2.109375" style="1219" customWidth="1"/>
    <col min="9482" max="9483" width="3" style="1219" customWidth="1"/>
    <col min="9484" max="9486" width="2.88671875" style="1219" customWidth="1"/>
    <col min="9487" max="9487" width="3" style="1219" customWidth="1"/>
    <col min="9488" max="9488" width="2.88671875" style="1219" customWidth="1"/>
    <col min="9489" max="9489" width="2.109375" style="1219" customWidth="1"/>
    <col min="9490" max="9491" width="2.77734375" style="1219" customWidth="1"/>
    <col min="9492" max="9493" width="2.109375" style="1219" customWidth="1"/>
    <col min="9494" max="9531" width="2.88671875" style="1219" customWidth="1"/>
    <col min="9532" max="9728" width="9" style="1219" customWidth="1"/>
    <col min="9729" max="9730" width="1.77734375" style="1219" customWidth="1"/>
    <col min="9731" max="9731" width="2.88671875" style="1219" customWidth="1"/>
    <col min="9732" max="9732" width="3" style="1219" customWidth="1"/>
    <col min="9733" max="9734" width="3.6640625" style="1219" customWidth="1"/>
    <col min="9735" max="9735" width="3.21875" style="1219" customWidth="1"/>
    <col min="9736" max="9736" width="1.33203125" style="1219" customWidth="1"/>
    <col min="9737" max="9737" width="2.109375" style="1219" customWidth="1"/>
    <col min="9738" max="9739" width="3" style="1219" customWidth="1"/>
    <col min="9740" max="9742" width="2.88671875" style="1219" customWidth="1"/>
    <col min="9743" max="9743" width="3" style="1219" customWidth="1"/>
    <col min="9744" max="9744" width="2.88671875" style="1219" customWidth="1"/>
    <col min="9745" max="9745" width="2.109375" style="1219" customWidth="1"/>
    <col min="9746" max="9747" width="2.77734375" style="1219" customWidth="1"/>
    <col min="9748" max="9749" width="2.109375" style="1219" customWidth="1"/>
    <col min="9750" max="9787" width="2.88671875" style="1219" customWidth="1"/>
    <col min="9788" max="9984" width="9" style="1219" customWidth="1"/>
    <col min="9985" max="9986" width="1.77734375" style="1219" customWidth="1"/>
    <col min="9987" max="9987" width="2.88671875" style="1219" customWidth="1"/>
    <col min="9988" max="9988" width="3" style="1219" customWidth="1"/>
    <col min="9989" max="9990" width="3.6640625" style="1219" customWidth="1"/>
    <col min="9991" max="9991" width="3.21875" style="1219" customWidth="1"/>
    <col min="9992" max="9992" width="1.33203125" style="1219" customWidth="1"/>
    <col min="9993" max="9993" width="2.109375" style="1219" customWidth="1"/>
    <col min="9994" max="9995" width="3" style="1219" customWidth="1"/>
    <col min="9996" max="9998" width="2.88671875" style="1219" customWidth="1"/>
    <col min="9999" max="9999" width="3" style="1219" customWidth="1"/>
    <col min="10000" max="10000" width="2.88671875" style="1219" customWidth="1"/>
    <col min="10001" max="10001" width="2.109375" style="1219" customWidth="1"/>
    <col min="10002" max="10003" width="2.77734375" style="1219" customWidth="1"/>
    <col min="10004" max="10005" width="2.109375" style="1219" customWidth="1"/>
    <col min="10006" max="10043" width="2.88671875" style="1219" customWidth="1"/>
    <col min="10044" max="10240" width="9" style="1219" customWidth="1"/>
    <col min="10241" max="10242" width="1.77734375" style="1219" customWidth="1"/>
    <col min="10243" max="10243" width="2.88671875" style="1219" customWidth="1"/>
    <col min="10244" max="10244" width="3" style="1219" customWidth="1"/>
    <col min="10245" max="10246" width="3.6640625" style="1219" customWidth="1"/>
    <col min="10247" max="10247" width="3.21875" style="1219" customWidth="1"/>
    <col min="10248" max="10248" width="1.33203125" style="1219" customWidth="1"/>
    <col min="10249" max="10249" width="2.109375" style="1219" customWidth="1"/>
    <col min="10250" max="10251" width="3" style="1219" customWidth="1"/>
    <col min="10252" max="10254" width="2.88671875" style="1219" customWidth="1"/>
    <col min="10255" max="10255" width="3" style="1219" customWidth="1"/>
    <col min="10256" max="10256" width="2.88671875" style="1219" customWidth="1"/>
    <col min="10257" max="10257" width="2.109375" style="1219" customWidth="1"/>
    <col min="10258" max="10259" width="2.77734375" style="1219" customWidth="1"/>
    <col min="10260" max="10261" width="2.109375" style="1219" customWidth="1"/>
    <col min="10262" max="10299" width="2.88671875" style="1219" customWidth="1"/>
    <col min="10300" max="10496" width="9" style="1219" customWidth="1"/>
    <col min="10497" max="10498" width="1.77734375" style="1219" customWidth="1"/>
    <col min="10499" max="10499" width="2.88671875" style="1219" customWidth="1"/>
    <col min="10500" max="10500" width="3" style="1219" customWidth="1"/>
    <col min="10501" max="10502" width="3.6640625" style="1219" customWidth="1"/>
    <col min="10503" max="10503" width="3.21875" style="1219" customWidth="1"/>
    <col min="10504" max="10504" width="1.33203125" style="1219" customWidth="1"/>
    <col min="10505" max="10505" width="2.109375" style="1219" customWidth="1"/>
    <col min="10506" max="10507" width="3" style="1219" customWidth="1"/>
    <col min="10508" max="10510" width="2.88671875" style="1219" customWidth="1"/>
    <col min="10511" max="10511" width="3" style="1219" customWidth="1"/>
    <col min="10512" max="10512" width="2.88671875" style="1219" customWidth="1"/>
    <col min="10513" max="10513" width="2.109375" style="1219" customWidth="1"/>
    <col min="10514" max="10515" width="2.77734375" style="1219" customWidth="1"/>
    <col min="10516" max="10517" width="2.109375" style="1219" customWidth="1"/>
    <col min="10518" max="10555" width="2.88671875" style="1219" customWidth="1"/>
    <col min="10556" max="10752" width="9" style="1219" customWidth="1"/>
    <col min="10753" max="10754" width="1.77734375" style="1219" customWidth="1"/>
    <col min="10755" max="10755" width="2.88671875" style="1219" customWidth="1"/>
    <col min="10756" max="10756" width="3" style="1219" customWidth="1"/>
    <col min="10757" max="10758" width="3.6640625" style="1219" customWidth="1"/>
    <col min="10759" max="10759" width="3.21875" style="1219" customWidth="1"/>
    <col min="10760" max="10760" width="1.33203125" style="1219" customWidth="1"/>
    <col min="10761" max="10761" width="2.109375" style="1219" customWidth="1"/>
    <col min="10762" max="10763" width="3" style="1219" customWidth="1"/>
    <col min="10764" max="10766" width="2.88671875" style="1219" customWidth="1"/>
    <col min="10767" max="10767" width="3" style="1219" customWidth="1"/>
    <col min="10768" max="10768" width="2.88671875" style="1219" customWidth="1"/>
    <col min="10769" max="10769" width="2.109375" style="1219" customWidth="1"/>
    <col min="10770" max="10771" width="2.77734375" style="1219" customWidth="1"/>
    <col min="10772" max="10773" width="2.109375" style="1219" customWidth="1"/>
    <col min="10774" max="10811" width="2.88671875" style="1219" customWidth="1"/>
    <col min="10812" max="11008" width="9" style="1219" customWidth="1"/>
    <col min="11009" max="11010" width="1.77734375" style="1219" customWidth="1"/>
    <col min="11011" max="11011" width="2.88671875" style="1219" customWidth="1"/>
    <col min="11012" max="11012" width="3" style="1219" customWidth="1"/>
    <col min="11013" max="11014" width="3.6640625" style="1219" customWidth="1"/>
    <col min="11015" max="11015" width="3.21875" style="1219" customWidth="1"/>
    <col min="11016" max="11016" width="1.33203125" style="1219" customWidth="1"/>
    <col min="11017" max="11017" width="2.109375" style="1219" customWidth="1"/>
    <col min="11018" max="11019" width="3" style="1219" customWidth="1"/>
    <col min="11020" max="11022" width="2.88671875" style="1219" customWidth="1"/>
    <col min="11023" max="11023" width="3" style="1219" customWidth="1"/>
    <col min="11024" max="11024" width="2.88671875" style="1219" customWidth="1"/>
    <col min="11025" max="11025" width="2.109375" style="1219" customWidth="1"/>
    <col min="11026" max="11027" width="2.77734375" style="1219" customWidth="1"/>
    <col min="11028" max="11029" width="2.109375" style="1219" customWidth="1"/>
    <col min="11030" max="11067" width="2.88671875" style="1219" customWidth="1"/>
    <col min="11068" max="11264" width="9" style="1219" customWidth="1"/>
    <col min="11265" max="11266" width="1.77734375" style="1219" customWidth="1"/>
    <col min="11267" max="11267" width="2.88671875" style="1219" customWidth="1"/>
    <col min="11268" max="11268" width="3" style="1219" customWidth="1"/>
    <col min="11269" max="11270" width="3.6640625" style="1219" customWidth="1"/>
    <col min="11271" max="11271" width="3.21875" style="1219" customWidth="1"/>
    <col min="11272" max="11272" width="1.33203125" style="1219" customWidth="1"/>
    <col min="11273" max="11273" width="2.109375" style="1219" customWidth="1"/>
    <col min="11274" max="11275" width="3" style="1219" customWidth="1"/>
    <col min="11276" max="11278" width="2.88671875" style="1219" customWidth="1"/>
    <col min="11279" max="11279" width="3" style="1219" customWidth="1"/>
    <col min="11280" max="11280" width="2.88671875" style="1219" customWidth="1"/>
    <col min="11281" max="11281" width="2.109375" style="1219" customWidth="1"/>
    <col min="11282" max="11283" width="2.77734375" style="1219" customWidth="1"/>
    <col min="11284" max="11285" width="2.109375" style="1219" customWidth="1"/>
    <col min="11286" max="11323" width="2.88671875" style="1219" customWidth="1"/>
    <col min="11324" max="11520" width="9" style="1219" customWidth="1"/>
    <col min="11521" max="11522" width="1.77734375" style="1219" customWidth="1"/>
    <col min="11523" max="11523" width="2.88671875" style="1219" customWidth="1"/>
    <col min="11524" max="11524" width="3" style="1219" customWidth="1"/>
    <col min="11525" max="11526" width="3.6640625" style="1219" customWidth="1"/>
    <col min="11527" max="11527" width="3.21875" style="1219" customWidth="1"/>
    <col min="11528" max="11528" width="1.33203125" style="1219" customWidth="1"/>
    <col min="11529" max="11529" width="2.109375" style="1219" customWidth="1"/>
    <col min="11530" max="11531" width="3" style="1219" customWidth="1"/>
    <col min="11532" max="11534" width="2.88671875" style="1219" customWidth="1"/>
    <col min="11535" max="11535" width="3" style="1219" customWidth="1"/>
    <col min="11536" max="11536" width="2.88671875" style="1219" customWidth="1"/>
    <col min="11537" max="11537" width="2.109375" style="1219" customWidth="1"/>
    <col min="11538" max="11539" width="2.77734375" style="1219" customWidth="1"/>
    <col min="11540" max="11541" width="2.109375" style="1219" customWidth="1"/>
    <col min="11542" max="11579" width="2.88671875" style="1219" customWidth="1"/>
    <col min="11580" max="11776" width="9" style="1219" customWidth="1"/>
    <col min="11777" max="11778" width="1.77734375" style="1219" customWidth="1"/>
    <col min="11779" max="11779" width="2.88671875" style="1219" customWidth="1"/>
    <col min="11780" max="11780" width="3" style="1219" customWidth="1"/>
    <col min="11781" max="11782" width="3.6640625" style="1219" customWidth="1"/>
    <col min="11783" max="11783" width="3.21875" style="1219" customWidth="1"/>
    <col min="11784" max="11784" width="1.33203125" style="1219" customWidth="1"/>
    <col min="11785" max="11785" width="2.109375" style="1219" customWidth="1"/>
    <col min="11786" max="11787" width="3" style="1219" customWidth="1"/>
    <col min="11788" max="11790" width="2.88671875" style="1219" customWidth="1"/>
    <col min="11791" max="11791" width="3" style="1219" customWidth="1"/>
    <col min="11792" max="11792" width="2.88671875" style="1219" customWidth="1"/>
    <col min="11793" max="11793" width="2.109375" style="1219" customWidth="1"/>
    <col min="11794" max="11795" width="2.77734375" style="1219" customWidth="1"/>
    <col min="11796" max="11797" width="2.109375" style="1219" customWidth="1"/>
    <col min="11798" max="11835" width="2.88671875" style="1219" customWidth="1"/>
    <col min="11836" max="12032" width="9" style="1219" customWidth="1"/>
    <col min="12033" max="12034" width="1.77734375" style="1219" customWidth="1"/>
    <col min="12035" max="12035" width="2.88671875" style="1219" customWidth="1"/>
    <col min="12036" max="12036" width="3" style="1219" customWidth="1"/>
    <col min="12037" max="12038" width="3.6640625" style="1219" customWidth="1"/>
    <col min="12039" max="12039" width="3.21875" style="1219" customWidth="1"/>
    <col min="12040" max="12040" width="1.33203125" style="1219" customWidth="1"/>
    <col min="12041" max="12041" width="2.109375" style="1219" customWidth="1"/>
    <col min="12042" max="12043" width="3" style="1219" customWidth="1"/>
    <col min="12044" max="12046" width="2.88671875" style="1219" customWidth="1"/>
    <col min="12047" max="12047" width="3" style="1219" customWidth="1"/>
    <col min="12048" max="12048" width="2.88671875" style="1219" customWidth="1"/>
    <col min="12049" max="12049" width="2.109375" style="1219" customWidth="1"/>
    <col min="12050" max="12051" width="2.77734375" style="1219" customWidth="1"/>
    <col min="12052" max="12053" width="2.109375" style="1219" customWidth="1"/>
    <col min="12054" max="12091" width="2.88671875" style="1219" customWidth="1"/>
    <col min="12092" max="12288" width="9" style="1219" customWidth="1"/>
    <col min="12289" max="12290" width="1.77734375" style="1219" customWidth="1"/>
    <col min="12291" max="12291" width="2.88671875" style="1219" customWidth="1"/>
    <col min="12292" max="12292" width="3" style="1219" customWidth="1"/>
    <col min="12293" max="12294" width="3.6640625" style="1219" customWidth="1"/>
    <col min="12295" max="12295" width="3.21875" style="1219" customWidth="1"/>
    <col min="12296" max="12296" width="1.33203125" style="1219" customWidth="1"/>
    <col min="12297" max="12297" width="2.109375" style="1219" customWidth="1"/>
    <col min="12298" max="12299" width="3" style="1219" customWidth="1"/>
    <col min="12300" max="12302" width="2.88671875" style="1219" customWidth="1"/>
    <col min="12303" max="12303" width="3" style="1219" customWidth="1"/>
    <col min="12304" max="12304" width="2.88671875" style="1219" customWidth="1"/>
    <col min="12305" max="12305" width="2.109375" style="1219" customWidth="1"/>
    <col min="12306" max="12307" width="2.77734375" style="1219" customWidth="1"/>
    <col min="12308" max="12309" width="2.109375" style="1219" customWidth="1"/>
    <col min="12310" max="12347" width="2.88671875" style="1219" customWidth="1"/>
    <col min="12348" max="12544" width="9" style="1219" customWidth="1"/>
    <col min="12545" max="12546" width="1.77734375" style="1219" customWidth="1"/>
    <col min="12547" max="12547" width="2.88671875" style="1219" customWidth="1"/>
    <col min="12548" max="12548" width="3" style="1219" customWidth="1"/>
    <col min="12549" max="12550" width="3.6640625" style="1219" customWidth="1"/>
    <col min="12551" max="12551" width="3.21875" style="1219" customWidth="1"/>
    <col min="12552" max="12552" width="1.33203125" style="1219" customWidth="1"/>
    <col min="12553" max="12553" width="2.109375" style="1219" customWidth="1"/>
    <col min="12554" max="12555" width="3" style="1219" customWidth="1"/>
    <col min="12556" max="12558" width="2.88671875" style="1219" customWidth="1"/>
    <col min="12559" max="12559" width="3" style="1219" customWidth="1"/>
    <col min="12560" max="12560" width="2.88671875" style="1219" customWidth="1"/>
    <col min="12561" max="12561" width="2.109375" style="1219" customWidth="1"/>
    <col min="12562" max="12563" width="2.77734375" style="1219" customWidth="1"/>
    <col min="12564" max="12565" width="2.109375" style="1219" customWidth="1"/>
    <col min="12566" max="12603" width="2.88671875" style="1219" customWidth="1"/>
    <col min="12604" max="12800" width="9" style="1219" customWidth="1"/>
    <col min="12801" max="12802" width="1.77734375" style="1219" customWidth="1"/>
    <col min="12803" max="12803" width="2.88671875" style="1219" customWidth="1"/>
    <col min="12804" max="12804" width="3" style="1219" customWidth="1"/>
    <col min="12805" max="12806" width="3.6640625" style="1219" customWidth="1"/>
    <col min="12807" max="12807" width="3.21875" style="1219" customWidth="1"/>
    <col min="12808" max="12808" width="1.33203125" style="1219" customWidth="1"/>
    <col min="12809" max="12809" width="2.109375" style="1219" customWidth="1"/>
    <col min="12810" max="12811" width="3" style="1219" customWidth="1"/>
    <col min="12812" max="12814" width="2.88671875" style="1219" customWidth="1"/>
    <col min="12815" max="12815" width="3" style="1219" customWidth="1"/>
    <col min="12816" max="12816" width="2.88671875" style="1219" customWidth="1"/>
    <col min="12817" max="12817" width="2.109375" style="1219" customWidth="1"/>
    <col min="12818" max="12819" width="2.77734375" style="1219" customWidth="1"/>
    <col min="12820" max="12821" width="2.109375" style="1219" customWidth="1"/>
    <col min="12822" max="12859" width="2.88671875" style="1219" customWidth="1"/>
    <col min="12860" max="13056" width="9" style="1219" customWidth="1"/>
    <col min="13057" max="13058" width="1.77734375" style="1219" customWidth="1"/>
    <col min="13059" max="13059" width="2.88671875" style="1219" customWidth="1"/>
    <col min="13060" max="13060" width="3" style="1219" customWidth="1"/>
    <col min="13061" max="13062" width="3.6640625" style="1219" customWidth="1"/>
    <col min="13063" max="13063" width="3.21875" style="1219" customWidth="1"/>
    <col min="13064" max="13064" width="1.33203125" style="1219" customWidth="1"/>
    <col min="13065" max="13065" width="2.109375" style="1219" customWidth="1"/>
    <col min="13066" max="13067" width="3" style="1219" customWidth="1"/>
    <col min="13068" max="13070" width="2.88671875" style="1219" customWidth="1"/>
    <col min="13071" max="13071" width="3" style="1219" customWidth="1"/>
    <col min="13072" max="13072" width="2.88671875" style="1219" customWidth="1"/>
    <col min="13073" max="13073" width="2.109375" style="1219" customWidth="1"/>
    <col min="13074" max="13075" width="2.77734375" style="1219" customWidth="1"/>
    <col min="13076" max="13077" width="2.109375" style="1219" customWidth="1"/>
    <col min="13078" max="13115" width="2.88671875" style="1219" customWidth="1"/>
    <col min="13116" max="13312" width="9" style="1219" customWidth="1"/>
    <col min="13313" max="13314" width="1.77734375" style="1219" customWidth="1"/>
    <col min="13315" max="13315" width="2.88671875" style="1219" customWidth="1"/>
    <col min="13316" max="13316" width="3" style="1219" customWidth="1"/>
    <col min="13317" max="13318" width="3.6640625" style="1219" customWidth="1"/>
    <col min="13319" max="13319" width="3.21875" style="1219" customWidth="1"/>
    <col min="13320" max="13320" width="1.33203125" style="1219" customWidth="1"/>
    <col min="13321" max="13321" width="2.109375" style="1219" customWidth="1"/>
    <col min="13322" max="13323" width="3" style="1219" customWidth="1"/>
    <col min="13324" max="13326" width="2.88671875" style="1219" customWidth="1"/>
    <col min="13327" max="13327" width="3" style="1219" customWidth="1"/>
    <col min="13328" max="13328" width="2.88671875" style="1219" customWidth="1"/>
    <col min="13329" max="13329" width="2.109375" style="1219" customWidth="1"/>
    <col min="13330" max="13331" width="2.77734375" style="1219" customWidth="1"/>
    <col min="13332" max="13333" width="2.109375" style="1219" customWidth="1"/>
    <col min="13334" max="13371" width="2.88671875" style="1219" customWidth="1"/>
    <col min="13372" max="13568" width="9" style="1219" customWidth="1"/>
    <col min="13569" max="13570" width="1.77734375" style="1219" customWidth="1"/>
    <col min="13571" max="13571" width="2.88671875" style="1219" customWidth="1"/>
    <col min="13572" max="13572" width="3" style="1219" customWidth="1"/>
    <col min="13573" max="13574" width="3.6640625" style="1219" customWidth="1"/>
    <col min="13575" max="13575" width="3.21875" style="1219" customWidth="1"/>
    <col min="13576" max="13576" width="1.33203125" style="1219" customWidth="1"/>
    <col min="13577" max="13577" width="2.109375" style="1219" customWidth="1"/>
    <col min="13578" max="13579" width="3" style="1219" customWidth="1"/>
    <col min="13580" max="13582" width="2.88671875" style="1219" customWidth="1"/>
    <col min="13583" max="13583" width="3" style="1219" customWidth="1"/>
    <col min="13584" max="13584" width="2.88671875" style="1219" customWidth="1"/>
    <col min="13585" max="13585" width="2.109375" style="1219" customWidth="1"/>
    <col min="13586" max="13587" width="2.77734375" style="1219" customWidth="1"/>
    <col min="13588" max="13589" width="2.109375" style="1219" customWidth="1"/>
    <col min="13590" max="13627" width="2.88671875" style="1219" customWidth="1"/>
    <col min="13628" max="13824" width="9" style="1219" customWidth="1"/>
    <col min="13825" max="13826" width="1.77734375" style="1219" customWidth="1"/>
    <col min="13827" max="13827" width="2.88671875" style="1219" customWidth="1"/>
    <col min="13828" max="13828" width="3" style="1219" customWidth="1"/>
    <col min="13829" max="13830" width="3.6640625" style="1219" customWidth="1"/>
    <col min="13831" max="13831" width="3.21875" style="1219" customWidth="1"/>
    <col min="13832" max="13832" width="1.33203125" style="1219" customWidth="1"/>
    <col min="13833" max="13833" width="2.109375" style="1219" customWidth="1"/>
    <col min="13834" max="13835" width="3" style="1219" customWidth="1"/>
    <col min="13836" max="13838" width="2.88671875" style="1219" customWidth="1"/>
    <col min="13839" max="13839" width="3" style="1219" customWidth="1"/>
    <col min="13840" max="13840" width="2.88671875" style="1219" customWidth="1"/>
    <col min="13841" max="13841" width="2.109375" style="1219" customWidth="1"/>
    <col min="13842" max="13843" width="2.77734375" style="1219" customWidth="1"/>
    <col min="13844" max="13845" width="2.109375" style="1219" customWidth="1"/>
    <col min="13846" max="13883" width="2.88671875" style="1219" customWidth="1"/>
    <col min="13884" max="14080" width="9" style="1219" customWidth="1"/>
    <col min="14081" max="14082" width="1.77734375" style="1219" customWidth="1"/>
    <col min="14083" max="14083" width="2.88671875" style="1219" customWidth="1"/>
    <col min="14084" max="14084" width="3" style="1219" customWidth="1"/>
    <col min="14085" max="14086" width="3.6640625" style="1219" customWidth="1"/>
    <col min="14087" max="14087" width="3.21875" style="1219" customWidth="1"/>
    <col min="14088" max="14088" width="1.33203125" style="1219" customWidth="1"/>
    <col min="14089" max="14089" width="2.109375" style="1219" customWidth="1"/>
    <col min="14090" max="14091" width="3" style="1219" customWidth="1"/>
    <col min="14092" max="14094" width="2.88671875" style="1219" customWidth="1"/>
    <col min="14095" max="14095" width="3" style="1219" customWidth="1"/>
    <col min="14096" max="14096" width="2.88671875" style="1219" customWidth="1"/>
    <col min="14097" max="14097" width="2.109375" style="1219" customWidth="1"/>
    <col min="14098" max="14099" width="2.77734375" style="1219" customWidth="1"/>
    <col min="14100" max="14101" width="2.109375" style="1219" customWidth="1"/>
    <col min="14102" max="14139" width="2.88671875" style="1219" customWidth="1"/>
    <col min="14140" max="14336" width="9" style="1219" customWidth="1"/>
    <col min="14337" max="14338" width="1.77734375" style="1219" customWidth="1"/>
    <col min="14339" max="14339" width="2.88671875" style="1219" customWidth="1"/>
    <col min="14340" max="14340" width="3" style="1219" customWidth="1"/>
    <col min="14341" max="14342" width="3.6640625" style="1219" customWidth="1"/>
    <col min="14343" max="14343" width="3.21875" style="1219" customWidth="1"/>
    <col min="14344" max="14344" width="1.33203125" style="1219" customWidth="1"/>
    <col min="14345" max="14345" width="2.109375" style="1219" customWidth="1"/>
    <col min="14346" max="14347" width="3" style="1219" customWidth="1"/>
    <col min="14348" max="14350" width="2.88671875" style="1219" customWidth="1"/>
    <col min="14351" max="14351" width="3" style="1219" customWidth="1"/>
    <col min="14352" max="14352" width="2.88671875" style="1219" customWidth="1"/>
    <col min="14353" max="14353" width="2.109375" style="1219" customWidth="1"/>
    <col min="14354" max="14355" width="2.77734375" style="1219" customWidth="1"/>
    <col min="14356" max="14357" width="2.109375" style="1219" customWidth="1"/>
    <col min="14358" max="14395" width="2.88671875" style="1219" customWidth="1"/>
    <col min="14396" max="14592" width="9" style="1219" customWidth="1"/>
    <col min="14593" max="14594" width="1.77734375" style="1219" customWidth="1"/>
    <col min="14595" max="14595" width="2.88671875" style="1219" customWidth="1"/>
    <col min="14596" max="14596" width="3" style="1219" customWidth="1"/>
    <col min="14597" max="14598" width="3.6640625" style="1219" customWidth="1"/>
    <col min="14599" max="14599" width="3.21875" style="1219" customWidth="1"/>
    <col min="14600" max="14600" width="1.33203125" style="1219" customWidth="1"/>
    <col min="14601" max="14601" width="2.109375" style="1219" customWidth="1"/>
    <col min="14602" max="14603" width="3" style="1219" customWidth="1"/>
    <col min="14604" max="14606" width="2.88671875" style="1219" customWidth="1"/>
    <col min="14607" max="14607" width="3" style="1219" customWidth="1"/>
    <col min="14608" max="14608" width="2.88671875" style="1219" customWidth="1"/>
    <col min="14609" max="14609" width="2.109375" style="1219" customWidth="1"/>
    <col min="14610" max="14611" width="2.77734375" style="1219" customWidth="1"/>
    <col min="14612" max="14613" width="2.109375" style="1219" customWidth="1"/>
    <col min="14614" max="14651" width="2.88671875" style="1219" customWidth="1"/>
    <col min="14652" max="14848" width="9" style="1219" customWidth="1"/>
    <col min="14849" max="14850" width="1.77734375" style="1219" customWidth="1"/>
    <col min="14851" max="14851" width="2.88671875" style="1219" customWidth="1"/>
    <col min="14852" max="14852" width="3" style="1219" customWidth="1"/>
    <col min="14853" max="14854" width="3.6640625" style="1219" customWidth="1"/>
    <col min="14855" max="14855" width="3.21875" style="1219" customWidth="1"/>
    <col min="14856" max="14856" width="1.33203125" style="1219" customWidth="1"/>
    <col min="14857" max="14857" width="2.109375" style="1219" customWidth="1"/>
    <col min="14858" max="14859" width="3" style="1219" customWidth="1"/>
    <col min="14860" max="14862" width="2.88671875" style="1219" customWidth="1"/>
    <col min="14863" max="14863" width="3" style="1219" customWidth="1"/>
    <col min="14864" max="14864" width="2.88671875" style="1219" customWidth="1"/>
    <col min="14865" max="14865" width="2.109375" style="1219" customWidth="1"/>
    <col min="14866" max="14867" width="2.77734375" style="1219" customWidth="1"/>
    <col min="14868" max="14869" width="2.109375" style="1219" customWidth="1"/>
    <col min="14870" max="14907" width="2.88671875" style="1219" customWidth="1"/>
    <col min="14908" max="15104" width="9" style="1219" customWidth="1"/>
    <col min="15105" max="15106" width="1.77734375" style="1219" customWidth="1"/>
    <col min="15107" max="15107" width="2.88671875" style="1219" customWidth="1"/>
    <col min="15108" max="15108" width="3" style="1219" customWidth="1"/>
    <col min="15109" max="15110" width="3.6640625" style="1219" customWidth="1"/>
    <col min="15111" max="15111" width="3.21875" style="1219" customWidth="1"/>
    <col min="15112" max="15112" width="1.33203125" style="1219" customWidth="1"/>
    <col min="15113" max="15113" width="2.109375" style="1219" customWidth="1"/>
    <col min="15114" max="15115" width="3" style="1219" customWidth="1"/>
    <col min="15116" max="15118" width="2.88671875" style="1219" customWidth="1"/>
    <col min="15119" max="15119" width="3" style="1219" customWidth="1"/>
    <col min="15120" max="15120" width="2.88671875" style="1219" customWidth="1"/>
    <col min="15121" max="15121" width="2.109375" style="1219" customWidth="1"/>
    <col min="15122" max="15123" width="2.77734375" style="1219" customWidth="1"/>
    <col min="15124" max="15125" width="2.109375" style="1219" customWidth="1"/>
    <col min="15126" max="15163" width="2.88671875" style="1219" customWidth="1"/>
    <col min="15164" max="15360" width="9" style="1219" customWidth="1"/>
    <col min="15361" max="15362" width="1.77734375" style="1219" customWidth="1"/>
    <col min="15363" max="15363" width="2.88671875" style="1219" customWidth="1"/>
    <col min="15364" max="15364" width="3" style="1219" customWidth="1"/>
    <col min="15365" max="15366" width="3.6640625" style="1219" customWidth="1"/>
    <col min="15367" max="15367" width="3.21875" style="1219" customWidth="1"/>
    <col min="15368" max="15368" width="1.33203125" style="1219" customWidth="1"/>
    <col min="15369" max="15369" width="2.109375" style="1219" customWidth="1"/>
    <col min="15370" max="15371" width="3" style="1219" customWidth="1"/>
    <col min="15372" max="15374" width="2.88671875" style="1219" customWidth="1"/>
    <col min="15375" max="15375" width="3" style="1219" customWidth="1"/>
    <col min="15376" max="15376" width="2.88671875" style="1219" customWidth="1"/>
    <col min="15377" max="15377" width="2.109375" style="1219" customWidth="1"/>
    <col min="15378" max="15379" width="2.77734375" style="1219" customWidth="1"/>
    <col min="15380" max="15381" width="2.109375" style="1219" customWidth="1"/>
    <col min="15382" max="15419" width="2.88671875" style="1219" customWidth="1"/>
    <col min="15420" max="15616" width="9" style="1219" customWidth="1"/>
    <col min="15617" max="15618" width="1.77734375" style="1219" customWidth="1"/>
    <col min="15619" max="15619" width="2.88671875" style="1219" customWidth="1"/>
    <col min="15620" max="15620" width="3" style="1219" customWidth="1"/>
    <col min="15621" max="15622" width="3.6640625" style="1219" customWidth="1"/>
    <col min="15623" max="15623" width="3.21875" style="1219" customWidth="1"/>
    <col min="15624" max="15624" width="1.33203125" style="1219" customWidth="1"/>
    <col min="15625" max="15625" width="2.109375" style="1219" customWidth="1"/>
    <col min="15626" max="15627" width="3" style="1219" customWidth="1"/>
    <col min="15628" max="15630" width="2.88671875" style="1219" customWidth="1"/>
    <col min="15631" max="15631" width="3" style="1219" customWidth="1"/>
    <col min="15632" max="15632" width="2.88671875" style="1219" customWidth="1"/>
    <col min="15633" max="15633" width="2.109375" style="1219" customWidth="1"/>
    <col min="15634" max="15635" width="2.77734375" style="1219" customWidth="1"/>
    <col min="15636" max="15637" width="2.109375" style="1219" customWidth="1"/>
    <col min="15638" max="15675" width="2.88671875" style="1219" customWidth="1"/>
    <col min="15676" max="15872" width="9" style="1219" customWidth="1"/>
    <col min="15873" max="15874" width="1.77734375" style="1219" customWidth="1"/>
    <col min="15875" max="15875" width="2.88671875" style="1219" customWidth="1"/>
    <col min="15876" max="15876" width="3" style="1219" customWidth="1"/>
    <col min="15877" max="15878" width="3.6640625" style="1219" customWidth="1"/>
    <col min="15879" max="15879" width="3.21875" style="1219" customWidth="1"/>
    <col min="15880" max="15880" width="1.33203125" style="1219" customWidth="1"/>
    <col min="15881" max="15881" width="2.109375" style="1219" customWidth="1"/>
    <col min="15882" max="15883" width="3" style="1219" customWidth="1"/>
    <col min="15884" max="15886" width="2.88671875" style="1219" customWidth="1"/>
    <col min="15887" max="15887" width="3" style="1219" customWidth="1"/>
    <col min="15888" max="15888" width="2.88671875" style="1219" customWidth="1"/>
    <col min="15889" max="15889" width="2.109375" style="1219" customWidth="1"/>
    <col min="15890" max="15891" width="2.77734375" style="1219" customWidth="1"/>
    <col min="15892" max="15893" width="2.109375" style="1219" customWidth="1"/>
    <col min="15894" max="15931" width="2.88671875" style="1219" customWidth="1"/>
    <col min="15932" max="16128" width="9" style="1219" customWidth="1"/>
    <col min="16129" max="16130" width="1.77734375" style="1219" customWidth="1"/>
    <col min="16131" max="16131" width="2.88671875" style="1219" customWidth="1"/>
    <col min="16132" max="16132" width="3" style="1219" customWidth="1"/>
    <col min="16133" max="16134" width="3.6640625" style="1219" customWidth="1"/>
    <col min="16135" max="16135" width="3.21875" style="1219" customWidth="1"/>
    <col min="16136" max="16136" width="1.33203125" style="1219" customWidth="1"/>
    <col min="16137" max="16137" width="2.109375" style="1219" customWidth="1"/>
    <col min="16138" max="16139" width="3" style="1219" customWidth="1"/>
    <col min="16140" max="16142" width="2.88671875" style="1219" customWidth="1"/>
    <col min="16143" max="16143" width="3" style="1219" customWidth="1"/>
    <col min="16144" max="16144" width="2.88671875" style="1219" customWidth="1"/>
    <col min="16145" max="16145" width="2.109375" style="1219" customWidth="1"/>
    <col min="16146" max="16147" width="2.77734375" style="1219" customWidth="1"/>
    <col min="16148" max="16149" width="2.109375" style="1219" customWidth="1"/>
    <col min="16150" max="16187" width="2.88671875" style="1219" customWidth="1"/>
    <col min="16188" max="16384" width="9" style="1219" customWidth="1"/>
  </cols>
  <sheetData>
    <row r="1" spans="2:30" ht="15" customHeight="1">
      <c r="C1" s="1451" t="s">
        <v>4059</v>
      </c>
      <c r="D1" s="1451"/>
      <c r="E1" s="1451"/>
      <c r="F1" s="1451"/>
      <c r="G1" s="1451"/>
      <c r="H1" s="1451"/>
      <c r="I1" s="1451"/>
      <c r="J1" s="1451"/>
      <c r="K1" s="1451"/>
      <c r="L1" s="1451"/>
      <c r="M1" s="1451"/>
      <c r="N1" s="1451"/>
      <c r="O1" s="1451"/>
      <c r="P1" s="1451"/>
      <c r="Q1" s="1451"/>
      <c r="R1" s="1451"/>
      <c r="S1" s="1451"/>
      <c r="T1" s="1451"/>
      <c r="U1" s="1451"/>
      <c r="V1" s="1451"/>
      <c r="W1" s="1451"/>
      <c r="X1" s="1451"/>
      <c r="Y1" s="1451"/>
      <c r="Z1" s="1451"/>
      <c r="AA1" s="1451"/>
      <c r="AB1" s="1451"/>
      <c r="AC1" s="1451"/>
      <c r="AD1" s="1451"/>
    </row>
    <row r="2" spans="2:30" ht="15" customHeight="1">
      <c r="C2" s="1215" t="s">
        <v>3812</v>
      </c>
    </row>
    <row r="3" spans="2:30" ht="7.5" customHeight="1">
      <c r="B3" s="1224"/>
      <c r="C3" s="1217"/>
      <c r="D3" s="1224"/>
      <c r="E3" s="1224"/>
      <c r="F3" s="1224"/>
      <c r="G3" s="1224"/>
      <c r="H3" s="1224"/>
      <c r="I3" s="1224"/>
      <c r="J3" s="1224"/>
      <c r="K3" s="1224"/>
      <c r="L3" s="1224"/>
      <c r="M3" s="1224"/>
      <c r="N3" s="1224"/>
      <c r="O3" s="1224"/>
      <c r="P3" s="1224"/>
      <c r="Q3" s="1224"/>
      <c r="R3" s="1224"/>
      <c r="S3" s="1224"/>
      <c r="T3" s="1224"/>
      <c r="U3" s="1224"/>
      <c r="V3" s="1224"/>
      <c r="W3" s="1224"/>
      <c r="X3" s="1224"/>
      <c r="Y3" s="1224"/>
      <c r="Z3" s="1224"/>
      <c r="AA3" s="1224"/>
      <c r="AB3" s="1224"/>
      <c r="AC3" s="1224"/>
      <c r="AD3" s="1224"/>
    </row>
    <row r="4" spans="2:30" ht="7.5" customHeight="1">
      <c r="B4" s="1233"/>
      <c r="C4" s="1234"/>
      <c r="D4" s="1233"/>
      <c r="E4" s="1233"/>
      <c r="F4" s="1233"/>
      <c r="G4" s="1233"/>
      <c r="H4" s="1233"/>
      <c r="I4" s="1233"/>
      <c r="J4" s="1233"/>
      <c r="K4" s="1233"/>
      <c r="L4" s="1233"/>
      <c r="M4" s="1233"/>
      <c r="N4" s="1233"/>
      <c r="O4" s="1233"/>
      <c r="P4" s="1233"/>
      <c r="Q4" s="1233"/>
      <c r="R4" s="1233"/>
      <c r="S4" s="1233"/>
      <c r="T4" s="1233"/>
      <c r="U4" s="1233"/>
      <c r="V4" s="1233"/>
      <c r="W4" s="1233"/>
      <c r="X4" s="1233"/>
      <c r="Y4" s="1233"/>
      <c r="Z4" s="1233"/>
      <c r="AA4" s="1233"/>
      <c r="AB4" s="1233"/>
      <c r="AC4" s="1233"/>
      <c r="AD4" s="1233"/>
    </row>
    <row r="5" spans="2:30" ht="15" customHeight="1">
      <c r="C5" s="1220" t="s">
        <v>3813</v>
      </c>
      <c r="G5" s="1425" t="str">
        <f>cst_wskakunin_BUILD__address</f>
        <v>東京都港区虎ノ門１－１－１</v>
      </c>
      <c r="H5" s="1425"/>
      <c r="I5" s="1425"/>
      <c r="J5" s="1425"/>
      <c r="K5" s="1425"/>
      <c r="L5" s="1425"/>
      <c r="M5" s="1425"/>
      <c r="N5" s="1425"/>
      <c r="O5" s="1425"/>
      <c r="P5" s="1425"/>
      <c r="Q5" s="1425"/>
      <c r="R5" s="1425"/>
      <c r="S5" s="1425"/>
      <c r="T5" s="1425"/>
      <c r="U5" s="1425"/>
      <c r="V5" s="1425"/>
      <c r="W5" s="1425"/>
      <c r="X5" s="1425"/>
      <c r="Y5" s="1425"/>
      <c r="Z5" s="1425"/>
      <c r="AA5" s="1425"/>
      <c r="AB5" s="1425"/>
      <c r="AC5" s="1425"/>
      <c r="AD5" s="1425"/>
    </row>
    <row r="6" spans="2:30" ht="7.5" customHeight="1">
      <c r="B6" s="1224"/>
      <c r="C6" s="1217"/>
      <c r="D6" s="1224"/>
      <c r="E6" s="1224"/>
      <c r="F6" s="1224"/>
      <c r="G6" s="1224"/>
      <c r="H6" s="1224"/>
      <c r="I6" s="1224"/>
      <c r="J6" s="1224"/>
      <c r="K6" s="1224"/>
      <c r="L6" s="1224"/>
      <c r="M6" s="1224"/>
      <c r="N6" s="1224"/>
      <c r="O6" s="1224"/>
      <c r="P6" s="1224"/>
      <c r="Q6" s="1224"/>
      <c r="R6" s="1224"/>
      <c r="S6" s="1224"/>
      <c r="T6" s="1224"/>
      <c r="U6" s="1224"/>
      <c r="V6" s="1224"/>
      <c r="W6" s="1224"/>
      <c r="X6" s="1224"/>
      <c r="Y6" s="1224"/>
      <c r="Z6" s="1224"/>
      <c r="AA6" s="1224"/>
      <c r="AB6" s="1224"/>
      <c r="AC6" s="1224"/>
      <c r="AD6" s="1224"/>
    </row>
    <row r="7" spans="2:30" ht="7.5" customHeight="1">
      <c r="B7" s="1233"/>
      <c r="C7" s="1234"/>
      <c r="D7" s="1233"/>
      <c r="E7" s="1233"/>
      <c r="F7" s="1233"/>
      <c r="G7" s="1233"/>
      <c r="H7" s="1233"/>
      <c r="I7" s="1233"/>
      <c r="J7" s="1233"/>
      <c r="K7" s="1233"/>
      <c r="L7" s="1233"/>
      <c r="M7" s="1233"/>
      <c r="N7" s="1233"/>
      <c r="O7" s="1233"/>
      <c r="P7" s="1233"/>
      <c r="Q7" s="1233"/>
      <c r="R7" s="1233"/>
      <c r="S7" s="1233"/>
      <c r="T7" s="1233"/>
      <c r="U7" s="1233"/>
      <c r="V7" s="1233"/>
      <c r="W7" s="1233"/>
      <c r="X7" s="1233"/>
      <c r="Y7" s="1233"/>
      <c r="Z7" s="1233"/>
      <c r="AA7" s="1233"/>
      <c r="AB7" s="1233"/>
      <c r="AC7" s="1233"/>
      <c r="AD7" s="1233"/>
    </row>
    <row r="8" spans="2:30" ht="15" customHeight="1">
      <c r="C8" s="1220" t="s">
        <v>3814</v>
      </c>
      <c r="G8" s="1425" t="str">
        <f>cst_wskakunin_BUILD_JYUKYO__address</f>
        <v/>
      </c>
      <c r="H8" s="1425"/>
      <c r="I8" s="1425"/>
      <c r="J8" s="1425"/>
      <c r="K8" s="1425"/>
      <c r="L8" s="1425"/>
      <c r="M8" s="1425"/>
      <c r="N8" s="1425"/>
      <c r="O8" s="1425"/>
      <c r="P8" s="1425"/>
      <c r="Q8" s="1425"/>
      <c r="R8" s="1425"/>
      <c r="S8" s="1425"/>
      <c r="T8" s="1425"/>
      <c r="U8" s="1425"/>
      <c r="V8" s="1425"/>
      <c r="W8" s="1425"/>
      <c r="X8" s="1425"/>
      <c r="Y8" s="1425"/>
      <c r="Z8" s="1425"/>
      <c r="AA8" s="1425"/>
      <c r="AB8" s="1425"/>
      <c r="AC8" s="1425"/>
      <c r="AD8" s="1425"/>
    </row>
    <row r="9" spans="2:30" ht="7.5" customHeight="1">
      <c r="B9" s="1224"/>
      <c r="C9" s="121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row>
    <row r="10" spans="2:30" ht="7.5" customHeight="1">
      <c r="B10" s="1233"/>
      <c r="C10" s="1234"/>
      <c r="D10" s="1233"/>
      <c r="E10" s="1233"/>
      <c r="F10" s="1233"/>
      <c r="G10" s="1233"/>
      <c r="H10" s="1233"/>
      <c r="I10" s="1233"/>
      <c r="J10" s="1233"/>
      <c r="K10" s="1233"/>
      <c r="L10" s="1233"/>
      <c r="M10" s="1233"/>
      <c r="N10" s="1233"/>
      <c r="O10" s="1233"/>
      <c r="P10" s="1233"/>
      <c r="Q10" s="1233"/>
      <c r="R10" s="1233"/>
      <c r="S10" s="1233"/>
      <c r="T10" s="1233"/>
      <c r="U10" s="1233"/>
      <c r="V10" s="1233"/>
      <c r="W10" s="1233"/>
      <c r="X10" s="1233"/>
      <c r="Y10" s="1233"/>
      <c r="Z10" s="1233"/>
      <c r="AA10" s="1233"/>
      <c r="AB10" s="1233"/>
      <c r="AC10" s="1233"/>
      <c r="AD10" s="1233"/>
    </row>
    <row r="11" spans="2:30" ht="15" customHeight="1">
      <c r="C11" s="1220" t="s">
        <v>3815</v>
      </c>
    </row>
    <row r="12" spans="2:30" ht="15" customHeight="1">
      <c r="F12" s="1235" t="str">
        <f>cst_wskakunin_KUIKI_TOSI</f>
        <v>□</v>
      </c>
      <c r="G12" s="1219" t="s">
        <v>366</v>
      </c>
      <c r="L12" s="1236" t="s">
        <v>2</v>
      </c>
      <c r="M12" s="1235" t="str">
        <f>cst_wskakunin_KUIKI_SIGAIKA</f>
        <v>□</v>
      </c>
      <c r="N12" s="1219" t="s">
        <v>370</v>
      </c>
      <c r="Q12" s="1235" t="str">
        <f>cst_wskakunin_KUIKI_TYOSEI</f>
        <v>□</v>
      </c>
      <c r="R12" s="1219" t="s">
        <v>371</v>
      </c>
      <c r="W12" s="1235" t="str">
        <f>cst_wskakunin_KUIKI_HISETTEI</f>
        <v>□</v>
      </c>
      <c r="X12" s="1219" t="s">
        <v>372</v>
      </c>
      <c r="AB12" s="1219" t="s">
        <v>3</v>
      </c>
    </row>
    <row r="13" spans="2:30" ht="15" customHeight="1">
      <c r="F13" s="1235" t="str">
        <f>cst_wskakunin_KUIKI_JYUN_TOSHI</f>
        <v>□</v>
      </c>
      <c r="G13" s="1219" t="s">
        <v>4060</v>
      </c>
      <c r="M13" s="1235" t="str">
        <f>cst_wskakunin_KUIKI_KUIKIGAI</f>
        <v>□</v>
      </c>
      <c r="N13" s="1219" t="s">
        <v>3817</v>
      </c>
    </row>
    <row r="14" spans="2:30" ht="7.5" customHeight="1">
      <c r="B14" s="1224"/>
      <c r="C14" s="1217"/>
      <c r="D14" s="1224"/>
      <c r="E14" s="1224"/>
      <c r="F14" s="1224"/>
      <c r="G14" s="1224"/>
      <c r="H14" s="1224"/>
      <c r="I14" s="1224"/>
      <c r="J14" s="1224"/>
      <c r="K14" s="1224"/>
      <c r="L14" s="1224"/>
      <c r="M14" s="1224"/>
      <c r="N14" s="1224"/>
      <c r="O14" s="1224"/>
      <c r="P14" s="1224"/>
      <c r="Q14" s="1224"/>
      <c r="R14" s="1224"/>
      <c r="S14" s="1224"/>
      <c r="T14" s="1224"/>
      <c r="U14" s="1224"/>
      <c r="V14" s="1224"/>
      <c r="W14" s="1224"/>
      <c r="X14" s="1224"/>
      <c r="Y14" s="1224"/>
      <c r="Z14" s="1224"/>
      <c r="AA14" s="1224"/>
      <c r="AB14" s="1224"/>
      <c r="AC14" s="1224"/>
      <c r="AD14" s="1224"/>
    </row>
    <row r="15" spans="2:30" ht="7.5" customHeight="1">
      <c r="B15" s="1233"/>
      <c r="C15" s="1234"/>
      <c r="D15" s="1233"/>
      <c r="E15" s="1233"/>
      <c r="F15" s="1233"/>
      <c r="G15" s="1233"/>
      <c r="H15" s="1233"/>
      <c r="I15" s="1233"/>
      <c r="J15" s="1233"/>
      <c r="K15" s="1233"/>
      <c r="L15" s="1233"/>
      <c r="M15" s="1233"/>
      <c r="N15" s="1233"/>
      <c r="O15" s="1233"/>
      <c r="P15" s="1233"/>
      <c r="Q15" s="1233"/>
      <c r="R15" s="1233"/>
      <c r="S15" s="1233"/>
      <c r="T15" s="1233"/>
      <c r="U15" s="1233"/>
      <c r="V15" s="1233"/>
      <c r="W15" s="1233"/>
      <c r="X15" s="1233"/>
      <c r="Y15" s="1233"/>
      <c r="Z15" s="1233"/>
      <c r="AA15" s="1233"/>
      <c r="AB15" s="1233"/>
      <c r="AC15" s="1233"/>
      <c r="AD15" s="1233"/>
    </row>
    <row r="16" spans="2:30" ht="15" customHeight="1">
      <c r="C16" s="1220" t="s">
        <v>3818</v>
      </c>
      <c r="G16" s="1235" t="str">
        <f>cst_wskakunin_BOUKA_BOUKA</f>
        <v>□</v>
      </c>
      <c r="H16" s="1219" t="s">
        <v>373</v>
      </c>
      <c r="L16" s="1235" t="str">
        <f>cst_wskakunin_BOUKA_JYUN_BOUKA</f>
        <v>□</v>
      </c>
      <c r="M16" s="1219" t="s">
        <v>374</v>
      </c>
      <c r="Q16" s="1235" t="str">
        <f>cst_wskakunin_BOUKA_NASI</f>
        <v>□</v>
      </c>
      <c r="R16" s="1219" t="s">
        <v>134</v>
      </c>
    </row>
    <row r="17" spans="2:30" ht="7.5" customHeight="1">
      <c r="B17" s="1224"/>
      <c r="C17" s="121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row>
    <row r="18" spans="2:30" ht="7.5" customHeight="1">
      <c r="B18" s="1233"/>
      <c r="C18" s="1234"/>
      <c r="D18" s="1233"/>
      <c r="E18" s="1233"/>
      <c r="F18" s="1233"/>
      <c r="G18" s="1233"/>
      <c r="H18" s="1233"/>
      <c r="I18" s="1233"/>
      <c r="J18" s="1233"/>
      <c r="K18" s="1233"/>
      <c r="L18" s="1233"/>
      <c r="M18" s="1233"/>
      <c r="N18" s="1233"/>
      <c r="O18" s="1233"/>
      <c r="P18" s="1233"/>
      <c r="Q18" s="1233"/>
      <c r="R18" s="1233"/>
      <c r="S18" s="1233"/>
      <c r="T18" s="1233"/>
      <c r="U18" s="1233"/>
      <c r="V18" s="1233"/>
      <c r="W18" s="1233"/>
      <c r="X18" s="1233"/>
      <c r="Y18" s="1233"/>
      <c r="Z18" s="1233"/>
      <c r="AA18" s="1233"/>
      <c r="AB18" s="1233"/>
      <c r="AC18" s="1233"/>
      <c r="AD18" s="1233"/>
    </row>
    <row r="19" spans="2:30" ht="15" customHeight="1">
      <c r="C19" s="1237" t="s">
        <v>3819</v>
      </c>
      <c r="M19" s="1435" t="str">
        <f>IF(AND(cst_wskakunin_BOUKA_22JYO="□",cst_wskakunin_wskakunin_SONOTA_KUIKI=""),"",IF(cst_wskakunin_BOUKA_22JYO="■","法第22条区域　"&amp;cst_wskakunin_wskakunin_SONOTA_KUIKI,cst_wskakunin_wskakunin_SONOTA_KUIKI))</f>
        <v/>
      </c>
      <c r="N19" s="1435"/>
      <c r="O19" s="1435"/>
      <c r="P19" s="1435"/>
      <c r="Q19" s="1435"/>
      <c r="R19" s="1435"/>
      <c r="S19" s="1435"/>
      <c r="T19" s="1435"/>
      <c r="U19" s="1435"/>
      <c r="V19" s="1435"/>
      <c r="W19" s="1435"/>
      <c r="X19" s="1435"/>
      <c r="Y19" s="1435"/>
      <c r="Z19" s="1435"/>
      <c r="AA19" s="1435"/>
      <c r="AB19" s="1435"/>
      <c r="AC19" s="1435"/>
      <c r="AD19" s="1435"/>
    </row>
    <row r="20" spans="2:30" ht="7.5" customHeight="1">
      <c r="B20" s="1224"/>
      <c r="C20" s="1217"/>
      <c r="D20" s="1224"/>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row>
    <row r="21" spans="2:30" ht="7.5" customHeight="1">
      <c r="B21" s="1233"/>
      <c r="C21" s="1234"/>
      <c r="D21" s="1233"/>
      <c r="E21" s="1233"/>
      <c r="F21" s="1233"/>
      <c r="G21" s="1233"/>
      <c r="H21" s="1233"/>
      <c r="I21" s="1233"/>
      <c r="J21" s="1233"/>
      <c r="K21" s="1233"/>
      <c r="L21" s="1233"/>
      <c r="M21" s="1233"/>
      <c r="N21" s="1233"/>
      <c r="O21" s="1233"/>
      <c r="P21" s="1233"/>
      <c r="Q21" s="1233"/>
      <c r="R21" s="1233"/>
      <c r="S21" s="1233"/>
      <c r="T21" s="1233"/>
      <c r="U21" s="1233"/>
      <c r="V21" s="1233"/>
      <c r="W21" s="1233"/>
      <c r="X21" s="1233"/>
      <c r="Y21" s="1233"/>
      <c r="Z21" s="1233"/>
      <c r="AA21" s="1233"/>
      <c r="AB21" s="1233"/>
      <c r="AC21" s="1233"/>
      <c r="AD21" s="1233"/>
    </row>
    <row r="22" spans="2:30" ht="15" customHeight="1">
      <c r="C22" s="1220" t="s">
        <v>4061</v>
      </c>
    </row>
    <row r="23" spans="2:30" ht="15" customHeight="1">
      <c r="D23" s="1219" t="s">
        <v>4062</v>
      </c>
      <c r="M23" s="1452" t="str">
        <f>cst_wskakunin_DOURO_FUKUIN</f>
        <v/>
      </c>
      <c r="N23" s="1452"/>
      <c r="O23" s="1452"/>
      <c r="P23" s="1236" t="s">
        <v>3822</v>
      </c>
    </row>
    <row r="24" spans="2:30" ht="15" customHeight="1">
      <c r="D24" s="1219" t="s">
        <v>3823</v>
      </c>
      <c r="M24" s="1452" t="str">
        <f>cst_wskakunin_DOURO_NAGASA</f>
        <v/>
      </c>
      <c r="N24" s="1452"/>
      <c r="O24" s="1452"/>
      <c r="P24" s="1236" t="s">
        <v>3822</v>
      </c>
    </row>
    <row r="25" spans="2:30" ht="7.5" customHeight="1">
      <c r="B25" s="1224"/>
      <c r="C25" s="121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row>
    <row r="26" spans="2:30" ht="7.5" customHeight="1">
      <c r="B26" s="1233"/>
      <c r="C26" s="1234"/>
      <c r="D26" s="1233"/>
      <c r="E26" s="1233"/>
      <c r="F26" s="1233"/>
      <c r="G26" s="1233"/>
      <c r="H26" s="1233"/>
      <c r="I26" s="1233"/>
      <c r="J26" s="1233"/>
      <c r="K26" s="1233"/>
      <c r="L26" s="1233"/>
      <c r="M26" s="1233"/>
      <c r="N26" s="1233"/>
      <c r="O26" s="1233"/>
      <c r="P26" s="1233"/>
      <c r="Q26" s="1233"/>
      <c r="R26" s="1233"/>
      <c r="S26" s="1233"/>
      <c r="T26" s="1233"/>
      <c r="U26" s="1233"/>
      <c r="V26" s="1233"/>
      <c r="W26" s="1233"/>
      <c r="X26" s="1233"/>
      <c r="Y26" s="1233"/>
      <c r="Z26" s="1233"/>
      <c r="AA26" s="1233"/>
      <c r="AB26" s="1233"/>
      <c r="AC26" s="1233"/>
      <c r="AD26" s="1233"/>
    </row>
    <row r="27" spans="2:30" s="1221" customFormat="1" ht="15" customHeight="1">
      <c r="C27" s="1220" t="s">
        <v>4063</v>
      </c>
    </row>
    <row r="28" spans="2:30" s="1221" customFormat="1" ht="15" customHeight="1">
      <c r="D28" s="1221" t="s">
        <v>4064</v>
      </c>
      <c r="G28" s="1238" t="s">
        <v>3838</v>
      </c>
      <c r="H28" s="1221" t="s">
        <v>2</v>
      </c>
      <c r="I28" s="1446" t="str">
        <f>cst_wskakunin_SHIKITI_MENSEKI_1A</f>
        <v/>
      </c>
      <c r="J28" s="1446"/>
      <c r="K28" s="1446"/>
      <c r="L28" s="1236" t="s">
        <v>24</v>
      </c>
      <c r="M28" s="1221" t="s">
        <v>4065</v>
      </c>
      <c r="N28" s="1446" t="str">
        <f>cst_wskakunin_SHIKITI_MENSEKI_1B</f>
        <v/>
      </c>
      <c r="O28" s="1446"/>
      <c r="P28" s="1446"/>
      <c r="Q28" s="1236" t="s">
        <v>24</v>
      </c>
      <c r="R28" s="1221" t="s">
        <v>4065</v>
      </c>
      <c r="S28" s="1446" t="str">
        <f>cst_wskakunin_SHIKITI_MENSEKI_1C</f>
        <v/>
      </c>
      <c r="T28" s="1446"/>
      <c r="U28" s="1446"/>
      <c r="V28" s="1236" t="s">
        <v>24</v>
      </c>
      <c r="W28" s="1221" t="s">
        <v>4065</v>
      </c>
      <c r="X28" s="1446" t="str">
        <f>cst_wskakunin_SHIKITI_MENSEKI_1D</f>
        <v/>
      </c>
      <c r="Y28" s="1446"/>
      <c r="Z28" s="1446"/>
      <c r="AA28" s="1236" t="s">
        <v>24</v>
      </c>
      <c r="AB28" s="1221" t="s">
        <v>3</v>
      </c>
    </row>
    <row r="29" spans="2:30" s="1221" customFormat="1" ht="15" customHeight="1">
      <c r="G29" s="1238" t="s">
        <v>3839</v>
      </c>
      <c r="H29" s="1221" t="s">
        <v>2</v>
      </c>
      <c r="I29" s="1446" t="str">
        <f>cst_wskakunin_SHIKITI_MENSEKI_2A</f>
        <v/>
      </c>
      <c r="J29" s="1446"/>
      <c r="K29" s="1446"/>
      <c r="L29" s="1236" t="s">
        <v>24</v>
      </c>
      <c r="M29" s="1221" t="s">
        <v>4065</v>
      </c>
      <c r="N29" s="1446" t="str">
        <f>cst_wskakunin_SHIKITI_MENSEKI_2B</f>
        <v/>
      </c>
      <c r="O29" s="1446"/>
      <c r="P29" s="1446"/>
      <c r="Q29" s="1236" t="s">
        <v>24</v>
      </c>
      <c r="R29" s="1221" t="s">
        <v>4065</v>
      </c>
      <c r="S29" s="1446" t="str">
        <f>cst_wskakunin_SHIKITI_MENSEKI_2C</f>
        <v/>
      </c>
      <c r="T29" s="1446"/>
      <c r="U29" s="1446"/>
      <c r="V29" s="1236" t="s">
        <v>24</v>
      </c>
      <c r="W29" s="1221" t="s">
        <v>4065</v>
      </c>
      <c r="X29" s="1446" t="str">
        <f>cst_wskakunin_SHIKITI_MENSEKI_2D</f>
        <v/>
      </c>
      <c r="Y29" s="1446"/>
      <c r="Z29" s="1446"/>
      <c r="AA29" s="1236" t="s">
        <v>24</v>
      </c>
      <c r="AB29" s="1221" t="s">
        <v>3</v>
      </c>
    </row>
    <row r="30" spans="2:30" s="1221" customFormat="1" ht="15" customHeight="1">
      <c r="D30" s="1221" t="s">
        <v>4066</v>
      </c>
      <c r="H30" s="1221" t="s">
        <v>2</v>
      </c>
      <c r="I30" s="1430" t="str">
        <f>cst_wskakunin_YOUTO_TIIKI_A</f>
        <v/>
      </c>
      <c r="J30" s="1430"/>
      <c r="K30" s="1430"/>
      <c r="L30" s="1430"/>
      <c r="M30" s="1221" t="s">
        <v>4065</v>
      </c>
      <c r="N30" s="1430" t="str">
        <f>cst_wskakunin_YOUTO_TIIKI_B</f>
        <v/>
      </c>
      <c r="O30" s="1430"/>
      <c r="P30" s="1430"/>
      <c r="Q30" s="1430"/>
      <c r="R30" s="1221" t="s">
        <v>4065</v>
      </c>
      <c r="S30" s="1430" t="str">
        <f>cst_wskakunin_YOUTO_TIIKI_C</f>
        <v/>
      </c>
      <c r="T30" s="1430"/>
      <c r="U30" s="1430"/>
      <c r="V30" s="1430"/>
      <c r="W30" s="1221" t="s">
        <v>4065</v>
      </c>
      <c r="X30" s="1430" t="str">
        <f>cst_wskakunin_YOUTO_TIIKI_D</f>
        <v/>
      </c>
      <c r="Y30" s="1430"/>
      <c r="Z30" s="1430"/>
      <c r="AA30" s="1430"/>
      <c r="AB30" s="1221" t="s">
        <v>3</v>
      </c>
    </row>
    <row r="31" spans="2:30" s="1221" customFormat="1" ht="15" customHeight="1">
      <c r="D31" s="1221" t="s">
        <v>4067</v>
      </c>
    </row>
    <row r="32" spans="2:30" s="1221" customFormat="1" ht="15" customHeight="1">
      <c r="H32" s="1221" t="s">
        <v>2</v>
      </c>
      <c r="I32" s="1446" t="str">
        <f>cst_wskakunin_YOUSEKI_RITU_A</f>
        <v/>
      </c>
      <c r="J32" s="1446"/>
      <c r="K32" s="1446"/>
      <c r="L32" s="1227" t="s">
        <v>3841</v>
      </c>
      <c r="M32" s="1221" t="s">
        <v>4065</v>
      </c>
      <c r="N32" s="1446" t="str">
        <f>cst_wskakunin_YOUSEKI_RITU_B</f>
        <v/>
      </c>
      <c r="O32" s="1446"/>
      <c r="P32" s="1446"/>
      <c r="Q32" s="1227" t="s">
        <v>3841</v>
      </c>
      <c r="R32" s="1221" t="s">
        <v>4065</v>
      </c>
      <c r="S32" s="1446" t="str">
        <f>cst_wskakunin_YOUSEKI_RITU_C</f>
        <v/>
      </c>
      <c r="T32" s="1446"/>
      <c r="U32" s="1446"/>
      <c r="V32" s="1227" t="s">
        <v>3841</v>
      </c>
      <c r="W32" s="1221" t="s">
        <v>4065</v>
      </c>
      <c r="X32" s="1446" t="str">
        <f>cst_wskakunin_YOUSEKI_RITU_D</f>
        <v/>
      </c>
      <c r="Y32" s="1446"/>
      <c r="Z32" s="1446"/>
      <c r="AA32" s="1227" t="s">
        <v>3841</v>
      </c>
      <c r="AB32" s="1221" t="s">
        <v>3</v>
      </c>
    </row>
    <row r="33" spans="2:30" s="1221" customFormat="1" ht="15" customHeight="1">
      <c r="D33" s="1221" t="s">
        <v>4068</v>
      </c>
    </row>
    <row r="34" spans="2:30" s="1221" customFormat="1" ht="15" customHeight="1">
      <c r="H34" s="1221" t="s">
        <v>2</v>
      </c>
      <c r="I34" s="1446" t="str">
        <f>cst_wskakunin_KENPEI_RITU_A</f>
        <v/>
      </c>
      <c r="J34" s="1446"/>
      <c r="K34" s="1446"/>
      <c r="L34" s="1227" t="s">
        <v>3841</v>
      </c>
      <c r="M34" s="1221" t="s">
        <v>4065</v>
      </c>
      <c r="N34" s="1446" t="str">
        <f>cst_wskakunin_KENPEI_RITU_B</f>
        <v/>
      </c>
      <c r="O34" s="1446"/>
      <c r="P34" s="1446"/>
      <c r="Q34" s="1227" t="s">
        <v>3841</v>
      </c>
      <c r="R34" s="1221" t="s">
        <v>4065</v>
      </c>
      <c r="S34" s="1446" t="str">
        <f>cst_wskakunin_KENPEI_RITU_C</f>
        <v/>
      </c>
      <c r="T34" s="1446"/>
      <c r="U34" s="1446"/>
      <c r="V34" s="1227" t="s">
        <v>3841</v>
      </c>
      <c r="W34" s="1221" t="s">
        <v>4065</v>
      </c>
      <c r="X34" s="1446" t="str">
        <f>cst_wskakunin_KENPEI_RITU_D</f>
        <v/>
      </c>
      <c r="Y34" s="1446"/>
      <c r="Z34" s="1446"/>
      <c r="AA34" s="1227" t="s">
        <v>3841</v>
      </c>
      <c r="AB34" s="1221" t="s">
        <v>3</v>
      </c>
    </row>
    <row r="35" spans="2:30" s="1221" customFormat="1" ht="15" customHeight="1">
      <c r="D35" s="1221" t="s">
        <v>3837</v>
      </c>
      <c r="I35" s="1238" t="s">
        <v>3838</v>
      </c>
      <c r="J35" s="1450" t="str">
        <f>cst_wskakunin_SHIKITI_MENSEKI_1_TOTAL</f>
        <v/>
      </c>
      <c r="K35" s="1450"/>
      <c r="L35" s="1450"/>
      <c r="M35" s="1221" t="s">
        <v>24</v>
      </c>
    </row>
    <row r="36" spans="2:30" s="1221" customFormat="1" ht="15" customHeight="1">
      <c r="I36" s="1238" t="s">
        <v>3839</v>
      </c>
      <c r="J36" s="1450" t="str">
        <f>cst_wskakunin_SHIKITI_MENSEKI_2_TOTAL</f>
        <v/>
      </c>
      <c r="K36" s="1450"/>
      <c r="L36" s="1450"/>
      <c r="M36" s="1221" t="s">
        <v>24</v>
      </c>
    </row>
    <row r="37" spans="2:30" s="1221" customFormat="1" ht="15" customHeight="1">
      <c r="D37" s="1221" t="s">
        <v>3840</v>
      </c>
      <c r="S37" s="1446" t="str">
        <f>cst_wskakunin_LIMIT_YOUSEKI_RITU</f>
        <v/>
      </c>
      <c r="T37" s="1446"/>
      <c r="U37" s="1446"/>
      <c r="V37" s="1447" t="s">
        <v>3841</v>
      </c>
      <c r="W37" s="1447"/>
    </row>
    <row r="38" spans="2:30" s="1221" customFormat="1" ht="15" customHeight="1">
      <c r="D38" s="1221" t="s">
        <v>3842</v>
      </c>
      <c r="S38" s="1446" t="str">
        <f>cst_wskakunin_LIMIT_KENPEI_RITU</f>
        <v/>
      </c>
      <c r="T38" s="1446"/>
      <c r="U38" s="1446"/>
      <c r="V38" s="1447" t="s">
        <v>3841</v>
      </c>
      <c r="W38" s="1447"/>
    </row>
    <row r="39" spans="2:30" s="1221" customFormat="1" ht="15" customHeight="1">
      <c r="D39" s="1221" t="s">
        <v>4069</v>
      </c>
      <c r="F39" s="1239"/>
      <c r="G39" s="1240"/>
      <c r="H39" s="1448" t="str">
        <f>cst_wskakunin_SHIKITI_MENSEKI_BIKOU</f>
        <v/>
      </c>
      <c r="I39" s="1448"/>
      <c r="J39" s="1448"/>
      <c r="K39" s="1448"/>
      <c r="L39" s="1448"/>
      <c r="M39" s="1448"/>
      <c r="N39" s="1448"/>
      <c r="O39" s="1448"/>
      <c r="P39" s="1448"/>
      <c r="Q39" s="1448"/>
      <c r="R39" s="1448"/>
      <c r="S39" s="1448"/>
      <c r="T39" s="1448"/>
      <c r="U39" s="1448"/>
      <c r="V39" s="1448"/>
      <c r="W39" s="1448"/>
      <c r="X39" s="1448"/>
      <c r="Y39" s="1448"/>
      <c r="Z39" s="1448"/>
      <c r="AA39" s="1448"/>
      <c r="AB39" s="1448"/>
      <c r="AC39" s="1448"/>
      <c r="AD39" s="1448"/>
    </row>
    <row r="40" spans="2:30" s="1221" customFormat="1" ht="15" customHeight="1">
      <c r="F40" s="1240"/>
      <c r="G40" s="1240"/>
      <c r="H40" s="1448"/>
      <c r="I40" s="1448"/>
      <c r="J40" s="1448"/>
      <c r="K40" s="1448"/>
      <c r="L40" s="1448"/>
      <c r="M40" s="1448"/>
      <c r="N40" s="1448"/>
      <c r="O40" s="1448"/>
      <c r="P40" s="1448"/>
      <c r="Q40" s="1448"/>
      <c r="R40" s="1448"/>
      <c r="S40" s="1448"/>
      <c r="T40" s="1448"/>
      <c r="U40" s="1448"/>
      <c r="V40" s="1448"/>
      <c r="W40" s="1448"/>
      <c r="X40" s="1448"/>
      <c r="Y40" s="1448"/>
      <c r="Z40" s="1448"/>
      <c r="AA40" s="1448"/>
      <c r="AB40" s="1448"/>
      <c r="AC40" s="1448"/>
      <c r="AD40" s="1448"/>
    </row>
    <row r="41" spans="2:30" ht="7.5" customHeight="1">
      <c r="B41" s="1224"/>
      <c r="C41" s="1217"/>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row>
    <row r="42" spans="2:30" ht="7.5" customHeight="1">
      <c r="B42" s="1233"/>
      <c r="C42" s="1234"/>
      <c r="D42" s="1233"/>
      <c r="E42" s="1233"/>
      <c r="F42" s="1233"/>
      <c r="G42" s="1233"/>
      <c r="H42" s="1233"/>
      <c r="I42" s="1233"/>
      <c r="J42" s="1233"/>
      <c r="K42" s="1233"/>
      <c r="L42" s="1233"/>
      <c r="M42" s="1233"/>
      <c r="N42" s="1233"/>
      <c r="O42" s="1233"/>
      <c r="P42" s="1233"/>
      <c r="Q42" s="1233"/>
      <c r="R42" s="1233"/>
      <c r="S42" s="1233"/>
      <c r="T42" s="1233"/>
      <c r="U42" s="1233"/>
      <c r="V42" s="1233"/>
      <c r="W42" s="1233"/>
      <c r="X42" s="1233"/>
      <c r="Y42" s="1233"/>
      <c r="Z42" s="1233"/>
      <c r="AA42" s="1233"/>
      <c r="AB42" s="1233"/>
      <c r="AC42" s="1233"/>
      <c r="AD42" s="1233"/>
    </row>
    <row r="43" spans="2:30" ht="15" customHeight="1">
      <c r="C43" s="1220" t="s">
        <v>3844</v>
      </c>
      <c r="F43" s="1440" t="s">
        <v>3845</v>
      </c>
      <c r="G43" s="1440"/>
      <c r="H43" s="1449" t="str">
        <f>cst_wskakunin_YOUTO_CODE</f>
        <v/>
      </c>
      <c r="I43" s="1449"/>
      <c r="J43" s="1449"/>
      <c r="K43" s="1449"/>
      <c r="L43" s="1219" t="s">
        <v>3</v>
      </c>
      <c r="M43" s="1425" t="str">
        <f>cst_wskakunin_YOUTO</f>
        <v/>
      </c>
      <c r="N43" s="1425"/>
      <c r="O43" s="1425"/>
      <c r="P43" s="1425"/>
      <c r="Q43" s="1425"/>
      <c r="R43" s="1425"/>
      <c r="S43" s="1425"/>
      <c r="T43" s="1425"/>
      <c r="U43" s="1425"/>
      <c r="V43" s="1425"/>
      <c r="W43" s="1425"/>
      <c r="X43" s="1425"/>
      <c r="Y43" s="1425"/>
      <c r="Z43" s="1425"/>
      <c r="AA43" s="1425"/>
      <c r="AB43" s="1425"/>
      <c r="AC43" s="1425"/>
      <c r="AD43" s="1425"/>
    </row>
    <row r="44" spans="2:30" ht="7.5" customHeight="1">
      <c r="B44" s="1224"/>
      <c r="C44" s="1217"/>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row>
    <row r="45" spans="2:30" ht="7.5" customHeight="1">
      <c r="B45" s="1233"/>
      <c r="C45" s="1234"/>
      <c r="D45" s="1233"/>
      <c r="E45" s="1233"/>
      <c r="F45" s="1233"/>
      <c r="G45" s="1233"/>
      <c r="H45" s="1233"/>
      <c r="I45" s="1233"/>
      <c r="J45" s="1233"/>
      <c r="K45" s="1233"/>
      <c r="L45" s="1233"/>
      <c r="M45" s="1233"/>
      <c r="N45" s="1233"/>
      <c r="O45" s="1233"/>
      <c r="P45" s="1233"/>
      <c r="Q45" s="1233"/>
      <c r="R45" s="1233"/>
      <c r="S45" s="1233"/>
      <c r="T45" s="1233"/>
      <c r="U45" s="1233"/>
      <c r="V45" s="1233"/>
      <c r="W45" s="1233"/>
      <c r="X45" s="1233"/>
      <c r="Y45" s="1233"/>
      <c r="Z45" s="1233"/>
      <c r="AA45" s="1233"/>
      <c r="AB45" s="1233"/>
      <c r="AC45" s="1233"/>
      <c r="AD45" s="1233"/>
    </row>
    <row r="46" spans="2:30" ht="15" customHeight="1">
      <c r="C46" s="1220" t="s">
        <v>3846</v>
      </c>
      <c r="G46" s="1235" t="str">
        <f>cst_wskakunin_KOUJI_SINTIKU_box</f>
        <v>■</v>
      </c>
      <c r="H46" s="1219" t="s">
        <v>376</v>
      </c>
      <c r="K46" s="1235" t="str">
        <f>cst_wskakunin_KOUJI_ZOUTIKU_box</f>
        <v>□</v>
      </c>
      <c r="L46" s="1219" t="s">
        <v>377</v>
      </c>
      <c r="N46" s="1235" t="str">
        <f>cst_wskakunin_KOUJI_KAITIKU_box</f>
        <v>□</v>
      </c>
      <c r="O46" s="1219" t="s">
        <v>378</v>
      </c>
      <c r="Q46" s="1235" t="str">
        <f>cst_wskakunin_KOUJI_ITEN_box</f>
        <v>□</v>
      </c>
      <c r="R46" s="1219" t="s">
        <v>379</v>
      </c>
      <c r="T46" s="1235" t="str">
        <f>cst_wskakunin_KOUJI_YOUTOHENKOU_box</f>
        <v>□</v>
      </c>
      <c r="U46" s="1219" t="s">
        <v>519</v>
      </c>
    </row>
    <row r="47" spans="2:30" ht="15" customHeight="1">
      <c r="G47" s="1235" t="str">
        <f>cst_wskakunin_KOUJI_DAI_SYUUZEN_box</f>
        <v>□</v>
      </c>
      <c r="H47" s="1219" t="s">
        <v>1057</v>
      </c>
      <c r="N47" s="1235" t="str">
        <f>cst_wskakunin_KOUJI_DAI_MOYOUGAE_box</f>
        <v>□</v>
      </c>
      <c r="O47" s="1219" t="s">
        <v>1059</v>
      </c>
      <c r="W47" s="1241"/>
    </row>
    <row r="48" spans="2:30" ht="7.5" customHeight="1">
      <c r="B48" s="1224"/>
      <c r="C48" s="1217"/>
      <c r="D48" s="1224"/>
      <c r="E48" s="1224"/>
      <c r="F48" s="1224"/>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row>
    <row r="49" spans="2:30" ht="7.5" customHeight="1">
      <c r="B49" s="1233"/>
      <c r="C49" s="1234"/>
      <c r="D49" s="1233"/>
      <c r="E49" s="1233"/>
      <c r="F49" s="1233"/>
      <c r="G49" s="1233"/>
      <c r="H49" s="1233"/>
      <c r="I49" s="1233"/>
      <c r="J49" s="1233"/>
      <c r="K49" s="1233"/>
      <c r="L49" s="1233"/>
      <c r="M49" s="1233"/>
      <c r="N49" s="1233"/>
      <c r="O49" s="1233"/>
      <c r="P49" s="1233"/>
      <c r="Q49" s="1233"/>
      <c r="R49" s="1233"/>
      <c r="S49" s="1233"/>
      <c r="T49" s="1233"/>
      <c r="U49" s="1233"/>
      <c r="V49" s="1233"/>
      <c r="W49" s="1233"/>
      <c r="X49" s="1233"/>
      <c r="Y49" s="1233"/>
      <c r="Z49" s="1233"/>
      <c r="AA49" s="1233"/>
      <c r="AB49" s="1233"/>
      <c r="AC49" s="1233"/>
      <c r="AD49" s="1233"/>
    </row>
    <row r="50" spans="2:30" ht="15" customHeight="1">
      <c r="C50" s="1220" t="s">
        <v>4070</v>
      </c>
      <c r="L50" s="1241" t="s">
        <v>2</v>
      </c>
      <c r="M50" s="1440" t="s">
        <v>1063</v>
      </c>
      <c r="N50" s="1440"/>
      <c r="O50" s="1440"/>
      <c r="P50" s="1440"/>
      <c r="Q50" s="1219" t="s">
        <v>3</v>
      </c>
      <c r="R50" s="1241" t="s">
        <v>2</v>
      </c>
      <c r="S50" s="1440" t="s">
        <v>521</v>
      </c>
      <c r="T50" s="1440"/>
      <c r="U50" s="1440"/>
      <c r="V50" s="1440"/>
      <c r="W50" s="1440"/>
      <c r="X50" s="1219" t="s">
        <v>3</v>
      </c>
      <c r="Y50" s="1241" t="s">
        <v>2</v>
      </c>
      <c r="Z50" s="1440" t="s">
        <v>522</v>
      </c>
      <c r="AA50" s="1440"/>
      <c r="AB50" s="1440"/>
      <c r="AC50" s="1440"/>
      <c r="AD50" s="1219" t="s">
        <v>3</v>
      </c>
    </row>
    <row r="51" spans="2:30" ht="15" customHeight="1">
      <c r="D51" s="1219" t="s">
        <v>4071</v>
      </c>
      <c r="L51" s="1241" t="s">
        <v>2</v>
      </c>
      <c r="M51" s="1444" t="str">
        <f>cst_wskakunin_KENTIKU_MENSEKI_ZENTAI_SHINSEI</f>
        <v/>
      </c>
      <c r="N51" s="1444"/>
      <c r="O51" s="1444"/>
      <c r="P51" s="1236" t="s">
        <v>24</v>
      </c>
      <c r="Q51" s="1219" t="s">
        <v>3</v>
      </c>
      <c r="R51" s="1241" t="s">
        <v>2</v>
      </c>
      <c r="S51" s="1444" t="str">
        <f>cst_wskakunin_KENTIKU_MENSEKI_ZENTAI_IGAI</f>
        <v/>
      </c>
      <c r="T51" s="1444"/>
      <c r="U51" s="1444"/>
      <c r="V51" s="1444"/>
      <c r="W51" s="1236" t="s">
        <v>24</v>
      </c>
      <c r="X51" s="1219" t="s">
        <v>3</v>
      </c>
      <c r="Y51" s="1241" t="s">
        <v>2</v>
      </c>
      <c r="Z51" s="1443" t="str">
        <f>cst_wskakunin_KENTIKU_MENSEKI_ZENTAI_TOTAL</f>
        <v/>
      </c>
      <c r="AA51" s="1443"/>
      <c r="AB51" s="1443"/>
      <c r="AC51" s="1236" t="s">
        <v>24</v>
      </c>
      <c r="AD51" s="1219" t="s">
        <v>3</v>
      </c>
    </row>
    <row r="52" spans="2:30" ht="15" customHeight="1">
      <c r="D52" s="1219" t="s">
        <v>3857</v>
      </c>
      <c r="L52" s="1241"/>
      <c r="M52" s="1242"/>
      <c r="N52" s="1242"/>
      <c r="O52" s="1242"/>
      <c r="P52" s="1236"/>
      <c r="R52" s="1241"/>
      <c r="S52" s="1242"/>
      <c r="T52" s="1242"/>
      <c r="U52" s="1242"/>
      <c r="V52" s="1242"/>
      <c r="W52" s="1236"/>
      <c r="Y52" s="1241"/>
      <c r="Z52" s="1242"/>
      <c r="AA52" s="1242"/>
      <c r="AB52" s="1242"/>
      <c r="AC52" s="1236"/>
    </row>
    <row r="53" spans="2:30" ht="15" customHeight="1">
      <c r="L53" s="1241" t="s">
        <v>2</v>
      </c>
      <c r="M53" s="1444" t="str">
        <f>cst_wskakunin_KENTIKU_MENSEKI_SHINSEI</f>
        <v/>
      </c>
      <c r="N53" s="1444"/>
      <c r="O53" s="1444"/>
      <c r="P53" s="1236" t="s">
        <v>24</v>
      </c>
      <c r="Q53" s="1219" t="s">
        <v>3</v>
      </c>
      <c r="R53" s="1241" t="s">
        <v>2</v>
      </c>
      <c r="S53" s="1444" t="str">
        <f>cst_wskakunin_KENTIKU_MENSEKI_IGAI</f>
        <v/>
      </c>
      <c r="T53" s="1444"/>
      <c r="U53" s="1444"/>
      <c r="V53" s="1444"/>
      <c r="W53" s="1236" t="s">
        <v>24</v>
      </c>
      <c r="X53" s="1219" t="s">
        <v>3</v>
      </c>
      <c r="Y53" s="1241" t="s">
        <v>2</v>
      </c>
      <c r="Z53" s="1443" t="str">
        <f>cst_wskakunin_KENTIKU_MENSEKI_TOTAL</f>
        <v/>
      </c>
      <c r="AA53" s="1443"/>
      <c r="AB53" s="1443"/>
      <c r="AC53" s="1236" t="s">
        <v>24</v>
      </c>
      <c r="AD53" s="1219" t="s">
        <v>3</v>
      </c>
    </row>
    <row r="54" spans="2:30" ht="15" customHeight="1">
      <c r="D54" s="1219" t="s">
        <v>4072</v>
      </c>
      <c r="M54" s="1443" t="str">
        <f>cst_wskakunin_KENPEI_RITU</f>
        <v/>
      </c>
      <c r="N54" s="1443"/>
      <c r="O54" s="1443"/>
      <c r="P54" s="1236" t="s">
        <v>3841</v>
      </c>
    </row>
    <row r="55" spans="2:30" ht="7.5" customHeight="1">
      <c r="B55" s="1224"/>
      <c r="C55" s="1217"/>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row>
    <row r="56" spans="2:30" ht="7.5" customHeight="1">
      <c r="B56" s="1233"/>
      <c r="C56" s="1234"/>
      <c r="D56" s="1233"/>
      <c r="E56" s="1233"/>
      <c r="F56" s="1233"/>
      <c r="G56" s="1233"/>
      <c r="H56" s="1233"/>
      <c r="I56" s="1233"/>
      <c r="J56" s="1233"/>
      <c r="K56" s="1233"/>
      <c r="L56" s="1233"/>
      <c r="M56" s="1233"/>
      <c r="N56" s="1233"/>
      <c r="O56" s="1233"/>
      <c r="P56" s="1233"/>
      <c r="Q56" s="1233"/>
      <c r="R56" s="1233"/>
      <c r="S56" s="1233"/>
      <c r="T56" s="1233"/>
      <c r="U56" s="1233"/>
      <c r="V56" s="1233"/>
      <c r="W56" s="1233"/>
      <c r="X56" s="1233"/>
      <c r="Y56" s="1233"/>
      <c r="Z56" s="1233"/>
      <c r="AA56" s="1233"/>
      <c r="AB56" s="1233"/>
      <c r="AC56" s="1233"/>
      <c r="AD56" s="1233"/>
    </row>
    <row r="57" spans="2:30" ht="15" customHeight="1">
      <c r="C57" s="1220" t="s">
        <v>4073</v>
      </c>
      <c r="L57" s="1241" t="s">
        <v>2</v>
      </c>
      <c r="M57" s="1440" t="s">
        <v>1063</v>
      </c>
      <c r="N57" s="1440"/>
      <c r="O57" s="1440"/>
      <c r="P57" s="1440"/>
      <c r="Q57" s="1219" t="s">
        <v>3</v>
      </c>
      <c r="R57" s="1241" t="s">
        <v>2</v>
      </c>
      <c r="S57" s="1440" t="s">
        <v>521</v>
      </c>
      <c r="T57" s="1440"/>
      <c r="U57" s="1440"/>
      <c r="V57" s="1440"/>
      <c r="W57" s="1440"/>
      <c r="X57" s="1219" t="s">
        <v>3</v>
      </c>
      <c r="Y57" s="1241" t="s">
        <v>2</v>
      </c>
      <c r="Z57" s="1440" t="s">
        <v>522</v>
      </c>
      <c r="AA57" s="1440"/>
      <c r="AB57" s="1440"/>
      <c r="AC57" s="1440"/>
      <c r="AD57" s="1219" t="s">
        <v>3</v>
      </c>
    </row>
    <row r="58" spans="2:30" ht="15" customHeight="1">
      <c r="D58" s="1219" t="s">
        <v>3853</v>
      </c>
      <c r="L58" s="1241" t="s">
        <v>2</v>
      </c>
      <c r="M58" s="1444" t="str">
        <f>cst_wskakunin_NOBE_MENSEKI_BUILD_SHINSEI</f>
        <v/>
      </c>
      <c r="N58" s="1444"/>
      <c r="O58" s="1444"/>
      <c r="P58" s="1236" t="s">
        <v>24</v>
      </c>
      <c r="Q58" s="1219" t="s">
        <v>3</v>
      </c>
      <c r="R58" s="1241" t="s">
        <v>2</v>
      </c>
      <c r="S58" s="1444" t="str">
        <f>cst_wskakunin_NOBE_MENSEKI_BUILD_IGAI</f>
        <v/>
      </c>
      <c r="T58" s="1444"/>
      <c r="U58" s="1444"/>
      <c r="V58" s="1444"/>
      <c r="W58" s="1236" t="s">
        <v>24</v>
      </c>
      <c r="X58" s="1219" t="s">
        <v>3</v>
      </c>
      <c r="Y58" s="1241" t="s">
        <v>2</v>
      </c>
      <c r="Z58" s="1443" t="str">
        <f>cst_wskakunin_NOBE_MENSEKI_BUILD_TOTAL</f>
        <v/>
      </c>
      <c r="AA58" s="1443"/>
      <c r="AB58" s="1443"/>
      <c r="AC58" s="1236" t="s">
        <v>24</v>
      </c>
      <c r="AD58" s="1219" t="s">
        <v>3</v>
      </c>
    </row>
    <row r="59" spans="2:30" ht="15" customHeight="1">
      <c r="D59" s="1219" t="s">
        <v>3861</v>
      </c>
    </row>
    <row r="60" spans="2:30" ht="15" customHeight="1">
      <c r="L60" s="1241" t="s">
        <v>2</v>
      </c>
      <c r="M60" s="1444" t="str">
        <f>cst_wskakunin_NOBE_MENSEKI_TIKAI_SHINSEI</f>
        <v/>
      </c>
      <c r="N60" s="1444"/>
      <c r="O60" s="1444"/>
      <c r="P60" s="1236" t="s">
        <v>24</v>
      </c>
      <c r="Q60" s="1219" t="s">
        <v>3</v>
      </c>
      <c r="R60" s="1241" t="s">
        <v>2</v>
      </c>
      <c r="S60" s="1444" t="str">
        <f>cst_wskakunin_NOBE_MENSEKI_TIKAI_IGAI</f>
        <v/>
      </c>
      <c r="T60" s="1444"/>
      <c r="U60" s="1444"/>
      <c r="V60" s="1444"/>
      <c r="W60" s="1236" t="s">
        <v>24</v>
      </c>
      <c r="X60" s="1219" t="s">
        <v>3</v>
      </c>
      <c r="Y60" s="1241" t="s">
        <v>2</v>
      </c>
      <c r="Z60" s="1443" t="str">
        <f>cst_wskakunin_NOBE_MENSEKI_TIKAI_TOTAL</f>
        <v/>
      </c>
      <c r="AA60" s="1443"/>
      <c r="AB60" s="1443"/>
      <c r="AC60" s="1236" t="s">
        <v>24</v>
      </c>
      <c r="AD60" s="1219" t="s">
        <v>3</v>
      </c>
    </row>
    <row r="61" spans="2:30" ht="15" customHeight="1">
      <c r="D61" s="1219" t="s">
        <v>4074</v>
      </c>
      <c r="AC61" s="1236"/>
    </row>
    <row r="62" spans="2:30" ht="15" customHeight="1">
      <c r="L62" s="1241" t="s">
        <v>2</v>
      </c>
      <c r="M62" s="1444" t="str">
        <f>cst_wskakunin_NOBE_MENSEKI_SYOUKOURO_SHINSEI</f>
        <v/>
      </c>
      <c r="N62" s="1444"/>
      <c r="O62" s="1444"/>
      <c r="P62" s="1236" t="s">
        <v>24</v>
      </c>
      <c r="Q62" s="1219" t="s">
        <v>3</v>
      </c>
      <c r="R62" s="1241" t="s">
        <v>2</v>
      </c>
      <c r="S62" s="1444" t="str">
        <f>cst_wskakunin_NOBE_MENSEKI_SYOUKOURO_IGAI</f>
        <v/>
      </c>
      <c r="T62" s="1444"/>
      <c r="U62" s="1444"/>
      <c r="V62" s="1444"/>
      <c r="W62" s="1236" t="s">
        <v>24</v>
      </c>
      <c r="X62" s="1219" t="s">
        <v>3</v>
      </c>
      <c r="Y62" s="1241" t="s">
        <v>2</v>
      </c>
      <c r="Z62" s="1443" t="str">
        <f>cst_wskakunin_NOBE_MENSEKI_SYOUKOURO_TOTAL</f>
        <v/>
      </c>
      <c r="AA62" s="1443"/>
      <c r="AB62" s="1443"/>
      <c r="AC62" s="1236" t="s">
        <v>24</v>
      </c>
      <c r="AD62" s="1219" t="s">
        <v>3</v>
      </c>
    </row>
    <row r="63" spans="2:30" ht="15" customHeight="1">
      <c r="D63" s="1219" t="s">
        <v>3864</v>
      </c>
      <c r="L63" s="1241"/>
      <c r="M63" s="1243"/>
      <c r="N63" s="1243"/>
      <c r="O63" s="1243"/>
      <c r="P63" s="1236"/>
      <c r="R63" s="1241"/>
      <c r="S63" s="1243"/>
      <c r="T63" s="1243"/>
      <c r="U63" s="1243"/>
      <c r="V63" s="1243"/>
      <c r="W63" s="1236"/>
      <c r="Y63" s="1241"/>
      <c r="Z63" s="1243"/>
      <c r="AA63" s="1243"/>
      <c r="AB63" s="1243"/>
      <c r="AC63" s="1236"/>
    </row>
    <row r="64" spans="2:30" ht="15" customHeight="1">
      <c r="L64" s="1241" t="s">
        <v>2</v>
      </c>
      <c r="M64" s="1444" t="str">
        <f>cst_wskakunin_NOBE_MENSEKI_KYOYOU_SHINSEI</f>
        <v/>
      </c>
      <c r="N64" s="1444"/>
      <c r="O64" s="1444"/>
      <c r="P64" s="1236" t="s">
        <v>24</v>
      </c>
      <c r="Q64" s="1219" t="s">
        <v>3</v>
      </c>
      <c r="R64" s="1241" t="s">
        <v>2</v>
      </c>
      <c r="S64" s="1444" t="str">
        <f>cst_wskakunin_NOBE_MENSEKI_KYOYOU_IGAI</f>
        <v/>
      </c>
      <c r="T64" s="1444"/>
      <c r="U64" s="1444"/>
      <c r="V64" s="1444"/>
      <c r="W64" s="1236" t="s">
        <v>24</v>
      </c>
      <c r="X64" s="1219" t="s">
        <v>3</v>
      </c>
      <c r="Y64" s="1241" t="s">
        <v>2</v>
      </c>
      <c r="Z64" s="1443" t="str">
        <f>cst_wskakunin_NOBE_MENSEKI_KYOYOU_TOTAL</f>
        <v/>
      </c>
      <c r="AA64" s="1443"/>
      <c r="AB64" s="1443"/>
      <c r="AC64" s="1236" t="s">
        <v>24</v>
      </c>
      <c r="AD64" s="1219" t="s">
        <v>3</v>
      </c>
    </row>
    <row r="65" spans="2:30" ht="15" customHeight="1">
      <c r="D65" s="1244" t="s">
        <v>3865</v>
      </c>
      <c r="L65" s="1245" t="s">
        <v>2</v>
      </c>
      <c r="M65" s="1445" t="str">
        <f>cst_wskakunin_NOBE_MENSEKI_KIKAI_SHINSEI</f>
        <v/>
      </c>
      <c r="N65" s="1445"/>
      <c r="O65" s="1445"/>
      <c r="P65" s="1246" t="s">
        <v>24</v>
      </c>
      <c r="Q65" s="1247" t="s">
        <v>3</v>
      </c>
      <c r="R65" s="1245" t="s">
        <v>2</v>
      </c>
      <c r="S65" s="1445" t="str">
        <f>cst_wskakunin_NOBE_MENSEKI_KIKAI_IGAI</f>
        <v/>
      </c>
      <c r="T65" s="1445"/>
      <c r="U65" s="1445"/>
      <c r="V65" s="1445"/>
      <c r="W65" s="1246" t="s">
        <v>24</v>
      </c>
      <c r="X65" s="1247" t="s">
        <v>3</v>
      </c>
      <c r="Y65" s="1245" t="s">
        <v>2</v>
      </c>
      <c r="Z65" s="1443" t="str">
        <f>cst_wskakunin_NOBE_MENSEKI_KIKAI_TOTAL</f>
        <v/>
      </c>
      <c r="AA65" s="1443"/>
      <c r="AB65" s="1443"/>
      <c r="AC65" s="1246" t="s">
        <v>24</v>
      </c>
      <c r="AD65" s="1247" t="s">
        <v>3</v>
      </c>
    </row>
    <row r="66" spans="2:30" ht="15" customHeight="1">
      <c r="D66" s="1244" t="s">
        <v>3866</v>
      </c>
      <c r="L66" s="1241" t="s">
        <v>2</v>
      </c>
      <c r="M66" s="1444" t="str">
        <f>cst_wskakunin_NOBE_MENSEKI_SYAKO_SHINSEI</f>
        <v/>
      </c>
      <c r="N66" s="1444"/>
      <c r="O66" s="1444"/>
      <c r="P66" s="1236" t="s">
        <v>24</v>
      </c>
      <c r="Q66" s="1219" t="s">
        <v>3</v>
      </c>
      <c r="R66" s="1241" t="s">
        <v>2</v>
      </c>
      <c r="S66" s="1444" t="str">
        <f>cst_wskakunin_NOBE_MENSEKI_SYAKO_IGAI</f>
        <v/>
      </c>
      <c r="T66" s="1444"/>
      <c r="U66" s="1444"/>
      <c r="V66" s="1444"/>
      <c r="W66" s="1236" t="s">
        <v>24</v>
      </c>
      <c r="X66" s="1219" t="s">
        <v>3</v>
      </c>
      <c r="Y66" s="1241" t="s">
        <v>2</v>
      </c>
      <c r="Z66" s="1443" t="str">
        <f>cst_wskakunin_NOBE_MENSEKI_SYAKO_TOTAL</f>
        <v/>
      </c>
      <c r="AA66" s="1443"/>
      <c r="AB66" s="1443"/>
      <c r="AC66" s="1236" t="s">
        <v>24</v>
      </c>
      <c r="AD66" s="1219" t="s">
        <v>3</v>
      </c>
    </row>
    <row r="67" spans="2:30" ht="15" customHeight="1">
      <c r="D67" s="1244" t="s">
        <v>3867</v>
      </c>
      <c r="L67" s="1241" t="s">
        <v>2</v>
      </c>
      <c r="M67" s="1444" t="str">
        <f>cst_wskakunin_NOBE_MENSEKI_BITIKUSOUKO_SHINSEI</f>
        <v/>
      </c>
      <c r="N67" s="1444"/>
      <c r="O67" s="1444"/>
      <c r="P67" s="1236" t="s">
        <v>24</v>
      </c>
      <c r="Q67" s="1219" t="s">
        <v>3</v>
      </c>
      <c r="R67" s="1241" t="s">
        <v>2</v>
      </c>
      <c r="S67" s="1444" t="str">
        <f>cst_wskakunin_NOBE_MENSEKI_BITIKUSOUKO_IGAI</f>
        <v/>
      </c>
      <c r="T67" s="1444"/>
      <c r="U67" s="1444"/>
      <c r="V67" s="1444"/>
      <c r="W67" s="1236" t="s">
        <v>24</v>
      </c>
      <c r="X67" s="1219" t="s">
        <v>3</v>
      </c>
      <c r="Y67" s="1241" t="s">
        <v>2</v>
      </c>
      <c r="Z67" s="1443" t="str">
        <f>cst_wskakunin_NOBE_MENSEKI_BITIKUSOUKO_TOTAL</f>
        <v/>
      </c>
      <c r="AA67" s="1443"/>
      <c r="AB67" s="1443"/>
      <c r="AC67" s="1236" t="s">
        <v>24</v>
      </c>
      <c r="AD67" s="1219" t="s">
        <v>3</v>
      </c>
    </row>
    <row r="68" spans="2:30" ht="15" customHeight="1">
      <c r="D68" s="1244" t="s">
        <v>3868</v>
      </c>
      <c r="L68" s="1241" t="s">
        <v>2</v>
      </c>
      <c r="M68" s="1444" t="str">
        <f>cst_wskakunin_NOBE_MENSEKI_TIKUDENTI_SHINSEI</f>
        <v/>
      </c>
      <c r="N68" s="1444"/>
      <c r="O68" s="1444"/>
      <c r="P68" s="1236" t="s">
        <v>24</v>
      </c>
      <c r="Q68" s="1219" t="s">
        <v>3</v>
      </c>
      <c r="R68" s="1241" t="s">
        <v>2</v>
      </c>
      <c r="S68" s="1444" t="str">
        <f>cst_wskakunin_NOBE_MENSEKI_TIKUDENTI_IGAI</f>
        <v/>
      </c>
      <c r="T68" s="1444"/>
      <c r="U68" s="1444"/>
      <c r="V68" s="1444"/>
      <c r="W68" s="1236" t="s">
        <v>24</v>
      </c>
      <c r="X68" s="1219" t="s">
        <v>3</v>
      </c>
      <c r="Y68" s="1241" t="s">
        <v>2</v>
      </c>
      <c r="Z68" s="1443" t="str">
        <f>cst_wskakunin_NOBE_MENSEKI_TIKUDENTI_TOTAL</f>
        <v/>
      </c>
      <c r="AA68" s="1443"/>
      <c r="AB68" s="1443"/>
      <c r="AC68" s="1236" t="s">
        <v>24</v>
      </c>
      <c r="AD68" s="1219" t="s">
        <v>3</v>
      </c>
    </row>
    <row r="69" spans="2:30" ht="15" customHeight="1">
      <c r="D69" s="1244" t="s">
        <v>3869</v>
      </c>
    </row>
    <row r="70" spans="2:30" ht="15" customHeight="1">
      <c r="L70" s="1241" t="s">
        <v>2</v>
      </c>
      <c r="M70" s="1444" t="str">
        <f>cst_wskakunin_NOBE_MENSEKI_JIKAHATUDEN_SHINSEI</f>
        <v/>
      </c>
      <c r="N70" s="1444"/>
      <c r="O70" s="1444"/>
      <c r="P70" s="1236" t="s">
        <v>24</v>
      </c>
      <c r="Q70" s="1219" t="s">
        <v>3</v>
      </c>
      <c r="R70" s="1241" t="s">
        <v>2</v>
      </c>
      <c r="S70" s="1444" t="str">
        <f>cst_wskakunin_NOBE_MENSEKI_JIKAHATUDEN_IGAI</f>
        <v/>
      </c>
      <c r="T70" s="1444"/>
      <c r="U70" s="1444"/>
      <c r="V70" s="1444"/>
      <c r="W70" s="1236" t="s">
        <v>24</v>
      </c>
      <c r="X70" s="1219" t="s">
        <v>3</v>
      </c>
      <c r="Y70" s="1241" t="s">
        <v>2</v>
      </c>
      <c r="Z70" s="1443" t="str">
        <f>cst_wskakunin_NOBE_MENSEKI_JIKAHATUDEN_TOTAL</f>
        <v/>
      </c>
      <c r="AA70" s="1443"/>
      <c r="AB70" s="1443"/>
      <c r="AC70" s="1236" t="s">
        <v>24</v>
      </c>
      <c r="AD70" s="1219" t="s">
        <v>3</v>
      </c>
    </row>
    <row r="71" spans="2:30" ht="15" customHeight="1">
      <c r="D71" s="1244" t="s">
        <v>3870</v>
      </c>
      <c r="L71" s="1241" t="s">
        <v>2</v>
      </c>
      <c r="M71" s="1444" t="str">
        <f>cst_wskakunin_NOBE_MENSEKI_CHOSUISOU_SHINSEI</f>
        <v/>
      </c>
      <c r="N71" s="1444"/>
      <c r="O71" s="1444"/>
      <c r="P71" s="1236" t="s">
        <v>24</v>
      </c>
      <c r="Q71" s="1219" t="s">
        <v>3</v>
      </c>
      <c r="R71" s="1241" t="s">
        <v>2</v>
      </c>
      <c r="S71" s="1444" t="str">
        <f>cst_wskakunin_NOBE_MENSEKI_CHOSUISOU_IGAI</f>
        <v/>
      </c>
      <c r="T71" s="1444"/>
      <c r="U71" s="1444"/>
      <c r="V71" s="1444"/>
      <c r="W71" s="1236" t="s">
        <v>24</v>
      </c>
      <c r="X71" s="1219" t="s">
        <v>3</v>
      </c>
      <c r="Y71" s="1241" t="s">
        <v>2</v>
      </c>
      <c r="Z71" s="1443" t="str">
        <f>cst_wskakunin_NOBE_MENSEKI_CHOSUISOU_TOTAL</f>
        <v/>
      </c>
      <c r="AA71" s="1443"/>
      <c r="AB71" s="1443"/>
      <c r="AC71" s="1236" t="s">
        <v>24</v>
      </c>
      <c r="AD71" s="1219" t="s">
        <v>3</v>
      </c>
    </row>
    <row r="72" spans="2:30" ht="15" customHeight="1">
      <c r="D72" s="1244" t="s">
        <v>3871</v>
      </c>
      <c r="L72" s="1241" t="s">
        <v>2</v>
      </c>
      <c r="M72" s="1444" t="str">
        <f>cst_wskakunin_NOBE_MENSEKI_TAKUHAI_SHINSEI</f>
        <v/>
      </c>
      <c r="N72" s="1444"/>
      <c r="O72" s="1444"/>
      <c r="P72" s="1236" t="s">
        <v>24</v>
      </c>
      <c r="Q72" s="1219" t="s">
        <v>3</v>
      </c>
      <c r="R72" s="1241" t="s">
        <v>2</v>
      </c>
      <c r="S72" s="1444" t="str">
        <f>cst_wskakunin_NOBE_MENSEKI_TAKUHAI_IGAI</f>
        <v/>
      </c>
      <c r="T72" s="1444"/>
      <c r="U72" s="1444"/>
      <c r="V72" s="1444"/>
      <c r="W72" s="1236" t="s">
        <v>24</v>
      </c>
      <c r="X72" s="1219" t="s">
        <v>3</v>
      </c>
      <c r="Y72" s="1241" t="s">
        <v>2</v>
      </c>
      <c r="Z72" s="1443" t="str">
        <f>cst_wskakunin_NOBE_MENSEKI_TAKUHAI_TOTAL</f>
        <v/>
      </c>
      <c r="AA72" s="1443"/>
      <c r="AB72" s="1443"/>
      <c r="AC72" s="1236" t="s">
        <v>24</v>
      </c>
      <c r="AD72" s="1219" t="s">
        <v>3</v>
      </c>
    </row>
    <row r="73" spans="2:30" ht="15" customHeight="1">
      <c r="D73" s="1244" t="s">
        <v>3872</v>
      </c>
      <c r="L73" s="1245" t="s">
        <v>2</v>
      </c>
      <c r="M73" s="1445" t="str">
        <f>cst_wskakunin_NOBE_MENSEKI_FUSANNYU_SHINSEI</f>
        <v/>
      </c>
      <c r="N73" s="1445"/>
      <c r="O73" s="1445"/>
      <c r="P73" s="1246" t="s">
        <v>24</v>
      </c>
      <c r="Q73" s="1247" t="s">
        <v>3</v>
      </c>
      <c r="R73" s="1245" t="s">
        <v>2</v>
      </c>
      <c r="S73" s="1445" t="str">
        <f>cst_wskakunin_NOBE_MENSEKI_FUSANNYU_IGAI</f>
        <v/>
      </c>
      <c r="T73" s="1445"/>
      <c r="U73" s="1445"/>
      <c r="V73" s="1445"/>
      <c r="W73" s="1246" t="s">
        <v>24</v>
      </c>
      <c r="X73" s="1247" t="s">
        <v>3</v>
      </c>
      <c r="Y73" s="1245" t="s">
        <v>2</v>
      </c>
      <c r="Z73" s="1443" t="str">
        <f>cst_wskakunin_NOBE_MENSEKI_FUSANNYU_TOTAL</f>
        <v/>
      </c>
      <c r="AA73" s="1443"/>
      <c r="AB73" s="1443"/>
      <c r="AC73" s="1246" t="s">
        <v>24</v>
      </c>
      <c r="AD73" s="1247" t="s">
        <v>3</v>
      </c>
    </row>
    <row r="74" spans="2:30" ht="15" customHeight="1">
      <c r="D74" s="1219" t="s">
        <v>4075</v>
      </c>
      <c r="L74" s="1241" t="s">
        <v>2</v>
      </c>
      <c r="M74" s="1444" t="str">
        <f>cst_wskakunin_NOBE_MENSEKI_JYUTAKU_SHINSEI</f>
        <v/>
      </c>
      <c r="N74" s="1444"/>
      <c r="O74" s="1444"/>
      <c r="P74" s="1236" t="s">
        <v>24</v>
      </c>
      <c r="Q74" s="1219" t="s">
        <v>3</v>
      </c>
      <c r="R74" s="1241" t="s">
        <v>2</v>
      </c>
      <c r="S74" s="1444" t="str">
        <f>cst_wskakunin_NOBE_MENSEKI_JYUTAKU_IGAI</f>
        <v/>
      </c>
      <c r="T74" s="1444"/>
      <c r="U74" s="1444"/>
      <c r="V74" s="1444"/>
      <c r="W74" s="1236" t="s">
        <v>24</v>
      </c>
      <c r="X74" s="1219" t="s">
        <v>3</v>
      </c>
      <c r="Y74" s="1241" t="s">
        <v>2</v>
      </c>
      <c r="Z74" s="1443" t="str">
        <f>cst_wskakunin_NOBE_MENSEKI_JYUTAKU_TOTAL</f>
        <v/>
      </c>
      <c r="AA74" s="1443"/>
      <c r="AB74" s="1443"/>
      <c r="AC74" s="1236" t="s">
        <v>24</v>
      </c>
      <c r="AD74" s="1219" t="s">
        <v>3</v>
      </c>
    </row>
    <row r="75" spans="2:30" ht="15" customHeight="1">
      <c r="D75" s="1219" t="s">
        <v>4076</v>
      </c>
      <c r="L75" s="1241" t="s">
        <v>2</v>
      </c>
      <c r="M75" s="1444" t="str">
        <f>cst_wskakunin_NOBE_MENSEKI_ROUJIN_SHINSEI</f>
        <v/>
      </c>
      <c r="N75" s="1444"/>
      <c r="O75" s="1444"/>
      <c r="P75" s="1236" t="s">
        <v>24</v>
      </c>
      <c r="Q75" s="1219" t="s">
        <v>3</v>
      </c>
      <c r="R75" s="1241" t="s">
        <v>2</v>
      </c>
      <c r="S75" s="1444" t="str">
        <f>cst_wskakunin_NOBE_MENSEKI_ROUJIN_IGAI</f>
        <v/>
      </c>
      <c r="T75" s="1444"/>
      <c r="U75" s="1444"/>
      <c r="V75" s="1444"/>
      <c r="W75" s="1236" t="s">
        <v>24</v>
      </c>
      <c r="X75" s="1219" t="s">
        <v>3</v>
      </c>
      <c r="Y75" s="1241" t="s">
        <v>2</v>
      </c>
      <c r="Z75" s="1443" t="str">
        <f>cst_wskakunin_NOBE_MENSEKI_ROUJIN_TOTAL</f>
        <v/>
      </c>
      <c r="AA75" s="1443"/>
      <c r="AB75" s="1443"/>
      <c r="AC75" s="1236" t="s">
        <v>24</v>
      </c>
      <c r="AD75" s="1219" t="s">
        <v>3</v>
      </c>
    </row>
    <row r="76" spans="2:30" ht="15" customHeight="1">
      <c r="D76" s="1219" t="s">
        <v>4077</v>
      </c>
      <c r="L76" s="1241" t="s">
        <v>2</v>
      </c>
      <c r="M76" s="1443" t="str">
        <f>cst_wskakunin_NOBE_MENSEKI</f>
        <v/>
      </c>
      <c r="N76" s="1443"/>
      <c r="O76" s="1443"/>
      <c r="P76" s="1236" t="s">
        <v>24</v>
      </c>
      <c r="Q76" s="1219" t="s">
        <v>3</v>
      </c>
      <c r="R76" s="1241"/>
      <c r="S76" s="1239"/>
      <c r="T76" s="1239"/>
      <c r="U76" s="1239"/>
      <c r="V76" s="1239"/>
      <c r="W76" s="1236"/>
    </row>
    <row r="77" spans="2:30" ht="15" customHeight="1">
      <c r="D77" s="1219" t="s">
        <v>4078</v>
      </c>
      <c r="L77" s="1241"/>
      <c r="M77" s="1443" t="str">
        <f>cst_wskakunin_YOUSEKI_RITU</f>
        <v/>
      </c>
      <c r="N77" s="1443"/>
      <c r="O77" s="1443"/>
      <c r="P77" s="1236" t="s">
        <v>3841</v>
      </c>
      <c r="R77" s="1241"/>
      <c r="S77" s="1239"/>
      <c r="T77" s="1239"/>
      <c r="U77" s="1239"/>
      <c r="V77" s="1239"/>
      <c r="W77" s="1236"/>
      <c r="Y77" s="1241"/>
      <c r="Z77" s="1239"/>
      <c r="AA77" s="1239"/>
      <c r="AB77" s="1239"/>
      <c r="AC77" s="1236"/>
    </row>
    <row r="78" spans="2:30" ht="7.5" customHeight="1">
      <c r="B78" s="1224"/>
      <c r="C78" s="1217"/>
      <c r="D78" s="1224"/>
      <c r="E78" s="1224"/>
      <c r="F78" s="1224"/>
      <c r="G78" s="1224"/>
      <c r="H78" s="1224"/>
      <c r="I78" s="1224"/>
      <c r="J78" s="1224"/>
      <c r="K78" s="1224"/>
      <c r="L78" s="1224"/>
      <c r="M78" s="1224"/>
      <c r="N78" s="1224"/>
      <c r="O78" s="1224"/>
      <c r="P78" s="1224"/>
      <c r="Q78" s="1224"/>
      <c r="R78" s="1224"/>
      <c r="S78" s="1224"/>
      <c r="T78" s="1224"/>
      <c r="U78" s="1224"/>
      <c r="V78" s="1224"/>
      <c r="W78" s="1224"/>
      <c r="X78" s="1224"/>
      <c r="Y78" s="1224"/>
      <c r="Z78" s="1224"/>
      <c r="AA78" s="1224"/>
      <c r="AB78" s="1224"/>
      <c r="AC78" s="1224"/>
      <c r="AD78" s="1224"/>
    </row>
    <row r="79" spans="2:30" ht="7.5" customHeight="1">
      <c r="B79" s="1233"/>
      <c r="C79" s="1234"/>
      <c r="D79" s="1233"/>
      <c r="E79" s="1233"/>
      <c r="F79" s="1233"/>
      <c r="G79" s="1233"/>
      <c r="H79" s="1233"/>
      <c r="I79" s="1233"/>
      <c r="J79" s="1233"/>
      <c r="K79" s="1233"/>
      <c r="L79" s="1233"/>
      <c r="M79" s="1233"/>
      <c r="N79" s="1233"/>
      <c r="O79" s="1233"/>
      <c r="P79" s="1233"/>
      <c r="Q79" s="1233"/>
      <c r="R79" s="1233"/>
      <c r="S79" s="1233"/>
      <c r="T79" s="1233"/>
      <c r="U79" s="1233"/>
      <c r="V79" s="1233"/>
      <c r="W79" s="1233"/>
      <c r="X79" s="1233"/>
      <c r="Y79" s="1233"/>
      <c r="Z79" s="1233"/>
      <c r="AA79" s="1233"/>
      <c r="AB79" s="1233"/>
      <c r="AC79" s="1233"/>
      <c r="AD79" s="1233"/>
    </row>
    <row r="80" spans="2:30" ht="15" customHeight="1">
      <c r="C80" s="1220" t="s">
        <v>3877</v>
      </c>
    </row>
    <row r="81" spans="2:30" ht="15" customHeight="1">
      <c r="D81" s="1219" t="s">
        <v>3878</v>
      </c>
      <c r="M81" s="1442" t="str">
        <f>cst_wskakunin_BUILD_SHINSEI_COUNT</f>
        <v/>
      </c>
      <c r="N81" s="1442"/>
    </row>
    <row r="82" spans="2:30" ht="15" customHeight="1">
      <c r="D82" s="1219" t="s">
        <v>3879</v>
      </c>
      <c r="M82" s="1442" t="str">
        <f>cst_wskakunin_BUILD_SONOTA_COUNT</f>
        <v/>
      </c>
      <c r="N82" s="1442"/>
    </row>
    <row r="83" spans="2:30" ht="7.5" customHeight="1">
      <c r="B83" s="1224"/>
      <c r="C83" s="1217"/>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row>
    <row r="84" spans="2:30" ht="7.5" customHeight="1">
      <c r="B84" s="1233"/>
      <c r="C84" s="1234"/>
      <c r="D84" s="1233"/>
      <c r="E84" s="1233"/>
      <c r="F84" s="1233"/>
      <c r="G84" s="1233"/>
      <c r="H84" s="1233"/>
      <c r="I84" s="1233"/>
      <c r="J84" s="1233"/>
      <c r="K84" s="1233"/>
      <c r="L84" s="1233"/>
      <c r="M84" s="1233"/>
      <c r="N84" s="1233"/>
      <c r="O84" s="1233"/>
      <c r="P84" s="1233"/>
      <c r="Q84" s="1233"/>
      <c r="R84" s="1233"/>
      <c r="S84" s="1233"/>
      <c r="T84" s="1233"/>
      <c r="U84" s="1233"/>
      <c r="V84" s="1233"/>
      <c r="W84" s="1233"/>
      <c r="X84" s="1233"/>
      <c r="Y84" s="1233"/>
      <c r="Z84" s="1233"/>
      <c r="AA84" s="1233"/>
      <c r="AB84" s="1233"/>
      <c r="AC84" s="1233"/>
      <c r="AD84" s="1233"/>
    </row>
    <row r="85" spans="2:30" ht="15" customHeight="1">
      <c r="C85" s="1220" t="s">
        <v>3880</v>
      </c>
      <c r="I85" s="1241" t="s">
        <v>2</v>
      </c>
      <c r="J85" s="1440" t="s">
        <v>1148</v>
      </c>
      <c r="K85" s="1440"/>
      <c r="L85" s="1440"/>
      <c r="M85" s="1440"/>
      <c r="N85" s="1440"/>
      <c r="O85" s="1219" t="s">
        <v>3</v>
      </c>
      <c r="Q85" s="1241" t="s">
        <v>2</v>
      </c>
      <c r="R85" s="1440" t="s">
        <v>526</v>
      </c>
      <c r="S85" s="1440"/>
      <c r="T85" s="1440"/>
      <c r="U85" s="1440"/>
      <c r="V85" s="1440"/>
      <c r="W85" s="1219" t="s">
        <v>3</v>
      </c>
    </row>
    <row r="86" spans="2:30" ht="15" customHeight="1">
      <c r="D86" s="1219" t="s">
        <v>3944</v>
      </c>
      <c r="I86" s="1241" t="s">
        <v>2</v>
      </c>
      <c r="J86" s="1441" t="str">
        <f>cst_wskakunin_TAKASA_MAX_SHINSEI</f>
        <v/>
      </c>
      <c r="K86" s="1441"/>
      <c r="L86" s="1441"/>
      <c r="M86" s="1441"/>
      <c r="N86" s="1219" t="s">
        <v>3822</v>
      </c>
      <c r="O86" s="1219" t="s">
        <v>3</v>
      </c>
      <c r="Q86" s="1241" t="s">
        <v>2</v>
      </c>
      <c r="R86" s="1441" t="str">
        <f>cst_wskakunin_TAKASA_MAX_SONOTA</f>
        <v/>
      </c>
      <c r="S86" s="1441"/>
      <c r="T86" s="1441"/>
      <c r="U86" s="1441"/>
      <c r="V86" s="1219" t="s">
        <v>3822</v>
      </c>
      <c r="W86" s="1219" t="s">
        <v>3</v>
      </c>
    </row>
    <row r="87" spans="2:30" ht="15" customHeight="1">
      <c r="D87" s="1219" t="s">
        <v>4079</v>
      </c>
      <c r="G87" s="1219" t="s">
        <v>3886</v>
      </c>
      <c r="I87" s="1241" t="s">
        <v>2</v>
      </c>
      <c r="J87" s="1442" t="str">
        <f>cst_wskakunin_KAISU_TIJYOU_SHINSEI</f>
        <v/>
      </c>
      <c r="K87" s="1442"/>
      <c r="L87" s="1442"/>
      <c r="M87" s="1442"/>
      <c r="N87" s="1219" t="s">
        <v>382</v>
      </c>
      <c r="O87" s="1219" t="s">
        <v>3</v>
      </c>
      <c r="Q87" s="1241" t="s">
        <v>2</v>
      </c>
      <c r="R87" s="1442" t="str">
        <f>cst_wskakunin_KAISU_TIJYOU_SONOTA</f>
        <v/>
      </c>
      <c r="S87" s="1442"/>
      <c r="T87" s="1442"/>
      <c r="U87" s="1442"/>
      <c r="V87" s="1219" t="s">
        <v>382</v>
      </c>
      <c r="W87" s="1219" t="s">
        <v>3</v>
      </c>
    </row>
    <row r="88" spans="2:30" ht="15" customHeight="1">
      <c r="G88" s="1219" t="s">
        <v>3113</v>
      </c>
      <c r="I88" s="1241" t="s">
        <v>2</v>
      </c>
      <c r="J88" s="1442">
        <f>cst_wskakunin_KAISU_TIKA_SHINSEI__zero</f>
        <v>0</v>
      </c>
      <c r="K88" s="1442"/>
      <c r="L88" s="1442"/>
      <c r="M88" s="1442"/>
      <c r="N88" s="1219" t="s">
        <v>382</v>
      </c>
      <c r="O88" s="1219" t="s">
        <v>3</v>
      </c>
      <c r="Q88" s="1241" t="s">
        <v>2</v>
      </c>
      <c r="R88" s="1442" t="str">
        <f>cst_wskakunin_KAISU_TIKA_SONOTA</f>
        <v/>
      </c>
      <c r="S88" s="1442"/>
      <c r="T88" s="1442"/>
      <c r="U88" s="1442"/>
      <c r="V88" s="1219" t="s">
        <v>382</v>
      </c>
      <c r="W88" s="1219" t="s">
        <v>3</v>
      </c>
    </row>
    <row r="89" spans="2:30" ht="15" customHeight="1">
      <c r="D89" s="1219" t="s">
        <v>4080</v>
      </c>
      <c r="G89" s="1219" t="s">
        <v>54</v>
      </c>
      <c r="I89" s="1241" t="s">
        <v>2</v>
      </c>
      <c r="J89" s="1425" t="str">
        <f>cst_wskakunin_KOUZOU1</f>
        <v/>
      </c>
      <c r="K89" s="1425"/>
      <c r="L89" s="1425"/>
      <c r="M89" s="1425"/>
      <c r="O89" s="1219" t="s">
        <v>3</v>
      </c>
      <c r="P89" s="1241"/>
      <c r="Q89" s="1241" t="s">
        <v>2</v>
      </c>
      <c r="R89" s="1425" t="str">
        <f>cst_wskakunin_KOUZOU2</f>
        <v/>
      </c>
      <c r="S89" s="1425"/>
      <c r="T89" s="1425"/>
      <c r="U89" s="1425"/>
      <c r="V89" s="1425"/>
      <c r="W89" s="1219" t="s">
        <v>3</v>
      </c>
    </row>
    <row r="90" spans="2:30" ht="15" customHeight="1">
      <c r="D90" s="1219" t="s">
        <v>4081</v>
      </c>
      <c r="U90" s="1235" t="str">
        <f>cst_wskakunin_TOKUREI_TAKASA_box_on</f>
        <v>□</v>
      </c>
      <c r="V90" s="1219" t="s">
        <v>3889</v>
      </c>
      <c r="X90" s="1235" t="str">
        <f>cst_wskakunin_TOKUREI_TAKASA_box_off</f>
        <v>□</v>
      </c>
      <c r="Y90" s="1219" t="s">
        <v>3890</v>
      </c>
    </row>
    <row r="91" spans="2:30" ht="15" customHeight="1">
      <c r="D91" s="1219" t="s">
        <v>3891</v>
      </c>
    </row>
    <row r="92" spans="2:30" ht="15" customHeight="1">
      <c r="F92" s="1235" t="str">
        <f>cst_wskakunin_TOKUREI_TAKASA_DOURO</f>
        <v>□</v>
      </c>
      <c r="G92" s="1219" t="s">
        <v>3892</v>
      </c>
      <c r="M92" s="1235" t="str">
        <f>cst_wskakunin_TOKUREI_TAKASA_RINTI</f>
        <v>□</v>
      </c>
      <c r="N92" s="1219" t="s">
        <v>1171</v>
      </c>
      <c r="T92" s="1235" t="str">
        <f>cst_wskakunin_TOKUREI_TAKASA_KITA</f>
        <v>□</v>
      </c>
      <c r="U92" s="1219" t="s">
        <v>1174</v>
      </c>
    </row>
    <row r="93" spans="2:30" ht="7.5" customHeight="1">
      <c r="B93" s="1224"/>
      <c r="C93" s="1217"/>
      <c r="D93" s="1224"/>
      <c r="E93" s="1224"/>
      <c r="F93" s="1224"/>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row>
    <row r="94" spans="2:30" ht="7.5" customHeight="1">
      <c r="B94" s="1233"/>
      <c r="C94" s="1234"/>
      <c r="D94" s="1233"/>
      <c r="E94" s="1233"/>
      <c r="F94" s="1233"/>
      <c r="G94" s="1233"/>
      <c r="H94" s="1233"/>
      <c r="I94" s="1233"/>
      <c r="J94" s="1233"/>
      <c r="K94" s="1233"/>
      <c r="L94" s="1233"/>
      <c r="M94" s="1233"/>
      <c r="N94" s="1233"/>
      <c r="O94" s="1233"/>
      <c r="P94" s="1233"/>
      <c r="Q94" s="1233"/>
      <c r="R94" s="1233"/>
      <c r="S94" s="1233"/>
      <c r="T94" s="1233"/>
      <c r="U94" s="1233"/>
      <c r="V94" s="1233"/>
      <c r="W94" s="1233"/>
      <c r="X94" s="1233"/>
      <c r="Y94" s="1233"/>
      <c r="Z94" s="1233"/>
      <c r="AA94" s="1233"/>
      <c r="AB94" s="1233"/>
      <c r="AC94" s="1233"/>
      <c r="AD94" s="1233"/>
    </row>
    <row r="95" spans="2:30" ht="15" customHeight="1">
      <c r="C95" s="1220" t="s">
        <v>3893</v>
      </c>
      <c r="H95" s="1436" t="str">
        <f>cst_wskakunin_kyoka01_HOUREI&amp;" "&amp;cst_wskakunin_kyoka01_JOUKOU&amp;" "&amp;cst_wskakunin_kyoka01_KYOKA_NO&amp;" "&amp;IF(cst_wskakunin_kyoka01_KYOKA_DATE="","",YEAR(cst_wskakunin_kyoka01_KYOKA_DATE)&amp;"年"&amp;MONTH(cst_wskakunin_kyoka01_KYOKA_DATE)&amp;"月"&amp;DAY(cst_wskakunin_kyoka01_KYOKA_DATE)&amp;"日"&amp;" "&amp;cst_wskakunin_kyoka01_BIKOU)</f>
        <v xml:space="preserve">   </v>
      </c>
      <c r="I95" s="1436"/>
      <c r="J95" s="1436"/>
      <c r="K95" s="1436"/>
      <c r="L95" s="1436"/>
      <c r="M95" s="1436"/>
      <c r="N95" s="1436"/>
      <c r="O95" s="1436"/>
      <c r="P95" s="1436"/>
      <c r="Q95" s="1436"/>
      <c r="R95" s="1436"/>
      <c r="S95" s="1436"/>
      <c r="T95" s="1436"/>
      <c r="U95" s="1436"/>
      <c r="V95" s="1436"/>
      <c r="W95" s="1436"/>
      <c r="X95" s="1436"/>
      <c r="Y95" s="1436"/>
      <c r="Z95" s="1436"/>
      <c r="AA95" s="1436"/>
      <c r="AB95" s="1436"/>
      <c r="AC95" s="1436"/>
      <c r="AD95" s="1436"/>
    </row>
    <row r="96" spans="2:30" ht="15" customHeight="1">
      <c r="H96" s="1436" t="str">
        <f>cst_wskakunin_kyoka02_HOUREI&amp;" "&amp;cst_wskakunin_kyoka02_JOUKOU&amp;" "&amp;cst_wskakunin_kyoka02_KYOKA_NO&amp;" "&amp;IF(cst_wskakunin_kyoka02_KYOKA_DATE="","",YEAR(cst_wskakunin_kyoka02_KYOKA_DATE)&amp;"年"&amp;MONTH(cst_wskakunin_kyoka02_KYOKA_DATE)&amp;"月"&amp;DAY(cst_wskakunin_kyoka02_KYOKA_DATE)&amp;"日"&amp;" "&amp;cst_wskakunin_kyoka02_BIKOU)</f>
        <v xml:space="preserve">   </v>
      </c>
      <c r="I96" s="1436"/>
      <c r="J96" s="1436"/>
      <c r="K96" s="1436"/>
      <c r="L96" s="1436"/>
      <c r="M96" s="1436"/>
      <c r="N96" s="1436"/>
      <c r="O96" s="1436"/>
      <c r="P96" s="1436"/>
      <c r="Q96" s="1436"/>
      <c r="R96" s="1436"/>
      <c r="S96" s="1436"/>
      <c r="T96" s="1436"/>
      <c r="U96" s="1436"/>
      <c r="V96" s="1436"/>
      <c r="W96" s="1436"/>
      <c r="X96" s="1436"/>
      <c r="Y96" s="1436"/>
      <c r="Z96" s="1436"/>
      <c r="AA96" s="1436"/>
      <c r="AB96" s="1436"/>
      <c r="AC96" s="1436"/>
      <c r="AD96" s="1436"/>
    </row>
    <row r="97" spans="2:30" ht="15" customHeight="1">
      <c r="H97" s="1436" t="str">
        <f>cst_wskakunin_kyoka03_HOUREI&amp;" "&amp;cst_wskakunin_kyoka03_JOUKOU&amp;" "&amp;cst_wskakunin_kyoka03_KYOKA_NO&amp;" "&amp;IF(cst_wskakunin_kyoka03_KYOKA_DATE="","",YEAR(cst_wskakunin_kyoka03_KYOKA_DATE)&amp;"年"&amp;MONTH(cst_wskakunin_kyoka03_KYOKA_DATE)&amp;"月"&amp;DAY(cst_wskakunin_kyoka03_KYOKA_DATE)&amp;"日"&amp;" "&amp;cst_wskakunin_kyoka03_BIKOU)</f>
        <v xml:space="preserve">   </v>
      </c>
      <c r="I97" s="1436"/>
      <c r="J97" s="1436"/>
      <c r="K97" s="1436"/>
      <c r="L97" s="1436"/>
      <c r="M97" s="1436"/>
      <c r="N97" s="1436"/>
      <c r="O97" s="1436"/>
      <c r="P97" s="1436"/>
      <c r="Q97" s="1436"/>
      <c r="R97" s="1436"/>
      <c r="S97" s="1436"/>
      <c r="T97" s="1436"/>
      <c r="U97" s="1436"/>
      <c r="V97" s="1436"/>
      <c r="W97" s="1436"/>
      <c r="X97" s="1436"/>
      <c r="Y97" s="1436"/>
      <c r="Z97" s="1436"/>
      <c r="AA97" s="1436"/>
      <c r="AB97" s="1436"/>
      <c r="AC97" s="1436"/>
      <c r="AD97" s="1436"/>
    </row>
    <row r="98" spans="2:30" ht="7.5" customHeight="1">
      <c r="B98" s="1224"/>
      <c r="C98" s="1217"/>
      <c r="D98" s="1224"/>
      <c r="E98" s="1224"/>
      <c r="F98" s="1224"/>
      <c r="G98" s="1224"/>
      <c r="H98" s="1224"/>
      <c r="I98" s="1224"/>
      <c r="J98" s="1224"/>
      <c r="K98" s="1224"/>
      <c r="L98" s="1224"/>
      <c r="M98" s="1224"/>
      <c r="N98" s="1224"/>
      <c r="O98" s="1224"/>
      <c r="P98" s="1224"/>
      <c r="Q98" s="1224"/>
      <c r="R98" s="1224"/>
      <c r="S98" s="1224"/>
      <c r="T98" s="1224"/>
      <c r="U98" s="1224"/>
      <c r="V98" s="1224"/>
      <c r="W98" s="1224"/>
      <c r="X98" s="1224"/>
      <c r="Y98" s="1224"/>
      <c r="Z98" s="1224"/>
      <c r="AA98" s="1224"/>
      <c r="AB98" s="1224"/>
      <c r="AC98" s="1224"/>
      <c r="AD98" s="1224"/>
    </row>
    <row r="99" spans="2:30" ht="7.5" customHeight="1">
      <c r="B99" s="1233"/>
      <c r="C99" s="1234"/>
      <c r="D99" s="1233"/>
      <c r="E99" s="1233"/>
      <c r="F99" s="1233"/>
      <c r="G99" s="1233"/>
      <c r="H99" s="1233"/>
      <c r="I99" s="1233"/>
      <c r="J99" s="1233"/>
      <c r="K99" s="1233"/>
      <c r="L99" s="1233"/>
      <c r="M99" s="1233"/>
      <c r="N99" s="1233"/>
      <c r="O99" s="1233"/>
      <c r="P99" s="1233"/>
      <c r="Q99" s="1233"/>
      <c r="R99" s="1233"/>
      <c r="S99" s="1233"/>
      <c r="T99" s="1233"/>
      <c r="U99" s="1233"/>
      <c r="V99" s="1233"/>
      <c r="W99" s="1233"/>
      <c r="X99" s="1233"/>
      <c r="Y99" s="1233"/>
      <c r="Z99" s="1233"/>
      <c r="AA99" s="1233"/>
      <c r="AB99" s="1233"/>
      <c r="AC99" s="1233"/>
      <c r="AD99" s="1233"/>
    </row>
    <row r="100" spans="2:30" ht="15" customHeight="1">
      <c r="C100" s="1220" t="s">
        <v>3896</v>
      </c>
      <c r="J100" s="1438" t="str">
        <f>cst_wskakunin_KOUJI_TYAKUSYU_YOTEI_DATE</f>
        <v/>
      </c>
      <c r="K100" s="1438"/>
      <c r="L100" s="1438"/>
      <c r="M100" s="1438"/>
      <c r="N100" s="1438"/>
      <c r="O100" s="1438"/>
      <c r="P100" s="1438"/>
      <c r="Q100" s="1438"/>
    </row>
    <row r="101" spans="2:30" ht="7.5" customHeight="1">
      <c r="B101" s="1224"/>
      <c r="C101" s="1217"/>
      <c r="D101" s="1224"/>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row>
    <row r="102" spans="2:30" ht="7.5" customHeight="1">
      <c r="B102" s="1233"/>
      <c r="C102" s="1234"/>
      <c r="D102" s="1233"/>
      <c r="E102" s="1233"/>
      <c r="F102" s="1233"/>
      <c r="G102" s="1233"/>
      <c r="H102" s="1233"/>
      <c r="I102" s="1233"/>
      <c r="J102" s="1233"/>
      <c r="K102" s="1233"/>
      <c r="L102" s="1233"/>
      <c r="M102" s="1233"/>
      <c r="N102" s="1233"/>
      <c r="O102" s="1233"/>
      <c r="P102" s="1233"/>
      <c r="Q102" s="1233"/>
      <c r="R102" s="1233"/>
      <c r="S102" s="1233"/>
      <c r="T102" s="1233"/>
      <c r="U102" s="1233"/>
      <c r="V102" s="1233"/>
      <c r="W102" s="1233"/>
      <c r="X102" s="1233"/>
      <c r="Y102" s="1233"/>
      <c r="Z102" s="1233"/>
      <c r="AA102" s="1233"/>
      <c r="AB102" s="1233"/>
      <c r="AC102" s="1233"/>
      <c r="AD102" s="1233"/>
    </row>
    <row r="103" spans="2:30" ht="15" customHeight="1">
      <c r="C103" s="1220" t="s">
        <v>3897</v>
      </c>
      <c r="J103" s="1438" t="str">
        <f>cst_wskakunin_KOUJI_KANRYOU_YOTEI_DATE</f>
        <v/>
      </c>
      <c r="K103" s="1438"/>
      <c r="L103" s="1438"/>
      <c r="M103" s="1438"/>
      <c r="N103" s="1438"/>
      <c r="O103" s="1438"/>
      <c r="P103" s="1438"/>
      <c r="Q103" s="1438"/>
    </row>
    <row r="104" spans="2:30" ht="7.5" customHeight="1">
      <c r="B104" s="1224"/>
      <c r="C104" s="1217"/>
      <c r="D104" s="1224"/>
      <c r="E104" s="1224"/>
      <c r="F104" s="1224"/>
      <c r="G104" s="1224"/>
      <c r="H104" s="1224"/>
      <c r="I104" s="1224"/>
      <c r="J104" s="1224"/>
      <c r="K104" s="1224"/>
      <c r="L104" s="1224"/>
      <c r="M104" s="1224"/>
      <c r="N104" s="1224"/>
      <c r="O104" s="1224"/>
      <c r="P104" s="1224"/>
      <c r="Q104" s="1224"/>
      <c r="R104" s="1224"/>
      <c r="S104" s="1224"/>
      <c r="T104" s="1224"/>
      <c r="U104" s="1224"/>
      <c r="V104" s="1224"/>
      <c r="W104" s="1224"/>
      <c r="X104" s="1224"/>
      <c r="Y104" s="1224"/>
      <c r="Z104" s="1224"/>
      <c r="AA104" s="1224"/>
      <c r="AB104" s="1224"/>
      <c r="AC104" s="1224"/>
      <c r="AD104" s="1224"/>
    </row>
    <row r="105" spans="2:30" ht="7.5" customHeight="1">
      <c r="B105" s="1233"/>
      <c r="C105" s="1234"/>
      <c r="D105" s="1233"/>
      <c r="E105" s="1233"/>
      <c r="F105" s="1233"/>
      <c r="G105" s="1233"/>
      <c r="H105" s="1233"/>
      <c r="I105" s="1233"/>
      <c r="J105" s="1233"/>
      <c r="K105" s="1233"/>
      <c r="L105" s="1233"/>
      <c r="M105" s="1233"/>
      <c r="N105" s="1233"/>
      <c r="O105" s="1233"/>
      <c r="P105" s="1233"/>
      <c r="Q105" s="1233"/>
      <c r="R105" s="1233"/>
      <c r="S105" s="1233"/>
      <c r="T105" s="1233"/>
      <c r="U105" s="1233"/>
      <c r="V105" s="1233"/>
      <c r="W105" s="1233"/>
      <c r="X105" s="1233"/>
      <c r="Y105" s="1233"/>
      <c r="Z105" s="1233"/>
      <c r="AA105" s="1233"/>
      <c r="AB105" s="1233"/>
      <c r="AC105" s="1233"/>
      <c r="AD105" s="1233"/>
    </row>
    <row r="106" spans="2:30" ht="15" customHeight="1">
      <c r="C106" s="1220" t="s">
        <v>4082</v>
      </c>
      <c r="P106" s="1241" t="s">
        <v>2</v>
      </c>
      <c r="Q106" s="1440" t="s">
        <v>632</v>
      </c>
      <c r="R106" s="1440"/>
      <c r="S106" s="1440"/>
      <c r="T106" s="1440"/>
      <c r="U106" s="1440"/>
      <c r="V106" s="1440"/>
      <c r="W106" s="1440"/>
      <c r="X106" s="1440"/>
      <c r="Y106" s="1440"/>
      <c r="Z106" s="1440"/>
      <c r="AA106" s="1440"/>
      <c r="AB106" s="1440"/>
      <c r="AC106" s="1219" t="s">
        <v>3</v>
      </c>
    </row>
    <row r="107" spans="2:30" ht="15" customHeight="1">
      <c r="E107" s="1241" t="s">
        <v>3899</v>
      </c>
      <c r="F107" s="1248" t="str">
        <f>cst_wskakunin_koutei01_KOUTEI_KAISUU</f>
        <v/>
      </c>
      <c r="G107" s="1219" t="s">
        <v>3900</v>
      </c>
      <c r="J107" s="1438" t="str">
        <f>cst_wskakunin_koutei01_KOUTEI_DATE</f>
        <v/>
      </c>
      <c r="K107" s="1438"/>
      <c r="L107" s="1438"/>
      <c r="M107" s="1438"/>
      <c r="N107" s="1438"/>
      <c r="P107" s="1241" t="s">
        <v>2</v>
      </c>
      <c r="Q107" s="1430" t="str">
        <f>cst_wskakunin_koutei01_KOUTEI_TEXT</f>
        <v/>
      </c>
      <c r="R107" s="1430"/>
      <c r="S107" s="1430"/>
      <c r="T107" s="1430"/>
      <c r="U107" s="1430"/>
      <c r="V107" s="1430"/>
      <c r="W107" s="1430"/>
      <c r="X107" s="1430"/>
      <c r="Y107" s="1430"/>
      <c r="Z107" s="1430"/>
      <c r="AA107" s="1430"/>
      <c r="AB107" s="1430"/>
      <c r="AC107" s="1219" t="s">
        <v>3</v>
      </c>
    </row>
    <row r="108" spans="2:30" ht="15" customHeight="1">
      <c r="E108" s="1241" t="s">
        <v>3899</v>
      </c>
      <c r="F108" s="1248" t="str">
        <f>cst_wskakunin_koutei02_KOUTEI_KAISUU</f>
        <v/>
      </c>
      <c r="G108" s="1219" t="s">
        <v>3900</v>
      </c>
      <c r="J108" s="1438" t="str">
        <f>cst_wskakunin_koutei02_KOUTEI_DATE</f>
        <v/>
      </c>
      <c r="K108" s="1438"/>
      <c r="L108" s="1438"/>
      <c r="M108" s="1438"/>
      <c r="N108" s="1438"/>
      <c r="P108" s="1241" t="s">
        <v>2</v>
      </c>
      <c r="Q108" s="1430" t="str">
        <f>cst_wskakunin_koutei02_KOUTEI_TEXT</f>
        <v/>
      </c>
      <c r="R108" s="1430"/>
      <c r="S108" s="1430"/>
      <c r="T108" s="1430"/>
      <c r="U108" s="1430"/>
      <c r="V108" s="1430"/>
      <c r="W108" s="1430"/>
      <c r="X108" s="1430"/>
      <c r="Y108" s="1430"/>
      <c r="Z108" s="1430"/>
      <c r="AA108" s="1430"/>
      <c r="AB108" s="1430"/>
      <c r="AC108" s="1219" t="s">
        <v>3</v>
      </c>
    </row>
    <row r="109" spans="2:30" ht="15" customHeight="1">
      <c r="E109" s="1241" t="s">
        <v>3899</v>
      </c>
      <c r="F109" s="1248" t="str">
        <f>cst_wskakunin_koutei03_KOUTEI_KAISUU</f>
        <v/>
      </c>
      <c r="G109" s="1219" t="s">
        <v>3900</v>
      </c>
      <c r="J109" s="1438" t="str">
        <f>cst_wskakunin_koutei03_KOUTEI_DATE</f>
        <v/>
      </c>
      <c r="K109" s="1438"/>
      <c r="L109" s="1438"/>
      <c r="M109" s="1438"/>
      <c r="N109" s="1438"/>
      <c r="P109" s="1241" t="s">
        <v>2</v>
      </c>
      <c r="Q109" s="1430" t="str">
        <f>cst_wskakunin_koutei03_KOUTEI_TEXT</f>
        <v/>
      </c>
      <c r="R109" s="1430"/>
      <c r="S109" s="1430"/>
      <c r="T109" s="1430"/>
      <c r="U109" s="1430"/>
      <c r="V109" s="1430"/>
      <c r="W109" s="1430"/>
      <c r="X109" s="1430"/>
      <c r="Y109" s="1430"/>
      <c r="Z109" s="1430"/>
      <c r="AA109" s="1430"/>
      <c r="AB109" s="1430"/>
      <c r="AC109" s="1219" t="s">
        <v>3</v>
      </c>
    </row>
    <row r="110" spans="2:30" ht="7.5" customHeight="1">
      <c r="B110" s="1224"/>
      <c r="C110" s="1217"/>
      <c r="D110" s="1224"/>
      <c r="E110" s="1224"/>
      <c r="F110" s="1224"/>
      <c r="G110" s="1224"/>
      <c r="H110" s="1224"/>
      <c r="I110" s="1224"/>
      <c r="J110" s="1224"/>
      <c r="K110" s="1224"/>
      <c r="L110" s="1224"/>
      <c r="M110" s="1224"/>
      <c r="N110" s="1224"/>
      <c r="O110" s="1224"/>
      <c r="P110" s="1224"/>
      <c r="Q110" s="1224"/>
      <c r="R110" s="1224"/>
      <c r="S110" s="1224"/>
      <c r="T110" s="1224"/>
      <c r="U110" s="1224"/>
      <c r="V110" s="1224"/>
      <c r="W110" s="1224"/>
      <c r="X110" s="1224"/>
      <c r="Y110" s="1224"/>
      <c r="Z110" s="1224"/>
      <c r="AA110" s="1224"/>
      <c r="AB110" s="1224"/>
      <c r="AC110" s="1224"/>
      <c r="AD110" s="1224"/>
    </row>
    <row r="111" spans="2:30" ht="7.5" customHeight="1">
      <c r="C111" s="1215"/>
    </row>
    <row r="112" spans="2:30" ht="15" customHeight="1">
      <c r="C112" s="1237" t="s">
        <v>4083</v>
      </c>
      <c r="V112" s="1249" t="str">
        <f>cst_wskakunin_KITEI_CHOUSA_FLAG_box_on</f>
        <v>□</v>
      </c>
      <c r="W112" s="1241" t="s">
        <v>4084</v>
      </c>
      <c r="Y112" s="1235" t="str">
        <f>cst_wskakunin_KITEI_CHOUSA_FLAG_box_off</f>
        <v>□</v>
      </c>
      <c r="Z112" s="1219" t="s">
        <v>4085</v>
      </c>
    </row>
    <row r="113" spans="2:30" ht="7.5" customHeight="1">
      <c r="B113" s="1224"/>
      <c r="C113" s="1217"/>
      <c r="D113" s="1224"/>
      <c r="E113" s="1224"/>
      <c r="F113" s="1224"/>
      <c r="G113" s="1224"/>
      <c r="H113" s="1224"/>
      <c r="I113" s="1224"/>
      <c r="J113" s="1224"/>
      <c r="K113" s="1224"/>
      <c r="L113" s="1224"/>
      <c r="M113" s="1224"/>
      <c r="N113" s="1224"/>
      <c r="O113" s="1224"/>
      <c r="P113" s="1224"/>
      <c r="Q113" s="1224"/>
      <c r="R113" s="1224"/>
      <c r="S113" s="1224"/>
      <c r="T113" s="1224"/>
      <c r="U113" s="1224"/>
      <c r="V113" s="1224"/>
      <c r="W113" s="1224"/>
      <c r="X113" s="1224"/>
      <c r="Y113" s="1224"/>
      <c r="Z113" s="1224"/>
      <c r="AA113" s="1224"/>
      <c r="AB113" s="1224"/>
      <c r="AC113" s="1224"/>
      <c r="AD113" s="1224"/>
    </row>
    <row r="114" spans="2:30" ht="7.5" customHeight="1">
      <c r="C114" s="1215"/>
    </row>
    <row r="115" spans="2:30" ht="15" customHeight="1">
      <c r="C115" s="1237" t="s">
        <v>4086</v>
      </c>
      <c r="V115" s="1249" t="str">
        <f>cst_wskakunin_BOUKA_SETUBI_FLAG_box_on</f>
        <v>□</v>
      </c>
      <c r="W115" s="1241" t="s">
        <v>3889</v>
      </c>
      <c r="Y115" s="1235" t="str">
        <f>cst_wskakunin_BOUKA_SETUBI_FLAG_box_off</f>
        <v>□</v>
      </c>
      <c r="Z115" s="1219" t="s">
        <v>3890</v>
      </c>
    </row>
    <row r="116" spans="2:30" ht="7.5" customHeight="1">
      <c r="C116" s="1215"/>
    </row>
    <row r="117" spans="2:30" ht="7.5" customHeight="1">
      <c r="B117" s="1233"/>
      <c r="C117" s="1234"/>
      <c r="D117" s="1233"/>
      <c r="E117" s="1233"/>
      <c r="F117" s="1233"/>
      <c r="G117" s="1233"/>
      <c r="H117" s="1233"/>
      <c r="I117" s="1233"/>
      <c r="J117" s="1233"/>
      <c r="K117" s="1233"/>
      <c r="L117" s="1233"/>
      <c r="M117" s="1233"/>
      <c r="N117" s="1233"/>
      <c r="O117" s="1233"/>
      <c r="P117" s="1233"/>
      <c r="Q117" s="1233"/>
      <c r="R117" s="1233"/>
      <c r="S117" s="1233"/>
      <c r="T117" s="1233"/>
      <c r="U117" s="1233"/>
      <c r="V117" s="1233"/>
      <c r="W117" s="1233"/>
      <c r="X117" s="1233"/>
      <c r="Y117" s="1233"/>
      <c r="Z117" s="1233"/>
      <c r="AA117" s="1233"/>
      <c r="AB117" s="1233"/>
      <c r="AC117" s="1233"/>
      <c r="AD117" s="1233"/>
    </row>
    <row r="118" spans="2:30" ht="15" customHeight="1">
      <c r="C118" s="1237" t="s">
        <v>4087</v>
      </c>
      <c r="I118" s="1436" t="str">
        <f>cst_wskakunin_P3_SONOTA</f>
        <v/>
      </c>
      <c r="J118" s="1436"/>
      <c r="K118" s="1436"/>
      <c r="L118" s="1436"/>
      <c r="M118" s="1436"/>
      <c r="N118" s="1436"/>
      <c r="O118" s="1436"/>
      <c r="P118" s="1436"/>
      <c r="Q118" s="1436"/>
      <c r="R118" s="1436"/>
      <c r="S118" s="1436"/>
      <c r="T118" s="1436"/>
      <c r="U118" s="1436"/>
      <c r="V118" s="1436"/>
      <c r="W118" s="1436"/>
      <c r="X118" s="1436"/>
      <c r="Y118" s="1436"/>
      <c r="Z118" s="1436"/>
      <c r="AA118" s="1436"/>
      <c r="AB118" s="1436"/>
      <c r="AC118" s="1436"/>
      <c r="AD118" s="1436"/>
    </row>
    <row r="119" spans="2:30" ht="15" customHeight="1">
      <c r="I119" s="1436"/>
      <c r="J119" s="1436"/>
      <c r="K119" s="1436"/>
      <c r="L119" s="1436"/>
      <c r="M119" s="1436"/>
      <c r="N119" s="1436"/>
      <c r="O119" s="1436"/>
      <c r="P119" s="1436"/>
      <c r="Q119" s="1436"/>
      <c r="R119" s="1436"/>
      <c r="S119" s="1436"/>
      <c r="T119" s="1436"/>
      <c r="U119" s="1436"/>
      <c r="V119" s="1436"/>
      <c r="W119" s="1436"/>
      <c r="X119" s="1436"/>
      <c r="Y119" s="1436"/>
      <c r="Z119" s="1436"/>
      <c r="AA119" s="1436"/>
      <c r="AB119" s="1436"/>
      <c r="AC119" s="1436"/>
      <c r="AD119" s="1436"/>
    </row>
    <row r="120" spans="2:30" ht="15" customHeight="1">
      <c r="B120" s="1224"/>
      <c r="C120" s="1224"/>
      <c r="D120" s="1224"/>
      <c r="E120" s="1224"/>
      <c r="F120" s="1224"/>
      <c r="G120" s="1224"/>
      <c r="H120" s="1224"/>
      <c r="I120" s="1439"/>
      <c r="J120" s="1439"/>
      <c r="K120" s="1439"/>
      <c r="L120" s="1439"/>
      <c r="M120" s="1439"/>
      <c r="N120" s="1439"/>
      <c r="O120" s="1439"/>
      <c r="P120" s="1439"/>
      <c r="Q120" s="1439"/>
      <c r="R120" s="1439"/>
      <c r="S120" s="1439"/>
      <c r="T120" s="1439"/>
      <c r="U120" s="1439"/>
      <c r="V120" s="1439"/>
      <c r="W120" s="1439"/>
      <c r="X120" s="1439"/>
      <c r="Y120" s="1439"/>
      <c r="Z120" s="1439"/>
      <c r="AA120" s="1439"/>
      <c r="AB120" s="1439"/>
      <c r="AC120" s="1439"/>
      <c r="AD120" s="1439"/>
    </row>
  </sheetData>
  <mergeCells count="118">
    <mergeCell ref="C1:AD1"/>
    <mergeCell ref="G5:AD5"/>
    <mergeCell ref="G8:AD8"/>
    <mergeCell ref="M19:AD19"/>
    <mergeCell ref="M23:O23"/>
    <mergeCell ref="M24:O24"/>
    <mergeCell ref="I30:L30"/>
    <mergeCell ref="N30:Q30"/>
    <mergeCell ref="S30:V30"/>
    <mergeCell ref="X30:AA30"/>
    <mergeCell ref="I32:K32"/>
    <mergeCell ref="N32:P32"/>
    <mergeCell ref="S32:U32"/>
    <mergeCell ref="X32:Z32"/>
    <mergeCell ref="I28:K28"/>
    <mergeCell ref="N28:P28"/>
    <mergeCell ref="S28:U28"/>
    <mergeCell ref="X28:Z28"/>
    <mergeCell ref="I29:K29"/>
    <mergeCell ref="N29:P29"/>
    <mergeCell ref="S29:U29"/>
    <mergeCell ref="X29:Z29"/>
    <mergeCell ref="S37:U37"/>
    <mergeCell ref="V37:W37"/>
    <mergeCell ref="S38:U38"/>
    <mergeCell ref="V38:W38"/>
    <mergeCell ref="H39:AD40"/>
    <mergeCell ref="F43:G43"/>
    <mergeCell ref="H43:K43"/>
    <mergeCell ref="M43:AD43"/>
    <mergeCell ref="I34:K34"/>
    <mergeCell ref="N34:P34"/>
    <mergeCell ref="S34:U34"/>
    <mergeCell ref="X34:Z34"/>
    <mergeCell ref="J35:L35"/>
    <mergeCell ref="J36:L36"/>
    <mergeCell ref="M53:O53"/>
    <mergeCell ref="S53:V53"/>
    <mergeCell ref="Z53:AB53"/>
    <mergeCell ref="M54:O54"/>
    <mergeCell ref="M57:P57"/>
    <mergeCell ref="S57:W57"/>
    <mergeCell ref="Z57:AC57"/>
    <mergeCell ref="M50:P50"/>
    <mergeCell ref="S50:W50"/>
    <mergeCell ref="Z50:AC50"/>
    <mergeCell ref="M51:O51"/>
    <mergeCell ref="S51:V51"/>
    <mergeCell ref="Z51:AB51"/>
    <mergeCell ref="M62:O62"/>
    <mergeCell ref="S62:V62"/>
    <mergeCell ref="Z62:AB62"/>
    <mergeCell ref="M64:O64"/>
    <mergeCell ref="S64:V64"/>
    <mergeCell ref="Z64:AB64"/>
    <mergeCell ref="M58:O58"/>
    <mergeCell ref="S58:V58"/>
    <mergeCell ref="Z58:AB58"/>
    <mergeCell ref="M60:O60"/>
    <mergeCell ref="S60:V60"/>
    <mergeCell ref="Z60:AB60"/>
    <mergeCell ref="M67:O67"/>
    <mergeCell ref="S67:V67"/>
    <mergeCell ref="Z67:AB67"/>
    <mergeCell ref="M68:O68"/>
    <mergeCell ref="S68:V68"/>
    <mergeCell ref="Z68:AB68"/>
    <mergeCell ref="M65:O65"/>
    <mergeCell ref="S65:V65"/>
    <mergeCell ref="Z65:AB65"/>
    <mergeCell ref="M66:O66"/>
    <mergeCell ref="S66:V66"/>
    <mergeCell ref="Z66:AB66"/>
    <mergeCell ref="M72:O72"/>
    <mergeCell ref="S72:V72"/>
    <mergeCell ref="Z72:AB72"/>
    <mergeCell ref="M73:O73"/>
    <mergeCell ref="S73:V73"/>
    <mergeCell ref="Z73:AB73"/>
    <mergeCell ref="M70:O70"/>
    <mergeCell ref="S70:V70"/>
    <mergeCell ref="Z70:AB70"/>
    <mergeCell ref="M71:O71"/>
    <mergeCell ref="S71:V71"/>
    <mergeCell ref="Z71:AB71"/>
    <mergeCell ref="M76:O76"/>
    <mergeCell ref="M77:O77"/>
    <mergeCell ref="M81:N81"/>
    <mergeCell ref="M82:N82"/>
    <mergeCell ref="J85:N85"/>
    <mergeCell ref="R85:V85"/>
    <mergeCell ref="M74:O74"/>
    <mergeCell ref="S74:V74"/>
    <mergeCell ref="Z74:AB74"/>
    <mergeCell ref="M75:O75"/>
    <mergeCell ref="S75:V75"/>
    <mergeCell ref="Z75:AB75"/>
    <mergeCell ref="J89:M89"/>
    <mergeCell ref="R89:V89"/>
    <mergeCell ref="H95:AD95"/>
    <mergeCell ref="H96:AD96"/>
    <mergeCell ref="H97:AD97"/>
    <mergeCell ref="J100:Q100"/>
    <mergeCell ref="J86:M86"/>
    <mergeCell ref="R86:U86"/>
    <mergeCell ref="J87:M87"/>
    <mergeCell ref="R87:U87"/>
    <mergeCell ref="J88:M88"/>
    <mergeCell ref="R88:U88"/>
    <mergeCell ref="J109:N109"/>
    <mergeCell ref="Q109:AB109"/>
    <mergeCell ref="I118:AD120"/>
    <mergeCell ref="J103:Q103"/>
    <mergeCell ref="Q106:AB106"/>
    <mergeCell ref="J107:N107"/>
    <mergeCell ref="Q107:AB107"/>
    <mergeCell ref="J108:N108"/>
    <mergeCell ref="Q108:AB108"/>
  </mergeCells>
  <phoneticPr fontId="122"/>
  <printOptions horizontalCentered="1"/>
  <pageMargins left="0.59055118110236227" right="0.59055118110236227" top="0.39370078740157483" bottom="0.39370078740157483" header="0" footer="0.19685039370078741"/>
  <pageSetup paperSize="9" scale="94" fitToHeight="3" orientation="portrait" blackAndWhite="1" r:id="rId1"/>
  <rowBreaks count="1" manualBreakCount="1">
    <brk id="5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D131"/>
  <sheetViews>
    <sheetView workbookViewId="0"/>
  </sheetViews>
  <sheetFormatPr defaultColWidth="0.77734375" defaultRowHeight="9.6"/>
  <cols>
    <col min="1" max="1" width="0.77734375" style="1258" customWidth="1"/>
    <col min="2" max="2" width="0.77734375" style="1253" customWidth="1"/>
    <col min="3" max="16384" width="0.77734375" style="1253"/>
  </cols>
  <sheetData>
    <row r="1" spans="1:108" ht="10.5" customHeight="1">
      <c r="A1" s="1250"/>
      <c r="B1" s="1251"/>
      <c r="C1" s="1251"/>
      <c r="D1" s="1251"/>
      <c r="E1" s="1251"/>
      <c r="F1" s="1251"/>
      <c r="G1" s="1252"/>
      <c r="H1" s="1252"/>
      <c r="I1" s="1252"/>
      <c r="J1" s="1252"/>
      <c r="K1" s="1252"/>
      <c r="L1" s="1252"/>
      <c r="M1" s="1252"/>
      <c r="N1" s="1252"/>
      <c r="O1" s="1252"/>
      <c r="P1" s="1252"/>
      <c r="Q1" s="1252"/>
      <c r="R1" s="1252"/>
      <c r="S1" s="1252"/>
      <c r="T1" s="1252"/>
      <c r="U1" s="1252"/>
      <c r="V1" s="1252"/>
      <c r="W1" s="1252"/>
      <c r="X1" s="1252"/>
      <c r="Y1" s="1252"/>
      <c r="Z1" s="1252"/>
      <c r="AA1" s="1252"/>
      <c r="AB1" s="1252"/>
      <c r="AC1" s="1252"/>
      <c r="AD1" s="1252"/>
      <c r="AE1" s="1252"/>
      <c r="AF1" s="1252"/>
      <c r="AG1" s="1252"/>
      <c r="AH1" s="1252"/>
      <c r="AI1" s="1252"/>
      <c r="AJ1" s="1252"/>
      <c r="AK1" s="1252"/>
      <c r="AL1" s="1252"/>
      <c r="AM1" s="1252"/>
      <c r="AN1" s="1252"/>
      <c r="AO1" s="1252"/>
      <c r="AP1" s="1252"/>
      <c r="AQ1" s="1252"/>
      <c r="AR1" s="1252"/>
      <c r="AS1" s="1252"/>
      <c r="AT1" s="1252"/>
      <c r="AU1" s="1252"/>
      <c r="AV1" s="1252"/>
      <c r="AW1" s="1252"/>
      <c r="AX1" s="1252"/>
      <c r="AY1" s="1252"/>
      <c r="AZ1" s="1252"/>
      <c r="BA1" s="1252"/>
      <c r="BB1" s="1252"/>
      <c r="BC1" s="1252"/>
      <c r="BD1" s="1252"/>
      <c r="BE1" s="1252"/>
      <c r="BF1" s="1252"/>
      <c r="BG1" s="1252"/>
      <c r="BH1" s="1252"/>
      <c r="BI1" s="1252"/>
      <c r="BJ1" s="1252"/>
      <c r="BK1" s="1252"/>
      <c r="BL1" s="1252"/>
      <c r="BM1" s="1252"/>
      <c r="BN1" s="1252"/>
      <c r="BO1" s="1252"/>
      <c r="BP1" s="1252"/>
      <c r="BQ1" s="1252"/>
      <c r="BR1" s="1252"/>
      <c r="BS1" s="1252"/>
      <c r="BT1" s="1252"/>
      <c r="BU1" s="1252"/>
      <c r="BV1" s="1252"/>
      <c r="BW1" s="1252"/>
      <c r="BX1" s="1252"/>
      <c r="BY1" s="1252"/>
      <c r="BZ1" s="1252"/>
      <c r="CA1" s="1252"/>
      <c r="CB1" s="1252"/>
      <c r="CC1" s="1252"/>
      <c r="CD1" s="1252"/>
      <c r="CE1" s="1252"/>
      <c r="CF1" s="1252"/>
      <c r="CG1" s="1252"/>
      <c r="CH1" s="1252"/>
      <c r="CI1" s="1252"/>
      <c r="CJ1" s="1252"/>
      <c r="CK1" s="1252"/>
      <c r="CL1" s="1252"/>
      <c r="CM1" s="1252"/>
      <c r="CN1" s="1252"/>
      <c r="CO1" s="1252"/>
      <c r="CP1" s="1252"/>
      <c r="CQ1" s="1252"/>
      <c r="CR1" s="1252"/>
      <c r="CS1" s="1252"/>
      <c r="CT1" s="1252"/>
      <c r="CU1" s="1252"/>
      <c r="CV1" s="1252"/>
      <c r="CW1" s="1252"/>
      <c r="CX1" s="1252"/>
      <c r="CY1" s="1252"/>
      <c r="CZ1" s="1252"/>
      <c r="DA1" s="1252"/>
      <c r="DB1" s="1252"/>
      <c r="DC1" s="1252"/>
      <c r="DD1" s="1252"/>
    </row>
    <row r="2" spans="1:108" ht="13.5" customHeight="1">
      <c r="A2" s="1453" t="s">
        <v>4088</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H2" s="1453"/>
      <c r="AI2" s="1453"/>
      <c r="AJ2" s="1453"/>
      <c r="AK2" s="1453"/>
      <c r="AL2" s="1453"/>
      <c r="AM2" s="1453"/>
      <c r="AN2" s="1453"/>
      <c r="AO2" s="1453"/>
      <c r="AP2" s="1453"/>
      <c r="AQ2" s="1453"/>
      <c r="AR2" s="1453"/>
      <c r="AS2" s="1453"/>
      <c r="AT2" s="1453"/>
      <c r="AU2" s="1453"/>
      <c r="AV2" s="1453"/>
      <c r="AW2" s="1453"/>
      <c r="AX2" s="1453"/>
      <c r="AY2" s="1453"/>
      <c r="AZ2" s="1453"/>
      <c r="BA2" s="1453"/>
      <c r="BB2" s="1453"/>
      <c r="BC2" s="1453"/>
      <c r="BD2" s="1453"/>
      <c r="BE2" s="1453"/>
      <c r="BF2" s="1453"/>
      <c r="BG2" s="1453"/>
      <c r="BH2" s="1453"/>
      <c r="BI2" s="1453"/>
      <c r="BJ2" s="1453"/>
      <c r="BK2" s="1453"/>
      <c r="BL2" s="1453"/>
      <c r="BM2" s="1453"/>
      <c r="BN2" s="1453"/>
      <c r="BO2" s="1453"/>
      <c r="BP2" s="1453"/>
      <c r="BQ2" s="1453"/>
      <c r="BR2" s="1453"/>
      <c r="BS2" s="1453"/>
      <c r="BT2" s="1453"/>
      <c r="BU2" s="1453"/>
      <c r="BV2" s="1453"/>
      <c r="BW2" s="1453"/>
      <c r="BX2" s="1453"/>
      <c r="BY2" s="1453"/>
      <c r="BZ2" s="1453"/>
      <c r="CA2" s="1453"/>
      <c r="CB2" s="1453"/>
      <c r="CC2" s="1453"/>
      <c r="CD2" s="1453"/>
      <c r="CE2" s="1453"/>
      <c r="CF2" s="1453"/>
      <c r="CG2" s="1453"/>
      <c r="CH2" s="1453"/>
      <c r="CI2" s="1453"/>
      <c r="CJ2" s="1453"/>
      <c r="CK2" s="1453"/>
      <c r="CL2" s="1453"/>
      <c r="CM2" s="1453"/>
      <c r="CN2" s="1453"/>
      <c r="CO2" s="1453"/>
      <c r="CP2" s="1453"/>
      <c r="CQ2" s="1453"/>
      <c r="CR2" s="1453"/>
      <c r="CS2" s="1453"/>
      <c r="CT2" s="1453"/>
      <c r="CU2" s="1453"/>
      <c r="CV2" s="1453"/>
      <c r="CW2" s="1453"/>
      <c r="CX2" s="1453"/>
      <c r="CY2" s="1453"/>
      <c r="CZ2" s="1453"/>
      <c r="DA2" s="1453"/>
      <c r="DB2" s="1453"/>
      <c r="DC2" s="1453"/>
      <c r="DD2" s="1453"/>
    </row>
    <row r="3" spans="1:108" ht="13.5" customHeight="1">
      <c r="A3" s="1254"/>
      <c r="B3" s="1255"/>
      <c r="C3" s="1255"/>
      <c r="D3" s="1255"/>
      <c r="E3" s="1255"/>
      <c r="F3" s="1255"/>
      <c r="G3" s="1255"/>
      <c r="H3" s="1255"/>
      <c r="I3" s="1255"/>
      <c r="J3" s="1255"/>
      <c r="K3" s="1255"/>
      <c r="L3" s="1255"/>
      <c r="M3" s="1255"/>
      <c r="N3" s="1255"/>
      <c r="O3" s="1255"/>
      <c r="P3" s="1255"/>
      <c r="Q3" s="1255"/>
      <c r="R3" s="1255"/>
      <c r="S3" s="1255"/>
      <c r="T3" s="1255"/>
      <c r="U3" s="1255"/>
      <c r="V3" s="1255"/>
      <c r="W3" s="1255"/>
      <c r="X3" s="1255"/>
      <c r="Y3" s="1255"/>
      <c r="Z3" s="1255"/>
      <c r="AA3" s="1255"/>
      <c r="AB3" s="1255"/>
      <c r="AC3" s="1255"/>
      <c r="AD3" s="1255"/>
      <c r="AE3" s="1255"/>
      <c r="AF3" s="1255"/>
      <c r="AG3" s="1255"/>
      <c r="AH3" s="1255"/>
      <c r="AI3" s="1255"/>
      <c r="AJ3" s="1255"/>
      <c r="AK3" s="1255"/>
      <c r="AL3" s="1255"/>
      <c r="AM3" s="1255"/>
      <c r="AN3" s="1255"/>
      <c r="AO3" s="1255"/>
      <c r="AP3" s="1255"/>
      <c r="AQ3" s="1255"/>
      <c r="AR3" s="1255"/>
      <c r="AS3" s="1255"/>
      <c r="AT3" s="1255"/>
      <c r="AU3" s="1255"/>
      <c r="AV3" s="1255"/>
      <c r="AW3" s="1255"/>
      <c r="AX3" s="1255"/>
      <c r="AY3" s="1255"/>
      <c r="AZ3" s="1255"/>
      <c r="BA3" s="1255"/>
      <c r="BB3" s="1255"/>
      <c r="BC3" s="1255"/>
      <c r="BD3" s="1255"/>
      <c r="BE3" s="1255"/>
      <c r="BF3" s="1255"/>
      <c r="BG3" s="1255"/>
      <c r="BH3" s="1255"/>
      <c r="BI3" s="1255"/>
      <c r="BJ3" s="1255"/>
      <c r="BK3" s="1255"/>
      <c r="BL3" s="1255"/>
      <c r="BM3" s="1255"/>
      <c r="BN3" s="1255"/>
      <c r="BO3" s="1255"/>
      <c r="BP3" s="1255"/>
      <c r="BQ3" s="1255"/>
      <c r="BR3" s="1255"/>
      <c r="BS3" s="1255"/>
      <c r="BT3" s="1255"/>
      <c r="BU3" s="1255"/>
      <c r="BV3" s="1255"/>
      <c r="BW3" s="1255"/>
      <c r="BX3" s="1255"/>
      <c r="BY3" s="1255"/>
      <c r="BZ3" s="1255"/>
      <c r="CA3" s="1255"/>
      <c r="CB3" s="1255"/>
      <c r="CC3" s="1255"/>
      <c r="CD3" s="1255"/>
      <c r="CE3" s="1255"/>
      <c r="CF3" s="1255"/>
      <c r="CG3" s="1255"/>
      <c r="CH3" s="1255"/>
      <c r="CI3" s="1255"/>
      <c r="CJ3" s="1255"/>
      <c r="CK3" s="1255"/>
      <c r="CL3" s="1255"/>
      <c r="CM3" s="1255"/>
      <c r="CN3" s="1255"/>
      <c r="CO3" s="1255"/>
      <c r="CP3" s="1255"/>
      <c r="CQ3" s="1255"/>
      <c r="CR3" s="1255"/>
      <c r="CS3" s="1255"/>
      <c r="CT3" s="1255"/>
      <c r="CU3" s="1255"/>
      <c r="CV3" s="1255"/>
      <c r="CW3" s="1255"/>
      <c r="CX3" s="1255"/>
      <c r="CY3" s="1255"/>
      <c r="CZ3" s="1255"/>
      <c r="DA3" s="1255"/>
      <c r="DB3" s="1255"/>
      <c r="DC3" s="1255"/>
      <c r="DD3" s="1255"/>
    </row>
    <row r="4" spans="1:108" ht="13.5" customHeight="1">
      <c r="A4" s="1256"/>
      <c r="B4" s="1257"/>
      <c r="C4" s="1258" t="s">
        <v>4089</v>
      </c>
      <c r="D4" s="1257"/>
      <c r="E4" s="1257"/>
      <c r="F4" s="1257"/>
      <c r="G4" s="1257"/>
      <c r="H4" s="1257"/>
      <c r="I4" s="1257"/>
      <c r="J4" s="1257"/>
      <c r="K4" s="1257"/>
      <c r="L4" s="1257"/>
      <c r="M4" s="1257"/>
      <c r="N4" s="1257"/>
      <c r="O4" s="1257"/>
      <c r="P4" s="1257"/>
      <c r="Q4" s="1257"/>
      <c r="R4" s="1257"/>
      <c r="S4" s="1257"/>
      <c r="T4" s="1257"/>
      <c r="U4" s="1257"/>
      <c r="V4" s="1257"/>
      <c r="W4" s="1257"/>
      <c r="X4" s="1257"/>
      <c r="Y4" s="1257"/>
      <c r="Z4" s="1257"/>
      <c r="AA4" s="1257"/>
      <c r="AB4" s="1257"/>
      <c r="AC4" s="1257"/>
      <c r="AD4" s="1257"/>
      <c r="AE4" s="1257"/>
      <c r="AF4" s="1257"/>
      <c r="AG4" s="1257"/>
      <c r="AH4" s="1257"/>
      <c r="AI4" s="1257"/>
      <c r="AJ4" s="1257"/>
      <c r="AK4" s="1257"/>
      <c r="AL4" s="1257"/>
      <c r="AM4" s="1257"/>
      <c r="AN4" s="1257"/>
      <c r="AO4" s="1257"/>
      <c r="AP4" s="1257"/>
      <c r="AQ4" s="1257"/>
      <c r="AR4" s="1257"/>
      <c r="AS4" s="1257"/>
      <c r="AT4" s="1257"/>
      <c r="AU4" s="1257"/>
      <c r="AV4" s="1257"/>
      <c r="AW4" s="1257"/>
      <c r="AX4" s="1257"/>
      <c r="AY4" s="1257"/>
      <c r="AZ4" s="1257"/>
      <c r="BA4" s="1257"/>
      <c r="BB4" s="1257"/>
      <c r="BC4" s="1257"/>
      <c r="BD4" s="1257"/>
      <c r="BE4" s="1257"/>
      <c r="BF4" s="1257"/>
      <c r="BG4" s="1257"/>
      <c r="BH4" s="1257"/>
      <c r="BI4" s="1257"/>
      <c r="BJ4" s="1257"/>
      <c r="BK4" s="1257"/>
      <c r="BL4" s="1257"/>
      <c r="BM4" s="1257"/>
      <c r="BN4" s="1257"/>
      <c r="BO4" s="1257"/>
      <c r="BP4" s="1257"/>
      <c r="BQ4" s="1257"/>
      <c r="BR4" s="1257"/>
      <c r="BS4" s="1257"/>
      <c r="BT4" s="1257"/>
      <c r="BU4" s="1257"/>
      <c r="BV4" s="1257"/>
      <c r="BW4" s="1257"/>
      <c r="BX4" s="1257"/>
      <c r="BY4" s="1257"/>
      <c r="BZ4" s="1257"/>
      <c r="CA4" s="1257"/>
      <c r="CB4" s="1257"/>
      <c r="CC4" s="1257"/>
      <c r="CD4" s="1257"/>
      <c r="CE4" s="1257"/>
      <c r="CF4" s="1257"/>
      <c r="CG4" s="1257"/>
      <c r="CH4" s="1257"/>
      <c r="CI4" s="1257"/>
      <c r="CJ4" s="1257"/>
      <c r="CK4" s="1257"/>
      <c r="CL4" s="1257"/>
      <c r="CM4" s="1257"/>
      <c r="CN4" s="1257"/>
      <c r="CO4" s="1257"/>
      <c r="CP4" s="1257"/>
      <c r="CQ4" s="1257"/>
      <c r="CR4" s="1257"/>
      <c r="CS4" s="1257"/>
      <c r="CT4" s="1257"/>
      <c r="CU4" s="1257"/>
      <c r="CV4" s="1257"/>
      <c r="CW4" s="1257"/>
      <c r="CX4" s="1257"/>
      <c r="CY4" s="1257"/>
      <c r="CZ4" s="1257"/>
      <c r="DA4" s="1257"/>
      <c r="DB4" s="1257"/>
      <c r="DC4" s="1257"/>
      <c r="DD4" s="1257"/>
    </row>
    <row r="5" spans="1:108" ht="13.5" customHeight="1">
      <c r="A5" s="1256"/>
      <c r="B5" s="1257"/>
      <c r="C5" s="1256"/>
      <c r="D5" s="1257"/>
      <c r="E5" s="1257"/>
      <c r="F5" s="1257"/>
      <c r="G5" s="1257"/>
      <c r="H5" s="1257"/>
      <c r="I5" s="1257"/>
      <c r="J5" s="1257"/>
      <c r="K5" s="1257"/>
      <c r="L5" s="1257"/>
      <c r="M5" s="1257"/>
      <c r="N5" s="1257"/>
      <c r="O5" s="1257"/>
      <c r="P5" s="1257"/>
      <c r="Q5" s="1257"/>
      <c r="R5" s="1257"/>
      <c r="S5" s="1257"/>
      <c r="T5" s="1257"/>
      <c r="U5" s="1257"/>
      <c r="V5" s="1257"/>
      <c r="W5" s="1257"/>
      <c r="X5" s="1257"/>
      <c r="Y5" s="1257"/>
      <c r="Z5" s="1257"/>
      <c r="AA5" s="1257"/>
      <c r="AB5" s="1257"/>
      <c r="AC5" s="1257"/>
      <c r="AD5" s="1257"/>
      <c r="AE5" s="1257"/>
      <c r="AF5" s="1257"/>
      <c r="AG5" s="1257"/>
      <c r="AH5" s="1257"/>
      <c r="AI5" s="1257"/>
      <c r="AJ5" s="1257"/>
      <c r="AK5" s="1257"/>
      <c r="AL5" s="1257"/>
      <c r="AM5" s="1257"/>
      <c r="AN5" s="1257"/>
      <c r="AO5" s="1257"/>
      <c r="AP5" s="1257"/>
      <c r="AQ5" s="1257"/>
      <c r="AR5" s="1257"/>
      <c r="AS5" s="1257"/>
      <c r="AT5" s="1257"/>
      <c r="AU5" s="1257"/>
      <c r="AV5" s="1257"/>
      <c r="AW5" s="1257"/>
      <c r="AX5" s="1257"/>
      <c r="AY5" s="1257"/>
      <c r="AZ5" s="1257"/>
      <c r="BA5" s="1257"/>
      <c r="BB5" s="1257"/>
      <c r="BC5" s="1257"/>
      <c r="BD5" s="1257"/>
      <c r="BE5" s="1257"/>
      <c r="BF5" s="1257"/>
      <c r="BG5" s="1257"/>
      <c r="BH5" s="1257"/>
      <c r="BI5" s="1257"/>
      <c r="BJ5" s="1257"/>
      <c r="BK5" s="1257"/>
      <c r="BL5" s="1257"/>
      <c r="BM5" s="1257"/>
      <c r="BN5" s="1257"/>
      <c r="BO5" s="1257"/>
      <c r="BP5" s="1257"/>
      <c r="BQ5" s="1257"/>
      <c r="BR5" s="1257"/>
      <c r="BS5" s="1257"/>
      <c r="BT5" s="1257"/>
      <c r="BU5" s="1257"/>
      <c r="BV5" s="1257"/>
      <c r="BW5" s="1257"/>
      <c r="BX5" s="1257"/>
      <c r="BY5" s="1257"/>
      <c r="BZ5" s="1257"/>
      <c r="CA5" s="1257"/>
      <c r="CB5" s="1257"/>
      <c r="CC5" s="1257"/>
      <c r="CD5" s="1257"/>
      <c r="CE5" s="1257"/>
      <c r="CF5" s="1257"/>
      <c r="CG5" s="1257"/>
      <c r="CH5" s="1257"/>
      <c r="CI5" s="1257"/>
      <c r="CJ5" s="1257"/>
      <c r="CK5" s="1257"/>
      <c r="CL5" s="1257"/>
      <c r="CM5" s="1257"/>
      <c r="CN5" s="1257"/>
      <c r="CO5" s="1257"/>
      <c r="CP5" s="1257"/>
      <c r="CQ5" s="1257"/>
      <c r="CR5" s="1257"/>
      <c r="CS5" s="1257"/>
      <c r="CT5" s="1257"/>
      <c r="CU5" s="1257"/>
      <c r="CV5" s="1257"/>
      <c r="CW5" s="1257"/>
      <c r="CX5" s="1257"/>
      <c r="CY5" s="1257"/>
      <c r="CZ5" s="1257"/>
      <c r="DA5" s="1257"/>
      <c r="DB5" s="1257"/>
      <c r="DC5" s="1257"/>
      <c r="DD5" s="1257"/>
    </row>
    <row r="6" spans="1:108" ht="13.5" customHeight="1">
      <c r="A6" s="1256"/>
      <c r="B6" s="1257"/>
      <c r="C6" s="1256"/>
      <c r="D6" s="1257"/>
      <c r="E6" s="1257"/>
      <c r="F6" s="1257"/>
      <c r="G6" s="1257"/>
      <c r="H6" s="1257"/>
      <c r="I6" s="1257"/>
      <c r="J6" s="1257"/>
      <c r="K6" s="1257"/>
      <c r="L6" s="1257"/>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57"/>
      <c r="AR6" s="1257"/>
      <c r="AS6" s="1257"/>
      <c r="AT6" s="1257"/>
      <c r="AU6" s="1257"/>
      <c r="AV6" s="1257"/>
      <c r="AW6" s="1257"/>
      <c r="AX6" s="1257"/>
      <c r="AY6" s="1257"/>
      <c r="AZ6" s="1257"/>
      <c r="BA6" s="1257"/>
      <c r="BB6" s="1257"/>
      <c r="BC6" s="1257"/>
      <c r="BD6" s="1257"/>
      <c r="BE6" s="1257"/>
      <c r="BF6" s="1257"/>
      <c r="BG6" s="1257"/>
      <c r="BH6" s="1257"/>
      <c r="BI6" s="1257"/>
      <c r="BJ6" s="1257"/>
      <c r="BK6" s="1257"/>
      <c r="BL6" s="1257"/>
      <c r="BM6" s="1257"/>
      <c r="BN6" s="1257"/>
      <c r="BO6" s="1257"/>
      <c r="BP6" s="1257"/>
      <c r="BQ6" s="1257"/>
      <c r="BR6" s="1257"/>
      <c r="BS6" s="1257"/>
      <c r="BT6" s="1257"/>
      <c r="BU6" s="1257"/>
      <c r="BV6" s="1257"/>
      <c r="BW6" s="1257"/>
      <c r="BX6" s="1257"/>
      <c r="BY6" s="1257"/>
      <c r="BZ6" s="1257"/>
      <c r="CA6" s="1257"/>
      <c r="CB6" s="1257"/>
      <c r="CC6" s="1257"/>
      <c r="CD6" s="1257"/>
      <c r="CE6" s="1257"/>
      <c r="CF6" s="1257"/>
      <c r="CG6" s="1257"/>
      <c r="CH6" s="1257"/>
      <c r="CI6" s="1257"/>
      <c r="CJ6" s="1257"/>
      <c r="CK6" s="1257"/>
      <c r="CL6" s="1257"/>
      <c r="CM6" s="1257"/>
      <c r="CN6" s="1257"/>
      <c r="CO6" s="1257"/>
      <c r="CP6" s="1257"/>
      <c r="CQ6" s="1257"/>
      <c r="CR6" s="1257"/>
      <c r="CS6" s="1257"/>
      <c r="CT6" s="1257"/>
      <c r="CU6" s="1257"/>
      <c r="CV6" s="1257"/>
      <c r="CW6" s="1257"/>
      <c r="CX6" s="1257"/>
      <c r="CY6" s="1257"/>
      <c r="CZ6" s="1257"/>
      <c r="DA6" s="1257"/>
      <c r="DB6" s="1257"/>
      <c r="DC6" s="1257"/>
      <c r="DD6" s="1257"/>
    </row>
    <row r="7" spans="1:108" ht="13.5" customHeight="1">
      <c r="A7" s="1256"/>
      <c r="B7" s="1257"/>
      <c r="C7" s="1256"/>
      <c r="D7" s="1257"/>
      <c r="E7" s="1257"/>
      <c r="F7" s="1257"/>
      <c r="G7" s="1257"/>
      <c r="H7" s="1257"/>
      <c r="I7" s="1257"/>
      <c r="J7" s="1257"/>
      <c r="K7" s="1257"/>
      <c r="L7" s="1257"/>
      <c r="M7" s="1257"/>
      <c r="N7" s="1257"/>
      <c r="O7" s="1257"/>
      <c r="P7" s="1257"/>
      <c r="Q7" s="1257"/>
      <c r="R7" s="1257"/>
      <c r="S7" s="1257"/>
      <c r="T7" s="1257"/>
      <c r="U7" s="1257"/>
      <c r="V7" s="1257"/>
      <c r="W7" s="1257"/>
      <c r="X7" s="1257"/>
      <c r="Y7" s="1257"/>
      <c r="Z7" s="1257"/>
      <c r="AA7" s="1257"/>
      <c r="AB7" s="1257"/>
      <c r="AC7" s="1257"/>
      <c r="AD7" s="1257"/>
      <c r="AE7" s="1257"/>
      <c r="AF7" s="1257"/>
      <c r="AG7" s="1257"/>
      <c r="AH7" s="1257"/>
      <c r="AI7" s="1257"/>
      <c r="AJ7" s="1257"/>
      <c r="AK7" s="1257"/>
      <c r="AL7" s="1257"/>
      <c r="AM7" s="1257"/>
      <c r="AN7" s="1257"/>
      <c r="AO7" s="1257"/>
      <c r="AP7" s="1257"/>
      <c r="AQ7" s="1257"/>
      <c r="AR7" s="1257"/>
      <c r="AS7" s="1257"/>
      <c r="AT7" s="1257"/>
      <c r="AU7" s="1257"/>
      <c r="AV7" s="1257"/>
      <c r="AW7" s="1257"/>
      <c r="AX7" s="1257"/>
      <c r="AY7" s="1257"/>
      <c r="AZ7" s="1257"/>
      <c r="BA7" s="1257"/>
      <c r="BB7" s="1257"/>
      <c r="BC7" s="1257"/>
      <c r="BD7" s="1257"/>
      <c r="BE7" s="1257"/>
      <c r="BF7" s="1257"/>
      <c r="BG7" s="1257"/>
      <c r="BH7" s="1257"/>
      <c r="BI7" s="1257"/>
      <c r="BJ7" s="1257"/>
      <c r="BK7" s="1257"/>
      <c r="BL7" s="1257"/>
      <c r="BM7" s="1257"/>
      <c r="BN7" s="1257"/>
      <c r="BO7" s="1257"/>
      <c r="BP7" s="1257"/>
      <c r="BQ7" s="1257"/>
      <c r="BR7" s="1257"/>
      <c r="BS7" s="1257"/>
      <c r="BT7" s="1257"/>
      <c r="BU7" s="1257"/>
      <c r="BV7" s="1257"/>
      <c r="BW7" s="1257"/>
      <c r="BX7" s="1257"/>
      <c r="BY7" s="1257"/>
      <c r="BZ7" s="1257"/>
      <c r="CA7" s="1257"/>
      <c r="CB7" s="1257"/>
      <c r="CC7" s="1257"/>
      <c r="CD7" s="1257"/>
      <c r="CE7" s="1257"/>
      <c r="CF7" s="1257"/>
      <c r="CG7" s="1257"/>
      <c r="CH7" s="1257"/>
      <c r="CI7" s="1257"/>
      <c r="CJ7" s="1257"/>
      <c r="CK7" s="1257"/>
      <c r="CL7" s="1257"/>
      <c r="CM7" s="1257"/>
      <c r="CN7" s="1257"/>
      <c r="CO7" s="1257"/>
      <c r="CP7" s="1257"/>
      <c r="CQ7" s="1257"/>
      <c r="CR7" s="1257"/>
      <c r="CS7" s="1257"/>
      <c r="CT7" s="1257"/>
      <c r="CU7" s="1257"/>
      <c r="CV7" s="1257"/>
      <c r="CW7" s="1257"/>
      <c r="CX7" s="1257"/>
      <c r="CY7" s="1257"/>
      <c r="CZ7" s="1257"/>
      <c r="DA7" s="1257"/>
      <c r="DB7" s="1257"/>
      <c r="DC7" s="1257"/>
      <c r="DD7" s="1257"/>
    </row>
    <row r="8" spans="1:108" ht="13.5" customHeight="1">
      <c r="A8" s="1256"/>
      <c r="B8" s="1257"/>
      <c r="C8" s="1256"/>
      <c r="D8" s="1257"/>
      <c r="E8" s="1257"/>
      <c r="F8" s="1257"/>
      <c r="G8" s="1257"/>
      <c r="H8" s="1257"/>
      <c r="I8" s="1257"/>
      <c r="J8" s="1257"/>
      <c r="K8" s="1257"/>
      <c r="L8" s="1257"/>
      <c r="M8" s="1257"/>
      <c r="N8" s="1257"/>
      <c r="O8" s="1257"/>
      <c r="P8" s="1257"/>
      <c r="Q8" s="1257"/>
      <c r="R8" s="1257"/>
      <c r="S8" s="1257"/>
      <c r="T8" s="1257"/>
      <c r="U8" s="1257"/>
      <c r="V8" s="1257"/>
      <c r="W8" s="1257"/>
      <c r="X8" s="1257"/>
      <c r="Y8" s="1257"/>
      <c r="Z8" s="1257"/>
      <c r="AA8" s="1257"/>
      <c r="AB8" s="1257"/>
      <c r="AC8" s="1257"/>
      <c r="AD8" s="1257"/>
      <c r="AE8" s="1257"/>
      <c r="AF8" s="1257"/>
      <c r="AG8" s="1257"/>
      <c r="AH8" s="1257"/>
      <c r="AI8" s="1257"/>
      <c r="AJ8" s="1257"/>
      <c r="AK8" s="1257"/>
      <c r="AL8" s="1257"/>
      <c r="AM8" s="1257"/>
      <c r="AN8" s="1257"/>
      <c r="AO8" s="1257"/>
      <c r="AP8" s="1257"/>
      <c r="AQ8" s="1257"/>
      <c r="AR8" s="1257"/>
      <c r="AS8" s="1257"/>
      <c r="AT8" s="1257"/>
      <c r="AU8" s="1257"/>
      <c r="AV8" s="1257"/>
      <c r="AW8" s="1257"/>
      <c r="AX8" s="1257"/>
      <c r="AY8" s="1257"/>
      <c r="AZ8" s="1257"/>
      <c r="BA8" s="1257"/>
      <c r="BB8" s="1257"/>
      <c r="BC8" s="1257"/>
      <c r="BD8" s="1257"/>
      <c r="BE8" s="1257"/>
      <c r="BF8" s="1257"/>
      <c r="BG8" s="1257"/>
      <c r="BH8" s="1257"/>
      <c r="BI8" s="1257"/>
      <c r="BJ8" s="1257"/>
      <c r="BK8" s="1257"/>
      <c r="BL8" s="1257"/>
      <c r="BM8" s="1257"/>
      <c r="BN8" s="1257"/>
      <c r="BO8" s="1257"/>
      <c r="BP8" s="1257"/>
      <c r="BQ8" s="1257"/>
      <c r="BR8" s="1257"/>
      <c r="BS8" s="1257"/>
      <c r="BT8" s="1257"/>
      <c r="BU8" s="1257"/>
      <c r="BV8" s="1257"/>
      <c r="BW8" s="1257"/>
      <c r="BX8" s="1257"/>
      <c r="BY8" s="1257"/>
      <c r="BZ8" s="1257"/>
      <c r="CA8" s="1257"/>
      <c r="CB8" s="1257"/>
      <c r="CC8" s="1257"/>
      <c r="CD8" s="1257"/>
      <c r="CE8" s="1257"/>
      <c r="CF8" s="1257"/>
      <c r="CG8" s="1257"/>
      <c r="CH8" s="1257"/>
      <c r="CI8" s="1257"/>
      <c r="CJ8" s="1257"/>
      <c r="CK8" s="1257"/>
      <c r="CL8" s="1257"/>
      <c r="CM8" s="1257"/>
      <c r="CN8" s="1257"/>
      <c r="CO8" s="1257"/>
      <c r="CP8" s="1257"/>
      <c r="CQ8" s="1257"/>
      <c r="CR8" s="1257"/>
      <c r="CS8" s="1257"/>
      <c r="CT8" s="1257"/>
      <c r="CU8" s="1257"/>
      <c r="CV8" s="1257"/>
      <c r="CW8" s="1257"/>
      <c r="CX8" s="1257"/>
      <c r="CY8" s="1257"/>
      <c r="CZ8" s="1257"/>
      <c r="DA8" s="1257"/>
      <c r="DB8" s="1257"/>
      <c r="DC8" s="1257"/>
      <c r="DD8" s="1257"/>
    </row>
    <row r="9" spans="1:108" ht="13.5" customHeight="1">
      <c r="A9" s="1256"/>
      <c r="B9" s="1257"/>
      <c r="C9" s="1256"/>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257"/>
      <c r="AV9" s="1257"/>
      <c r="AW9" s="1257"/>
      <c r="AX9" s="1257"/>
      <c r="AY9" s="1257"/>
      <c r="AZ9" s="1257"/>
      <c r="BA9" s="1257"/>
      <c r="BB9" s="1257"/>
      <c r="BC9" s="1257"/>
      <c r="BD9" s="1257"/>
      <c r="BE9" s="1257"/>
      <c r="BF9" s="1257"/>
      <c r="BG9" s="1257"/>
      <c r="BH9" s="1257"/>
      <c r="BI9" s="1257"/>
      <c r="BJ9" s="1257"/>
      <c r="BK9" s="1257"/>
      <c r="BL9" s="1257"/>
      <c r="BM9" s="1257"/>
      <c r="BN9" s="1257"/>
      <c r="BO9" s="1257"/>
      <c r="BP9" s="1257"/>
      <c r="BQ9" s="1257"/>
      <c r="BR9" s="1257"/>
      <c r="BS9" s="1257"/>
      <c r="BT9" s="1257"/>
      <c r="BU9" s="1257"/>
      <c r="BV9" s="1257"/>
      <c r="BW9" s="1257"/>
      <c r="BX9" s="1257"/>
      <c r="BY9" s="1257"/>
      <c r="BZ9" s="1257"/>
      <c r="CA9" s="1257"/>
      <c r="CB9" s="1257"/>
      <c r="CC9" s="1257"/>
      <c r="CD9" s="1257"/>
      <c r="CE9" s="1257"/>
      <c r="CF9" s="1257"/>
      <c r="CG9" s="1257"/>
      <c r="CH9" s="1257"/>
      <c r="CI9" s="1257"/>
      <c r="CJ9" s="1257"/>
      <c r="CK9" s="1257"/>
      <c r="CL9" s="1257"/>
      <c r="CM9" s="1257"/>
      <c r="CN9" s="1257"/>
      <c r="CO9" s="1257"/>
      <c r="CP9" s="1257"/>
      <c r="CQ9" s="1257"/>
      <c r="CR9" s="1257"/>
      <c r="CS9" s="1257"/>
      <c r="CT9" s="1257"/>
      <c r="CU9" s="1257"/>
      <c r="CV9" s="1257"/>
      <c r="CW9" s="1257"/>
      <c r="CX9" s="1257"/>
      <c r="CY9" s="1257"/>
      <c r="CZ9" s="1257"/>
      <c r="DA9" s="1257"/>
      <c r="DB9" s="1257"/>
      <c r="DC9" s="1257"/>
      <c r="DD9" s="1257"/>
    </row>
    <row r="10" spans="1:108" ht="13.5" customHeight="1">
      <c r="A10" s="1256"/>
      <c r="B10" s="1257"/>
      <c r="C10" s="1256"/>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257"/>
      <c r="AV10" s="1257"/>
      <c r="AW10" s="1257"/>
      <c r="AX10" s="1257"/>
      <c r="AY10" s="1257"/>
      <c r="AZ10" s="1257"/>
      <c r="BA10" s="1257"/>
      <c r="BB10" s="1257"/>
      <c r="BC10" s="1257"/>
      <c r="BD10" s="1257"/>
      <c r="BE10" s="1257"/>
      <c r="BF10" s="1257"/>
      <c r="BG10" s="1257"/>
      <c r="BH10" s="1257"/>
      <c r="BI10" s="1257"/>
      <c r="BJ10" s="1257"/>
      <c r="BK10" s="1257"/>
      <c r="BL10" s="1257"/>
      <c r="BM10" s="1257"/>
      <c r="BN10" s="1257"/>
      <c r="BO10" s="1257"/>
      <c r="BP10" s="1257"/>
      <c r="BQ10" s="1257"/>
      <c r="BR10" s="1257"/>
      <c r="BS10" s="1257"/>
      <c r="BT10" s="1257"/>
      <c r="BU10" s="1257"/>
      <c r="BV10" s="1257"/>
      <c r="BW10" s="1257"/>
      <c r="BX10" s="1257"/>
      <c r="BY10" s="1257"/>
      <c r="BZ10" s="1257"/>
      <c r="CA10" s="1257"/>
      <c r="CB10" s="1257"/>
      <c r="CC10" s="1257"/>
      <c r="CD10" s="1257"/>
      <c r="CE10" s="1257"/>
      <c r="CF10" s="1257"/>
      <c r="CG10" s="1257"/>
      <c r="CH10" s="1257"/>
      <c r="CI10" s="1257"/>
      <c r="CJ10" s="1257"/>
      <c r="CK10" s="1257"/>
      <c r="CL10" s="1257"/>
      <c r="CM10" s="1257"/>
      <c r="CN10" s="1257"/>
      <c r="CO10" s="1257"/>
      <c r="CP10" s="1257"/>
      <c r="CQ10" s="1257"/>
      <c r="CR10" s="1257"/>
      <c r="CS10" s="1257"/>
      <c r="CT10" s="1257"/>
      <c r="CU10" s="1257"/>
      <c r="CV10" s="1257"/>
      <c r="CW10" s="1257"/>
      <c r="CX10" s="1257"/>
      <c r="CY10" s="1257"/>
      <c r="CZ10" s="1257"/>
      <c r="DA10" s="1257"/>
      <c r="DB10" s="1257"/>
      <c r="DC10" s="1257"/>
      <c r="DD10" s="1257"/>
    </row>
    <row r="11" spans="1:108" ht="13.5" customHeight="1">
      <c r="A11" s="1256"/>
      <c r="B11" s="1257"/>
      <c r="C11" s="1256"/>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257"/>
      <c r="AV11" s="1257"/>
      <c r="AW11" s="1257"/>
      <c r="AX11" s="1257"/>
      <c r="AY11" s="1257"/>
      <c r="AZ11" s="1257"/>
      <c r="BA11" s="1257"/>
      <c r="BB11" s="1257"/>
      <c r="BC11" s="1257"/>
      <c r="BD11" s="1257"/>
      <c r="BE11" s="1257"/>
      <c r="BF11" s="1257"/>
      <c r="BG11" s="1257"/>
      <c r="BH11" s="1257"/>
      <c r="BI11" s="1257"/>
      <c r="BJ11" s="1257"/>
      <c r="BK11" s="1257"/>
      <c r="BL11" s="1257"/>
      <c r="BM11" s="1257"/>
      <c r="BN11" s="1257"/>
      <c r="BO11" s="1257"/>
      <c r="BP11" s="1257"/>
      <c r="BQ11" s="1257"/>
      <c r="BR11" s="1257"/>
      <c r="BS11" s="1257"/>
      <c r="BT11" s="1257"/>
      <c r="BU11" s="1257"/>
      <c r="BV11" s="1257"/>
      <c r="BW11" s="1257"/>
      <c r="BX11" s="1257"/>
      <c r="BY11" s="1257"/>
      <c r="BZ11" s="1257"/>
      <c r="CA11" s="1257"/>
      <c r="CB11" s="1257"/>
      <c r="CC11" s="1257"/>
      <c r="CD11" s="1257"/>
      <c r="CE11" s="1257"/>
      <c r="CF11" s="1257"/>
      <c r="CG11" s="1257"/>
      <c r="CH11" s="1257"/>
      <c r="CI11" s="1257"/>
      <c r="CJ11" s="1257"/>
      <c r="CK11" s="1257"/>
      <c r="CL11" s="1257"/>
      <c r="CM11" s="1257"/>
      <c r="CN11" s="1257"/>
      <c r="CO11" s="1257"/>
      <c r="CP11" s="1257"/>
      <c r="CQ11" s="1257"/>
      <c r="CR11" s="1257"/>
      <c r="CS11" s="1257"/>
      <c r="CT11" s="1257"/>
      <c r="CU11" s="1257"/>
      <c r="CV11" s="1257"/>
      <c r="CW11" s="1257"/>
      <c r="CX11" s="1257"/>
      <c r="CY11" s="1257"/>
      <c r="CZ11" s="1257"/>
      <c r="DA11" s="1257"/>
      <c r="DB11" s="1257"/>
      <c r="DC11" s="1257"/>
      <c r="DD11" s="1257"/>
    </row>
    <row r="12" spans="1:108" ht="13.5" customHeight="1">
      <c r="A12" s="1256"/>
      <c r="B12" s="1257"/>
      <c r="C12" s="1256"/>
      <c r="D12" s="1257"/>
      <c r="E12" s="1257"/>
      <c r="F12" s="1257"/>
      <c r="G12" s="1257"/>
      <c r="H12" s="1257"/>
      <c r="I12" s="1257"/>
      <c r="J12" s="1257"/>
      <c r="K12" s="1257"/>
      <c r="L12" s="1257"/>
      <c r="M12" s="1257"/>
      <c r="N12" s="1257"/>
      <c r="O12" s="1257"/>
      <c r="P12" s="1257"/>
      <c r="Q12" s="1257"/>
      <c r="R12" s="1257"/>
      <c r="S12" s="1257"/>
      <c r="T12" s="1257"/>
      <c r="U12" s="1257"/>
      <c r="V12" s="1257"/>
      <c r="W12" s="1257"/>
      <c r="X12" s="1257"/>
      <c r="Y12" s="1257"/>
      <c r="Z12" s="1257"/>
      <c r="AA12" s="1257"/>
      <c r="AB12" s="1257"/>
      <c r="AC12" s="1257"/>
      <c r="AD12" s="1257"/>
      <c r="AE12" s="1257"/>
      <c r="AF12" s="1257"/>
      <c r="AG12" s="1257"/>
      <c r="AH12" s="1257"/>
      <c r="AI12" s="1257"/>
      <c r="AJ12" s="1257"/>
      <c r="AK12" s="1257"/>
      <c r="AL12" s="1257"/>
      <c r="AM12" s="1257"/>
      <c r="AN12" s="1257"/>
      <c r="AO12" s="1257"/>
      <c r="AP12" s="1257"/>
      <c r="AQ12" s="1257"/>
      <c r="AR12" s="1257"/>
      <c r="AS12" s="1257"/>
      <c r="AT12" s="1257"/>
      <c r="AU12" s="1257"/>
      <c r="AV12" s="1257"/>
      <c r="AW12" s="1257"/>
      <c r="AX12" s="1257"/>
      <c r="AY12" s="1257"/>
      <c r="AZ12" s="1257"/>
      <c r="BA12" s="1257"/>
      <c r="BB12" s="1257"/>
      <c r="BC12" s="1257"/>
      <c r="BD12" s="1257"/>
      <c r="BE12" s="1257"/>
      <c r="BF12" s="1257"/>
      <c r="BG12" s="1257"/>
      <c r="BH12" s="1257"/>
      <c r="BI12" s="1257"/>
      <c r="BJ12" s="1257"/>
      <c r="BK12" s="1257"/>
      <c r="BL12" s="1257"/>
      <c r="BM12" s="1257"/>
      <c r="BN12" s="1257"/>
      <c r="BO12" s="1257"/>
      <c r="BP12" s="1257"/>
      <c r="BQ12" s="1257"/>
      <c r="BR12" s="1257"/>
      <c r="BS12" s="1257"/>
      <c r="BT12" s="1257"/>
      <c r="BU12" s="1257"/>
      <c r="BV12" s="1257"/>
      <c r="BW12" s="1257"/>
      <c r="BX12" s="1257"/>
      <c r="BY12" s="1257"/>
      <c r="BZ12" s="1257"/>
      <c r="CA12" s="1257"/>
      <c r="CB12" s="1257"/>
      <c r="CC12" s="1257"/>
      <c r="CD12" s="1257"/>
      <c r="CE12" s="1257"/>
      <c r="CF12" s="1257"/>
      <c r="CG12" s="1257"/>
      <c r="CH12" s="1257"/>
      <c r="CI12" s="1257"/>
      <c r="CJ12" s="1257"/>
      <c r="CK12" s="1257"/>
      <c r="CL12" s="1257"/>
      <c r="CM12" s="1257"/>
      <c r="CN12" s="1257"/>
      <c r="CO12" s="1257"/>
      <c r="CP12" s="1257"/>
      <c r="CQ12" s="1257"/>
      <c r="CR12" s="1257"/>
      <c r="CS12" s="1257"/>
      <c r="CT12" s="1257"/>
      <c r="CU12" s="1257"/>
      <c r="CV12" s="1257"/>
      <c r="CW12" s="1257"/>
      <c r="CX12" s="1257"/>
      <c r="CY12" s="1257"/>
      <c r="CZ12" s="1257"/>
      <c r="DA12" s="1257"/>
      <c r="DB12" s="1257"/>
      <c r="DC12" s="1257"/>
      <c r="DD12" s="1257"/>
    </row>
    <row r="13" spans="1:108" ht="13.5" customHeight="1">
      <c r="A13" s="1256"/>
      <c r="B13" s="1257"/>
      <c r="C13" s="1256"/>
      <c r="D13" s="1257"/>
      <c r="E13" s="1257"/>
      <c r="F13" s="1257"/>
      <c r="G13" s="1257"/>
      <c r="H13" s="1257"/>
      <c r="I13" s="1257"/>
      <c r="J13" s="1257"/>
      <c r="K13" s="1257"/>
      <c r="L13" s="1257"/>
      <c r="M13" s="1257"/>
      <c r="N13" s="1257"/>
      <c r="O13" s="1257"/>
      <c r="P13" s="1257"/>
      <c r="Q13" s="1257"/>
      <c r="R13" s="1257"/>
      <c r="S13" s="1257"/>
      <c r="T13" s="1257"/>
      <c r="U13" s="1257"/>
      <c r="V13" s="1257"/>
      <c r="W13" s="1257"/>
      <c r="X13" s="1257"/>
      <c r="Y13" s="1257"/>
      <c r="Z13" s="1257"/>
      <c r="AA13" s="1257"/>
      <c r="AB13" s="1257"/>
      <c r="AC13" s="1257"/>
      <c r="AD13" s="1257"/>
      <c r="AE13" s="1257"/>
      <c r="AF13" s="1257"/>
      <c r="AG13" s="1257"/>
      <c r="AH13" s="1257"/>
      <c r="AI13" s="1257"/>
      <c r="AJ13" s="1257"/>
      <c r="AK13" s="1257"/>
      <c r="AL13" s="1257"/>
      <c r="AM13" s="1257"/>
      <c r="AN13" s="1257"/>
      <c r="AO13" s="1257"/>
      <c r="AP13" s="1257"/>
      <c r="AQ13" s="1257"/>
      <c r="AR13" s="1257"/>
      <c r="AS13" s="1257"/>
      <c r="AT13" s="1257"/>
      <c r="AU13" s="1257"/>
      <c r="AV13" s="1257"/>
      <c r="AW13" s="1257"/>
      <c r="AX13" s="1257"/>
      <c r="AY13" s="1257"/>
      <c r="AZ13" s="1257"/>
      <c r="BA13" s="1257"/>
      <c r="BB13" s="1257"/>
      <c r="BC13" s="1257"/>
      <c r="BD13" s="1257"/>
      <c r="BE13" s="1257"/>
      <c r="BF13" s="1257"/>
      <c r="BG13" s="1257"/>
      <c r="BH13" s="1257"/>
      <c r="BI13" s="1257"/>
      <c r="BJ13" s="1257"/>
      <c r="BK13" s="1257"/>
      <c r="BL13" s="1257"/>
      <c r="BM13" s="1257"/>
      <c r="BN13" s="1257"/>
      <c r="BO13" s="1257"/>
      <c r="BP13" s="1257"/>
      <c r="BQ13" s="1257"/>
      <c r="BR13" s="1257"/>
      <c r="BS13" s="1257"/>
      <c r="BT13" s="1257"/>
      <c r="BU13" s="1257"/>
      <c r="BV13" s="1257"/>
      <c r="BW13" s="1257"/>
      <c r="BX13" s="1257"/>
      <c r="BY13" s="1257"/>
      <c r="BZ13" s="1257"/>
      <c r="CA13" s="1257"/>
      <c r="CB13" s="1257"/>
      <c r="CC13" s="1257"/>
      <c r="CD13" s="1257"/>
      <c r="CE13" s="1257"/>
      <c r="CF13" s="1257"/>
      <c r="CG13" s="1257"/>
      <c r="CH13" s="1257"/>
      <c r="CI13" s="1257"/>
      <c r="CJ13" s="1257"/>
      <c r="CK13" s="1257"/>
      <c r="CL13" s="1257"/>
      <c r="CM13" s="1257"/>
      <c r="CN13" s="1257"/>
      <c r="CO13" s="1257"/>
      <c r="CP13" s="1257"/>
      <c r="CQ13" s="1257"/>
      <c r="CR13" s="1257"/>
      <c r="CS13" s="1257"/>
      <c r="CT13" s="1257"/>
      <c r="CU13" s="1257"/>
      <c r="CV13" s="1257"/>
      <c r="CW13" s="1257"/>
      <c r="CX13" s="1257"/>
      <c r="CY13" s="1257"/>
      <c r="CZ13" s="1257"/>
      <c r="DA13" s="1257"/>
      <c r="DB13" s="1257"/>
      <c r="DC13" s="1257"/>
      <c r="DD13" s="1257"/>
    </row>
    <row r="14" spans="1:108" ht="13.5" customHeight="1">
      <c r="A14" s="1256"/>
      <c r="B14" s="1257"/>
      <c r="C14" s="1256"/>
      <c r="D14" s="1257"/>
      <c r="E14" s="1257"/>
      <c r="F14" s="1257"/>
      <c r="G14" s="1257"/>
      <c r="H14" s="1257"/>
      <c r="I14" s="1257"/>
      <c r="J14" s="1257"/>
      <c r="K14" s="1257"/>
      <c r="L14" s="1257"/>
      <c r="M14" s="1257"/>
      <c r="N14" s="1257"/>
      <c r="O14" s="1257"/>
      <c r="P14" s="1257"/>
      <c r="Q14" s="1257"/>
      <c r="R14" s="1257"/>
      <c r="S14" s="1257"/>
      <c r="T14" s="1257"/>
      <c r="U14" s="1257"/>
      <c r="V14" s="1257"/>
      <c r="W14" s="1257"/>
      <c r="X14" s="1257"/>
      <c r="Y14" s="1257"/>
      <c r="Z14" s="1257"/>
      <c r="AA14" s="1257"/>
      <c r="AB14" s="1257"/>
      <c r="AC14" s="1257"/>
      <c r="AD14" s="1257"/>
      <c r="AE14" s="1257"/>
      <c r="AF14" s="1257"/>
      <c r="AG14" s="1257"/>
      <c r="AH14" s="1257"/>
      <c r="AI14" s="1257"/>
      <c r="AJ14" s="1257"/>
      <c r="AK14" s="1257"/>
      <c r="AL14" s="1257"/>
      <c r="AM14" s="1257"/>
      <c r="AN14" s="1257"/>
      <c r="AO14" s="1257"/>
      <c r="AP14" s="1257"/>
      <c r="AQ14" s="1257"/>
      <c r="AR14" s="1257"/>
      <c r="AS14" s="1257"/>
      <c r="AT14" s="1257"/>
      <c r="AU14" s="1257"/>
      <c r="AV14" s="1257"/>
      <c r="AW14" s="1257"/>
      <c r="AX14" s="1257"/>
      <c r="AY14" s="1257"/>
      <c r="AZ14" s="1257"/>
      <c r="BA14" s="1257"/>
      <c r="BB14" s="1257"/>
      <c r="BC14" s="1257"/>
      <c r="BD14" s="1257"/>
      <c r="BE14" s="1257"/>
      <c r="BF14" s="1257"/>
      <c r="BG14" s="1257"/>
      <c r="BH14" s="1257"/>
      <c r="BI14" s="1257"/>
      <c r="BJ14" s="1257"/>
      <c r="BK14" s="1257"/>
      <c r="BL14" s="1257"/>
      <c r="BM14" s="1257"/>
      <c r="BN14" s="1257"/>
      <c r="BO14" s="1257"/>
      <c r="BP14" s="1257"/>
      <c r="BQ14" s="1257"/>
      <c r="BR14" s="1257"/>
      <c r="BS14" s="1257"/>
      <c r="BT14" s="1257"/>
      <c r="BU14" s="1257"/>
      <c r="BV14" s="1257"/>
      <c r="BW14" s="1257"/>
      <c r="BX14" s="1257"/>
      <c r="BY14" s="1257"/>
      <c r="BZ14" s="1257"/>
      <c r="CA14" s="1257"/>
      <c r="CB14" s="1257"/>
      <c r="CC14" s="1257"/>
      <c r="CD14" s="1257"/>
      <c r="CE14" s="1257"/>
      <c r="CF14" s="1257"/>
      <c r="CG14" s="1257"/>
      <c r="CH14" s="1257"/>
      <c r="CI14" s="1257"/>
      <c r="CJ14" s="1257"/>
      <c r="CK14" s="1257"/>
      <c r="CL14" s="1257"/>
      <c r="CM14" s="1257"/>
      <c r="CN14" s="1257"/>
      <c r="CO14" s="1257"/>
      <c r="CP14" s="1257"/>
      <c r="CQ14" s="1257"/>
      <c r="CR14" s="1257"/>
      <c r="CS14" s="1257"/>
      <c r="CT14" s="1257"/>
      <c r="CU14" s="1257"/>
      <c r="CV14" s="1257"/>
      <c r="CW14" s="1257"/>
      <c r="CX14" s="1257"/>
      <c r="CY14" s="1257"/>
      <c r="CZ14" s="1257"/>
      <c r="DA14" s="1257"/>
      <c r="DB14" s="1257"/>
      <c r="DC14" s="1257"/>
      <c r="DD14" s="1257"/>
    </row>
    <row r="15" spans="1:108" ht="13.5" customHeight="1">
      <c r="A15" s="1256"/>
      <c r="B15" s="1257"/>
      <c r="C15" s="1256"/>
      <c r="D15" s="1257"/>
      <c r="E15" s="1257"/>
      <c r="F15" s="1257"/>
      <c r="G15" s="1257"/>
      <c r="H15" s="1257"/>
      <c r="I15" s="1257"/>
      <c r="J15" s="1257"/>
      <c r="K15" s="1257"/>
      <c r="L15" s="1257"/>
      <c r="M15" s="1257"/>
      <c r="N15" s="1257"/>
      <c r="O15" s="1257"/>
      <c r="P15" s="1257"/>
      <c r="Q15" s="1257"/>
      <c r="R15" s="1257"/>
      <c r="S15" s="1257"/>
      <c r="T15" s="1257"/>
      <c r="U15" s="1257"/>
      <c r="V15" s="1257"/>
      <c r="W15" s="1257"/>
      <c r="X15" s="1257"/>
      <c r="Y15" s="1257"/>
      <c r="Z15" s="1257"/>
      <c r="AA15" s="1257"/>
      <c r="AB15" s="1257"/>
      <c r="AC15" s="1257"/>
      <c r="AD15" s="1257"/>
      <c r="AE15" s="1257"/>
      <c r="AF15" s="1257"/>
      <c r="AG15" s="1257"/>
      <c r="AH15" s="1257"/>
      <c r="AI15" s="1257"/>
      <c r="AJ15" s="1257"/>
      <c r="AK15" s="1257"/>
      <c r="AL15" s="1257"/>
      <c r="AM15" s="1257"/>
      <c r="AN15" s="1257"/>
      <c r="AO15" s="1257"/>
      <c r="AP15" s="1257"/>
      <c r="AQ15" s="1257"/>
      <c r="AR15" s="1257"/>
      <c r="AS15" s="1257"/>
      <c r="AT15" s="1257"/>
      <c r="AU15" s="1257"/>
      <c r="AV15" s="1257"/>
      <c r="AW15" s="1257"/>
      <c r="AX15" s="1257"/>
      <c r="AY15" s="1257"/>
      <c r="AZ15" s="1257"/>
      <c r="BA15" s="1257"/>
      <c r="BB15" s="1257"/>
      <c r="BC15" s="1257"/>
      <c r="BD15" s="1257"/>
      <c r="BE15" s="1257"/>
      <c r="BF15" s="1257"/>
      <c r="BG15" s="1257"/>
      <c r="BH15" s="1257"/>
      <c r="BI15" s="1257"/>
      <c r="BJ15" s="1257"/>
      <c r="BK15" s="1257"/>
      <c r="BL15" s="1257"/>
      <c r="BM15" s="1257"/>
      <c r="BN15" s="1257"/>
      <c r="BO15" s="1257"/>
      <c r="BP15" s="1257"/>
      <c r="BQ15" s="1257"/>
      <c r="BR15" s="1257"/>
      <c r="BS15" s="1257"/>
      <c r="BT15" s="1257"/>
      <c r="BU15" s="1257"/>
      <c r="BV15" s="1257"/>
      <c r="BW15" s="1257"/>
      <c r="BX15" s="1257"/>
      <c r="BY15" s="1257"/>
      <c r="BZ15" s="1257"/>
      <c r="CA15" s="1257"/>
      <c r="CB15" s="1257"/>
      <c r="CC15" s="1257"/>
      <c r="CD15" s="1257"/>
      <c r="CE15" s="1257"/>
      <c r="CF15" s="1257"/>
      <c r="CG15" s="1257"/>
      <c r="CH15" s="1257"/>
      <c r="CI15" s="1257"/>
      <c r="CJ15" s="1257"/>
      <c r="CK15" s="1257"/>
      <c r="CL15" s="1257"/>
      <c r="CM15" s="1257"/>
      <c r="CN15" s="1257"/>
      <c r="CO15" s="1257"/>
      <c r="CP15" s="1257"/>
      <c r="CQ15" s="1257"/>
      <c r="CR15" s="1257"/>
      <c r="CS15" s="1257"/>
      <c r="CT15" s="1257"/>
      <c r="CU15" s="1257"/>
      <c r="CV15" s="1257"/>
      <c r="CW15" s="1257"/>
      <c r="CX15" s="1257"/>
      <c r="CY15" s="1257"/>
      <c r="CZ15" s="1257"/>
      <c r="DA15" s="1257"/>
      <c r="DB15" s="1257"/>
      <c r="DC15" s="1257"/>
      <c r="DD15" s="1257"/>
    </row>
    <row r="16" spans="1:108" ht="13.5" customHeight="1">
      <c r="A16" s="1256"/>
      <c r="B16" s="1257"/>
      <c r="C16" s="1256"/>
      <c r="D16" s="1257"/>
      <c r="E16" s="1257"/>
      <c r="F16" s="1257"/>
      <c r="G16" s="1257"/>
      <c r="H16" s="1257"/>
      <c r="I16" s="1257"/>
      <c r="J16" s="1257"/>
      <c r="K16" s="1257"/>
      <c r="L16" s="1257"/>
      <c r="M16" s="1257"/>
      <c r="N16" s="1257"/>
      <c r="O16" s="1257"/>
      <c r="P16" s="1257"/>
      <c r="Q16" s="1257"/>
      <c r="R16" s="1257"/>
      <c r="S16" s="1257"/>
      <c r="T16" s="1257"/>
      <c r="U16" s="1257"/>
      <c r="V16" s="1257"/>
      <c r="W16" s="1257"/>
      <c r="X16" s="1257"/>
      <c r="Y16" s="1257"/>
      <c r="Z16" s="1257"/>
      <c r="AA16" s="1257"/>
      <c r="AB16" s="1257"/>
      <c r="AC16" s="1257"/>
      <c r="AD16" s="1257"/>
      <c r="AE16" s="1257"/>
      <c r="AF16" s="1257"/>
      <c r="AG16" s="1257"/>
      <c r="AH16" s="1257"/>
      <c r="AI16" s="1257"/>
      <c r="AJ16" s="1257"/>
      <c r="AK16" s="1257"/>
      <c r="AL16" s="1257"/>
      <c r="AM16" s="1257"/>
      <c r="AN16" s="1257"/>
      <c r="AO16" s="1257"/>
      <c r="AP16" s="1257"/>
      <c r="AQ16" s="1257"/>
      <c r="AR16" s="1257"/>
      <c r="AS16" s="1257"/>
      <c r="AT16" s="1257"/>
      <c r="AU16" s="1257"/>
      <c r="AV16" s="1257"/>
      <c r="AW16" s="1257"/>
      <c r="AX16" s="1257"/>
      <c r="AY16" s="1257"/>
      <c r="AZ16" s="1257"/>
      <c r="BA16" s="1257"/>
      <c r="BB16" s="1257"/>
      <c r="BC16" s="1257"/>
      <c r="BD16" s="1257"/>
      <c r="BE16" s="1257"/>
      <c r="BF16" s="1257"/>
      <c r="BG16" s="1257"/>
      <c r="BH16" s="1257"/>
      <c r="BI16" s="1257"/>
      <c r="BJ16" s="1257"/>
      <c r="BK16" s="1257"/>
      <c r="BL16" s="1257"/>
      <c r="BM16" s="1257"/>
      <c r="BN16" s="1257"/>
      <c r="BO16" s="1257"/>
      <c r="BP16" s="1257"/>
      <c r="BQ16" s="1257"/>
      <c r="BR16" s="1257"/>
      <c r="BS16" s="1257"/>
      <c r="BT16" s="1257"/>
      <c r="BU16" s="1257"/>
      <c r="BV16" s="1257"/>
      <c r="BW16" s="1257"/>
      <c r="BX16" s="1257"/>
      <c r="BY16" s="1257"/>
      <c r="BZ16" s="1257"/>
      <c r="CA16" s="1257"/>
      <c r="CB16" s="1257"/>
      <c r="CC16" s="1257"/>
      <c r="CD16" s="1257"/>
      <c r="CE16" s="1257"/>
      <c r="CF16" s="1257"/>
      <c r="CG16" s="1257"/>
      <c r="CH16" s="1257"/>
      <c r="CI16" s="1257"/>
      <c r="CJ16" s="1257"/>
      <c r="CK16" s="1257"/>
      <c r="CL16" s="1257"/>
      <c r="CM16" s="1257"/>
      <c r="CN16" s="1257"/>
      <c r="CO16" s="1257"/>
      <c r="CP16" s="1257"/>
      <c r="CQ16" s="1257"/>
      <c r="CR16" s="1257"/>
      <c r="CS16" s="1257"/>
      <c r="CT16" s="1257"/>
      <c r="CU16" s="1257"/>
      <c r="CV16" s="1257"/>
      <c r="CW16" s="1257"/>
      <c r="CX16" s="1257"/>
      <c r="CY16" s="1257"/>
      <c r="CZ16" s="1257"/>
      <c r="DA16" s="1257"/>
      <c r="DB16" s="1257"/>
      <c r="DC16" s="1257"/>
      <c r="DD16" s="1257"/>
    </row>
    <row r="17" spans="1:108" ht="13.5" customHeight="1">
      <c r="A17" s="1256"/>
      <c r="B17" s="1257"/>
      <c r="C17" s="1256"/>
      <c r="D17" s="1257"/>
      <c r="E17" s="1257"/>
      <c r="F17" s="1257"/>
      <c r="G17" s="1257"/>
      <c r="H17" s="1257"/>
      <c r="I17" s="1257"/>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1257"/>
      <c r="AJ17" s="1257"/>
      <c r="AK17" s="1257"/>
      <c r="AL17" s="1257"/>
      <c r="AM17" s="1257"/>
      <c r="AN17" s="1257"/>
      <c r="AO17" s="1257"/>
      <c r="AP17" s="1257"/>
      <c r="AQ17" s="1257"/>
      <c r="AR17" s="1257"/>
      <c r="AS17" s="1257"/>
      <c r="AT17" s="1257"/>
      <c r="AU17" s="1257"/>
      <c r="AV17" s="1257"/>
      <c r="AW17" s="1257"/>
      <c r="AX17" s="1257"/>
      <c r="AY17" s="1257"/>
      <c r="AZ17" s="1257"/>
      <c r="BA17" s="1257"/>
      <c r="BB17" s="1257"/>
      <c r="BC17" s="1257"/>
      <c r="BD17" s="1257"/>
      <c r="BE17" s="1257"/>
      <c r="BF17" s="1257"/>
      <c r="BG17" s="1257"/>
      <c r="BH17" s="1257"/>
      <c r="BI17" s="1257"/>
      <c r="BJ17" s="1257"/>
      <c r="BK17" s="1257"/>
      <c r="BL17" s="1257"/>
      <c r="BM17" s="1257"/>
      <c r="BN17" s="1257"/>
      <c r="BO17" s="1257"/>
      <c r="BP17" s="1257"/>
      <c r="BQ17" s="1257"/>
      <c r="BR17" s="1257"/>
      <c r="BS17" s="1257"/>
      <c r="BT17" s="1257"/>
      <c r="BU17" s="1257"/>
      <c r="BV17" s="1257"/>
      <c r="BW17" s="1257"/>
      <c r="BX17" s="1257"/>
      <c r="BY17" s="1257"/>
      <c r="BZ17" s="1257"/>
      <c r="CA17" s="1257"/>
      <c r="CB17" s="1257"/>
      <c r="CC17" s="1257"/>
      <c r="CD17" s="1257"/>
      <c r="CE17" s="1257"/>
      <c r="CF17" s="1257"/>
      <c r="CG17" s="1257"/>
      <c r="CH17" s="1257"/>
      <c r="CI17" s="1257"/>
      <c r="CJ17" s="1257"/>
      <c r="CK17" s="1257"/>
      <c r="CL17" s="1257"/>
      <c r="CM17" s="1257"/>
      <c r="CN17" s="1257"/>
      <c r="CO17" s="1257"/>
      <c r="CP17" s="1257"/>
      <c r="CQ17" s="1257"/>
      <c r="CR17" s="1257"/>
      <c r="CS17" s="1257"/>
      <c r="CT17" s="1257"/>
      <c r="CU17" s="1257"/>
      <c r="CV17" s="1257"/>
      <c r="CW17" s="1257"/>
      <c r="CX17" s="1257"/>
      <c r="CY17" s="1257"/>
      <c r="CZ17" s="1257"/>
      <c r="DA17" s="1257"/>
      <c r="DB17" s="1257"/>
      <c r="DC17" s="1257"/>
      <c r="DD17" s="1257"/>
    </row>
    <row r="18" spans="1:108" ht="13.5" customHeight="1">
      <c r="A18" s="1256"/>
      <c r="B18" s="1257"/>
      <c r="C18" s="1256"/>
      <c r="D18" s="1257"/>
      <c r="E18" s="1257"/>
      <c r="F18" s="1257"/>
      <c r="G18" s="1257"/>
      <c r="H18" s="1257"/>
      <c r="I18" s="1257"/>
      <c r="J18" s="1257"/>
      <c r="K18" s="1257"/>
      <c r="L18" s="1257"/>
      <c r="M18" s="1257"/>
      <c r="N18" s="1257"/>
      <c r="O18" s="1257"/>
      <c r="P18" s="1257"/>
      <c r="Q18" s="1257"/>
      <c r="R18" s="1257"/>
      <c r="S18" s="1257"/>
      <c r="T18" s="1257"/>
      <c r="U18" s="1257"/>
      <c r="V18" s="1257"/>
      <c r="W18" s="1257"/>
      <c r="X18" s="1257"/>
      <c r="Y18" s="1257"/>
      <c r="Z18" s="1257"/>
      <c r="AA18" s="1257"/>
      <c r="AB18" s="1257"/>
      <c r="AC18" s="1257"/>
      <c r="AD18" s="1257"/>
      <c r="AE18" s="1257"/>
      <c r="AF18" s="1257"/>
      <c r="AG18" s="1257"/>
      <c r="AH18" s="1257"/>
      <c r="AI18" s="1257"/>
      <c r="AJ18" s="1257"/>
      <c r="AK18" s="1257"/>
      <c r="AL18" s="1257"/>
      <c r="AM18" s="1257"/>
      <c r="AN18" s="1257"/>
      <c r="AO18" s="1257"/>
      <c r="AP18" s="1257"/>
      <c r="AQ18" s="1257"/>
      <c r="AR18" s="1257"/>
      <c r="AS18" s="1257"/>
      <c r="AT18" s="1257"/>
      <c r="AU18" s="1257"/>
      <c r="AV18" s="1257"/>
      <c r="AW18" s="1257"/>
      <c r="AX18" s="1257"/>
      <c r="AY18" s="1257"/>
      <c r="AZ18" s="1257"/>
      <c r="BA18" s="1257"/>
      <c r="BB18" s="1257"/>
      <c r="BC18" s="1257"/>
      <c r="BD18" s="1257"/>
      <c r="BE18" s="1257"/>
      <c r="BF18" s="1257"/>
      <c r="BG18" s="1257"/>
      <c r="BH18" s="1257"/>
      <c r="BI18" s="1257"/>
      <c r="BJ18" s="1257"/>
      <c r="BK18" s="1257"/>
      <c r="BL18" s="1257"/>
      <c r="BM18" s="1257"/>
      <c r="BN18" s="1257"/>
      <c r="BO18" s="1257"/>
      <c r="BP18" s="1257"/>
      <c r="BQ18" s="1257"/>
      <c r="BR18" s="1257"/>
      <c r="BS18" s="1257"/>
      <c r="BT18" s="1257"/>
      <c r="BU18" s="1257"/>
      <c r="BV18" s="1257"/>
      <c r="BW18" s="1257"/>
      <c r="BX18" s="1257"/>
      <c r="BY18" s="1257"/>
      <c r="BZ18" s="1257"/>
      <c r="CA18" s="1257"/>
      <c r="CB18" s="1257"/>
      <c r="CC18" s="1257"/>
      <c r="CD18" s="1257"/>
      <c r="CE18" s="1257"/>
      <c r="CF18" s="1257"/>
      <c r="CG18" s="1257"/>
      <c r="CH18" s="1257"/>
      <c r="CI18" s="1257"/>
      <c r="CJ18" s="1257"/>
      <c r="CK18" s="1257"/>
      <c r="CL18" s="1257"/>
      <c r="CM18" s="1257"/>
      <c r="CN18" s="1257"/>
      <c r="CO18" s="1257"/>
      <c r="CP18" s="1257"/>
      <c r="CQ18" s="1257"/>
      <c r="CR18" s="1257"/>
      <c r="CS18" s="1257"/>
      <c r="CT18" s="1257"/>
      <c r="CU18" s="1257"/>
      <c r="CV18" s="1257"/>
      <c r="CW18" s="1257"/>
      <c r="CX18" s="1257"/>
      <c r="CY18" s="1257"/>
      <c r="CZ18" s="1257"/>
      <c r="DA18" s="1257"/>
      <c r="DB18" s="1257"/>
      <c r="DC18" s="1257"/>
      <c r="DD18" s="1257"/>
    </row>
    <row r="19" spans="1:108" ht="13.5" customHeight="1">
      <c r="A19" s="1256"/>
      <c r="B19" s="1257"/>
      <c r="C19" s="1256"/>
      <c r="D19" s="1257"/>
      <c r="E19" s="1257"/>
      <c r="F19" s="1257"/>
      <c r="G19" s="1257"/>
      <c r="H19" s="1257"/>
      <c r="I19" s="1257"/>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7"/>
      <c r="AJ19" s="1257"/>
      <c r="AK19" s="1257"/>
      <c r="AL19" s="1257"/>
      <c r="AM19" s="1257"/>
      <c r="AN19" s="1257"/>
      <c r="AO19" s="1257"/>
      <c r="AP19" s="1257"/>
      <c r="AQ19" s="1257"/>
      <c r="AR19" s="1257"/>
      <c r="AS19" s="1257"/>
      <c r="AT19" s="1257"/>
      <c r="AU19" s="1257"/>
      <c r="AV19" s="1257"/>
      <c r="AW19" s="1257"/>
      <c r="AX19" s="1257"/>
      <c r="AY19" s="1257"/>
      <c r="AZ19" s="1257"/>
      <c r="BA19" s="1257"/>
      <c r="BB19" s="1257"/>
      <c r="BC19" s="1257"/>
      <c r="BD19" s="1257"/>
      <c r="BE19" s="1257"/>
      <c r="BF19" s="1257"/>
      <c r="BG19" s="1257"/>
      <c r="BH19" s="1257"/>
      <c r="BI19" s="1257"/>
      <c r="BJ19" s="1257"/>
      <c r="BK19" s="1257"/>
      <c r="BL19" s="1257"/>
      <c r="BM19" s="1257"/>
      <c r="BN19" s="1257"/>
      <c r="BO19" s="1257"/>
      <c r="BP19" s="1257"/>
      <c r="BQ19" s="1257"/>
      <c r="BR19" s="1257"/>
      <c r="BS19" s="1257"/>
      <c r="BT19" s="1257"/>
      <c r="BU19" s="1257"/>
      <c r="BV19" s="1257"/>
      <c r="BW19" s="1257"/>
      <c r="BX19" s="1257"/>
      <c r="BY19" s="1257"/>
      <c r="BZ19" s="1257"/>
      <c r="CA19" s="1257"/>
      <c r="CB19" s="1257"/>
      <c r="CC19" s="1257"/>
      <c r="CD19" s="1257"/>
      <c r="CE19" s="1257"/>
      <c r="CF19" s="1257"/>
      <c r="CG19" s="1257"/>
      <c r="CH19" s="1257"/>
      <c r="CI19" s="1257"/>
      <c r="CJ19" s="1257"/>
      <c r="CK19" s="1257"/>
      <c r="CL19" s="1257"/>
      <c r="CM19" s="1257"/>
      <c r="CN19" s="1257"/>
      <c r="CO19" s="1257"/>
      <c r="CP19" s="1257"/>
      <c r="CQ19" s="1257"/>
      <c r="CR19" s="1257"/>
      <c r="CS19" s="1257"/>
      <c r="CT19" s="1257"/>
      <c r="CU19" s="1257"/>
      <c r="CV19" s="1257"/>
      <c r="CW19" s="1257"/>
      <c r="CX19" s="1257"/>
      <c r="CY19" s="1257"/>
      <c r="CZ19" s="1257"/>
      <c r="DA19" s="1257"/>
      <c r="DB19" s="1257"/>
      <c r="DC19" s="1257"/>
      <c r="DD19" s="1257"/>
    </row>
    <row r="20" spans="1:108" ht="13.5" customHeight="1">
      <c r="A20" s="1256"/>
      <c r="B20" s="1257"/>
      <c r="C20" s="1258" t="s">
        <v>4090</v>
      </c>
      <c r="D20" s="1257"/>
      <c r="E20" s="1257"/>
      <c r="F20" s="1257"/>
      <c r="G20" s="1257"/>
      <c r="H20" s="1257"/>
      <c r="I20" s="1257"/>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1257"/>
      <c r="AJ20" s="1257"/>
      <c r="AK20" s="1257"/>
      <c r="AL20" s="1257"/>
      <c r="AM20" s="1257"/>
      <c r="AN20" s="1257"/>
      <c r="AO20" s="1257"/>
      <c r="AP20" s="1257"/>
      <c r="AQ20" s="1257"/>
      <c r="AR20" s="1257"/>
      <c r="AS20" s="1257"/>
      <c r="AT20" s="1257"/>
      <c r="AU20" s="1257"/>
      <c r="AV20" s="1257"/>
      <c r="AW20" s="1257"/>
      <c r="AX20" s="1257"/>
      <c r="AY20" s="1257"/>
      <c r="AZ20" s="1257"/>
      <c r="BA20" s="1257"/>
      <c r="BB20" s="1257"/>
      <c r="BC20" s="1257"/>
      <c r="BD20" s="1257"/>
      <c r="BE20" s="1257"/>
      <c r="BF20" s="1257"/>
      <c r="BG20" s="1257"/>
      <c r="BH20" s="1257"/>
      <c r="BI20" s="1257"/>
      <c r="BJ20" s="1257"/>
      <c r="BK20" s="1257"/>
      <c r="BL20" s="1257"/>
      <c r="BM20" s="1257"/>
      <c r="BN20" s="1257"/>
      <c r="BO20" s="1257"/>
      <c r="BP20" s="1257"/>
      <c r="BQ20" s="1257"/>
      <c r="BR20" s="1257"/>
      <c r="BS20" s="1257"/>
      <c r="BT20" s="1257"/>
      <c r="BU20" s="1257"/>
      <c r="BV20" s="1257"/>
      <c r="BW20" s="1257"/>
      <c r="BX20" s="1257"/>
      <c r="BY20" s="1257"/>
      <c r="BZ20" s="1257"/>
      <c r="CA20" s="1257"/>
      <c r="CB20" s="1257"/>
      <c r="CC20" s="1257"/>
      <c r="CD20" s="1257"/>
      <c r="CE20" s="1257"/>
      <c r="CF20" s="1257"/>
      <c r="CG20" s="1257"/>
      <c r="CH20" s="1257"/>
      <c r="CI20" s="1257"/>
      <c r="CJ20" s="1257"/>
      <c r="CK20" s="1257"/>
      <c r="CL20" s="1257"/>
      <c r="CM20" s="1257"/>
      <c r="CN20" s="1257"/>
      <c r="CO20" s="1257"/>
      <c r="CP20" s="1257"/>
      <c r="CQ20" s="1257"/>
      <c r="CR20" s="1257"/>
      <c r="CS20" s="1257"/>
      <c r="CT20" s="1257"/>
      <c r="CU20" s="1257"/>
      <c r="CV20" s="1257"/>
      <c r="CW20" s="1257"/>
      <c r="CX20" s="1257"/>
      <c r="CY20" s="1257"/>
      <c r="CZ20" s="1257"/>
      <c r="DA20" s="1257"/>
      <c r="DB20" s="1257"/>
      <c r="DC20" s="1257"/>
      <c r="DD20" s="1257"/>
    </row>
    <row r="21" spans="1:108" ht="13.5" customHeight="1">
      <c r="A21" s="1256"/>
      <c r="B21" s="1257"/>
      <c r="C21" s="1256"/>
      <c r="D21" s="1257"/>
      <c r="E21" s="1257"/>
      <c r="F21" s="1257"/>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7"/>
      <c r="AK21" s="1257"/>
      <c r="AL21" s="1257"/>
      <c r="AM21" s="1257"/>
      <c r="AN21" s="1257"/>
      <c r="AO21" s="1257"/>
      <c r="AP21" s="1257"/>
      <c r="AQ21" s="1257"/>
      <c r="AR21" s="1257"/>
      <c r="AS21" s="1257"/>
      <c r="AT21" s="1257"/>
      <c r="AU21" s="1257"/>
      <c r="AV21" s="1257"/>
      <c r="AW21" s="1257"/>
      <c r="AX21" s="1257"/>
      <c r="AY21" s="1257"/>
      <c r="AZ21" s="1257"/>
      <c r="BA21" s="1257"/>
      <c r="BB21" s="1257"/>
      <c r="BC21" s="1257"/>
      <c r="BD21" s="1257"/>
      <c r="BE21" s="1257"/>
      <c r="BF21" s="1257"/>
      <c r="BG21" s="1257"/>
      <c r="BH21" s="1257"/>
      <c r="BI21" s="1257"/>
      <c r="BJ21" s="1257"/>
      <c r="BK21" s="1257"/>
      <c r="BL21" s="1257"/>
      <c r="BM21" s="1257"/>
      <c r="BN21" s="1257"/>
      <c r="BO21" s="1257"/>
      <c r="BP21" s="1257"/>
      <c r="BQ21" s="1257"/>
      <c r="BR21" s="1257"/>
      <c r="BS21" s="1257"/>
      <c r="BT21" s="1257"/>
      <c r="BU21" s="1257"/>
      <c r="BV21" s="1257"/>
      <c r="BW21" s="1257"/>
      <c r="BX21" s="1257"/>
      <c r="BY21" s="1257"/>
      <c r="BZ21" s="1257"/>
      <c r="CA21" s="1257"/>
      <c r="CB21" s="1257"/>
      <c r="CC21" s="1257"/>
      <c r="CD21" s="1257"/>
      <c r="CE21" s="1257"/>
      <c r="CF21" s="1257"/>
      <c r="CG21" s="1257"/>
      <c r="CH21" s="1257"/>
      <c r="CI21" s="1257"/>
      <c r="CJ21" s="1257"/>
      <c r="CK21" s="1257"/>
      <c r="CL21" s="1257"/>
      <c r="CM21" s="1257"/>
      <c r="CN21" s="1257"/>
      <c r="CO21" s="1257"/>
      <c r="CP21" s="1257"/>
      <c r="CQ21" s="1257"/>
      <c r="CR21" s="1257"/>
      <c r="CS21" s="1257"/>
      <c r="CT21" s="1257"/>
      <c r="CU21" s="1257"/>
      <c r="CV21" s="1257"/>
      <c r="CW21" s="1257"/>
      <c r="CX21" s="1257"/>
      <c r="CY21" s="1257"/>
      <c r="CZ21" s="1257"/>
      <c r="DA21" s="1257"/>
      <c r="DB21" s="1257"/>
      <c r="DC21" s="1257"/>
      <c r="DD21" s="1257"/>
    </row>
    <row r="22" spans="1:108" ht="13.5" customHeight="1">
      <c r="A22" s="1256"/>
      <c r="B22" s="1257"/>
      <c r="C22" s="1256"/>
      <c r="D22" s="1257"/>
      <c r="E22" s="1257"/>
      <c r="F22" s="1257"/>
      <c r="G22" s="1257"/>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c r="AL22" s="1257"/>
      <c r="AM22" s="1257"/>
      <c r="AN22" s="1257"/>
      <c r="AO22" s="1257"/>
      <c r="AP22" s="1257"/>
      <c r="AQ22" s="1257"/>
      <c r="AR22" s="1257"/>
      <c r="AS22" s="1257"/>
      <c r="AT22" s="1257"/>
      <c r="AU22" s="1257"/>
      <c r="AV22" s="1257"/>
      <c r="AW22" s="1257"/>
      <c r="AX22" s="1257"/>
      <c r="AY22" s="1257"/>
      <c r="AZ22" s="1257"/>
      <c r="BA22" s="1257"/>
      <c r="BB22" s="1257"/>
      <c r="BC22" s="1257"/>
      <c r="BD22" s="1257"/>
      <c r="BE22" s="1257"/>
      <c r="BF22" s="1257"/>
      <c r="BG22" s="1257"/>
      <c r="BH22" s="1257"/>
      <c r="BI22" s="1257"/>
      <c r="BJ22" s="1257"/>
      <c r="BK22" s="1257"/>
      <c r="BL22" s="1257"/>
      <c r="BM22" s="1257"/>
      <c r="BN22" s="1257"/>
      <c r="BO22" s="1257"/>
      <c r="BP22" s="1257"/>
      <c r="BQ22" s="1257"/>
      <c r="BR22" s="1257"/>
      <c r="BS22" s="1257"/>
      <c r="BT22" s="1257"/>
      <c r="BU22" s="1257"/>
      <c r="BV22" s="1257"/>
      <c r="BW22" s="1257"/>
      <c r="BX22" s="1257"/>
      <c r="BY22" s="1257"/>
      <c r="BZ22" s="1257"/>
      <c r="CA22" s="1257"/>
      <c r="CB22" s="1257"/>
      <c r="CC22" s="1257"/>
      <c r="CD22" s="1257"/>
      <c r="CE22" s="1257"/>
      <c r="CF22" s="1257"/>
      <c r="CG22" s="1257"/>
      <c r="CH22" s="1257"/>
      <c r="CI22" s="1257"/>
      <c r="CJ22" s="1257"/>
      <c r="CK22" s="1257"/>
      <c r="CL22" s="1257"/>
      <c r="CM22" s="1257"/>
      <c r="CN22" s="1257"/>
      <c r="CO22" s="1257"/>
      <c r="CP22" s="1257"/>
      <c r="CQ22" s="1257"/>
      <c r="CR22" s="1257"/>
      <c r="CS22" s="1257"/>
      <c r="CT22" s="1257"/>
      <c r="CU22" s="1257"/>
      <c r="CV22" s="1257"/>
      <c r="CW22" s="1257"/>
      <c r="CX22" s="1257"/>
      <c r="CY22" s="1257"/>
      <c r="CZ22" s="1257"/>
      <c r="DA22" s="1257"/>
      <c r="DB22" s="1257"/>
      <c r="DC22" s="1257"/>
      <c r="DD22" s="1257"/>
    </row>
    <row r="23" spans="1:108" ht="13.5" customHeight="1">
      <c r="A23" s="1256"/>
      <c r="B23" s="1257"/>
      <c r="C23" s="1256"/>
      <c r="D23" s="1257"/>
      <c r="E23" s="1257"/>
      <c r="F23" s="1257"/>
      <c r="G23" s="1257"/>
      <c r="H23" s="1257"/>
      <c r="I23" s="1257"/>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c r="AL23" s="1257"/>
      <c r="AM23" s="1257"/>
      <c r="AN23" s="1257"/>
      <c r="AO23" s="1257"/>
      <c r="AP23" s="1257"/>
      <c r="AQ23" s="1257"/>
      <c r="AR23" s="1257"/>
      <c r="AS23" s="1257"/>
      <c r="AT23" s="1257"/>
      <c r="AU23" s="1257"/>
      <c r="AV23" s="1257"/>
      <c r="AW23" s="1257"/>
      <c r="AX23" s="1257"/>
      <c r="AY23" s="1257"/>
      <c r="AZ23" s="1257"/>
      <c r="BA23" s="1257"/>
      <c r="BB23" s="1257"/>
      <c r="BC23" s="1257"/>
      <c r="BD23" s="1257"/>
      <c r="BE23" s="1257"/>
      <c r="BF23" s="1257"/>
      <c r="BG23" s="1257"/>
      <c r="BH23" s="1257"/>
      <c r="BI23" s="1257"/>
      <c r="BJ23" s="1257"/>
      <c r="BK23" s="1257"/>
      <c r="BL23" s="1257"/>
      <c r="BM23" s="1257"/>
      <c r="BN23" s="1257"/>
      <c r="BO23" s="1257"/>
      <c r="BP23" s="1257"/>
      <c r="BQ23" s="1257"/>
      <c r="BR23" s="1257"/>
      <c r="BS23" s="1257"/>
      <c r="BT23" s="1257"/>
      <c r="BU23" s="1257"/>
      <c r="BV23" s="1257"/>
      <c r="BW23" s="1257"/>
      <c r="BX23" s="1257"/>
      <c r="BY23" s="1257"/>
      <c r="BZ23" s="1257"/>
      <c r="CA23" s="1257"/>
      <c r="CB23" s="1257"/>
      <c r="CC23" s="1257"/>
      <c r="CD23" s="1257"/>
      <c r="CE23" s="1257"/>
      <c r="CF23" s="1257"/>
      <c r="CG23" s="1257"/>
      <c r="CH23" s="1257"/>
      <c r="CI23" s="1257"/>
      <c r="CJ23" s="1257"/>
      <c r="CK23" s="1257"/>
      <c r="CL23" s="1257"/>
      <c r="CM23" s="1257"/>
      <c r="CN23" s="1257"/>
      <c r="CO23" s="1257"/>
      <c r="CP23" s="1257"/>
      <c r="CQ23" s="1257"/>
      <c r="CR23" s="1257"/>
      <c r="CS23" s="1257"/>
      <c r="CT23" s="1257"/>
      <c r="CU23" s="1257"/>
      <c r="CV23" s="1257"/>
      <c r="CW23" s="1257"/>
      <c r="CX23" s="1257"/>
      <c r="CY23" s="1257"/>
      <c r="CZ23" s="1257"/>
      <c r="DA23" s="1257"/>
      <c r="DB23" s="1257"/>
      <c r="DC23" s="1257"/>
      <c r="DD23" s="1257"/>
    </row>
    <row r="24" spans="1:108" ht="13.5" customHeight="1">
      <c r="A24" s="1256"/>
      <c r="B24" s="1257"/>
      <c r="C24" s="1257"/>
      <c r="D24" s="1257"/>
      <c r="E24" s="1257"/>
      <c r="F24" s="1257"/>
      <c r="G24" s="1257"/>
      <c r="H24" s="1257"/>
      <c r="I24" s="1257"/>
      <c r="J24" s="1257"/>
      <c r="K24" s="1257"/>
      <c r="L24" s="1257"/>
      <c r="M24" s="1257"/>
      <c r="N24" s="1257"/>
      <c r="O24" s="1257"/>
      <c r="P24" s="1257"/>
      <c r="Q24" s="1257"/>
      <c r="R24" s="1257"/>
      <c r="S24" s="1257"/>
      <c r="T24" s="1257"/>
      <c r="U24" s="1257"/>
      <c r="V24" s="1257"/>
      <c r="W24" s="1257"/>
      <c r="X24" s="1257"/>
      <c r="Y24" s="1257"/>
      <c r="Z24" s="1257"/>
      <c r="AA24" s="1257"/>
      <c r="AB24" s="1257"/>
      <c r="AC24" s="1257"/>
      <c r="AD24" s="1257"/>
      <c r="AE24" s="1257"/>
      <c r="AF24" s="1257"/>
      <c r="AG24" s="1257"/>
      <c r="AH24" s="1257"/>
      <c r="AI24" s="1257"/>
      <c r="AJ24" s="1257"/>
      <c r="AK24" s="1257"/>
      <c r="AL24" s="1257"/>
      <c r="AM24" s="1257"/>
      <c r="AN24" s="1257"/>
      <c r="AO24" s="1257"/>
      <c r="AP24" s="1257"/>
      <c r="AQ24" s="1257"/>
      <c r="AR24" s="1257"/>
      <c r="AS24" s="1257"/>
      <c r="AT24" s="1257"/>
      <c r="AU24" s="1257"/>
      <c r="AV24" s="1257"/>
      <c r="AW24" s="1257"/>
      <c r="AX24" s="1257"/>
      <c r="AY24" s="1257"/>
      <c r="AZ24" s="1257"/>
      <c r="BA24" s="1257"/>
      <c r="BB24" s="1257"/>
      <c r="BC24" s="1257"/>
      <c r="BD24" s="1257"/>
      <c r="BE24" s="1257"/>
      <c r="BF24" s="1257"/>
      <c r="BG24" s="1257"/>
      <c r="BH24" s="1257"/>
      <c r="BI24" s="1257"/>
      <c r="BJ24" s="1257"/>
      <c r="BK24" s="1257"/>
      <c r="BL24" s="1257"/>
      <c r="BM24" s="1257"/>
      <c r="BN24" s="1257"/>
      <c r="BO24" s="1257"/>
      <c r="BP24" s="1257"/>
      <c r="BQ24" s="1257"/>
      <c r="BR24" s="1257"/>
      <c r="BS24" s="1257"/>
      <c r="BT24" s="1257"/>
      <c r="BU24" s="1257"/>
      <c r="BV24" s="1257"/>
      <c r="BW24" s="1257"/>
      <c r="BX24" s="1257"/>
      <c r="BY24" s="1257"/>
      <c r="BZ24" s="1257"/>
      <c r="CA24" s="1257"/>
      <c r="CB24" s="1257"/>
      <c r="CC24" s="1257"/>
      <c r="CD24" s="1257"/>
      <c r="CE24" s="1257"/>
      <c r="CF24" s="1257"/>
      <c r="CG24" s="1257"/>
      <c r="CH24" s="1257"/>
      <c r="CI24" s="1257"/>
      <c r="CJ24" s="1257"/>
      <c r="CK24" s="1257"/>
      <c r="CL24" s="1257"/>
      <c r="CM24" s="1257"/>
      <c r="CN24" s="1257"/>
      <c r="CO24" s="1257"/>
      <c r="CP24" s="1257"/>
      <c r="CQ24" s="1257"/>
      <c r="CR24" s="1257"/>
      <c r="CS24" s="1257"/>
      <c r="CT24" s="1257"/>
      <c r="CU24" s="1257"/>
      <c r="CV24" s="1257"/>
      <c r="CW24" s="1257"/>
      <c r="CX24" s="1257"/>
      <c r="CY24" s="1257"/>
      <c r="CZ24" s="1257"/>
      <c r="DA24" s="1257"/>
      <c r="DB24" s="1257"/>
      <c r="DC24" s="1257"/>
      <c r="DD24" s="1257"/>
    </row>
    <row r="25" spans="1:108" ht="13.5" customHeight="1">
      <c r="A25" s="1259"/>
      <c r="B25" s="1260"/>
      <c r="C25" s="1260"/>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1260"/>
      <c r="AM25" s="1260"/>
      <c r="AN25" s="1260"/>
      <c r="AO25" s="1260"/>
      <c r="AP25" s="1260"/>
      <c r="AQ25" s="1260"/>
      <c r="AR25" s="1260"/>
      <c r="AS25" s="1260"/>
      <c r="AT25" s="1260"/>
      <c r="AU25" s="1260"/>
      <c r="AV25" s="1260"/>
      <c r="AW25" s="1260"/>
      <c r="AX25" s="1260"/>
      <c r="AY25" s="1260"/>
      <c r="AZ25" s="1260"/>
      <c r="BA25" s="1260"/>
      <c r="BB25" s="1260"/>
      <c r="BC25" s="1260"/>
      <c r="BD25" s="1260"/>
      <c r="BE25" s="1260"/>
      <c r="BF25" s="1260"/>
      <c r="BG25" s="1260"/>
      <c r="BH25" s="1260"/>
      <c r="BI25" s="1260"/>
      <c r="BJ25" s="1260"/>
      <c r="BK25" s="1260"/>
      <c r="BL25" s="1260"/>
      <c r="BM25" s="1260"/>
      <c r="BN25" s="1260"/>
      <c r="BO25" s="1260"/>
      <c r="BP25" s="1260"/>
      <c r="BQ25" s="1260"/>
      <c r="BR25" s="1260"/>
      <c r="BS25" s="1260"/>
      <c r="BT25" s="1260"/>
      <c r="BU25" s="1260"/>
      <c r="BV25" s="1260"/>
      <c r="BW25" s="1260"/>
      <c r="BX25" s="1260"/>
      <c r="BY25" s="1260"/>
      <c r="BZ25" s="1260"/>
      <c r="CA25" s="1260"/>
      <c r="CB25" s="1260"/>
      <c r="CC25" s="1260"/>
      <c r="CD25" s="1260"/>
      <c r="CE25" s="1260"/>
      <c r="CF25" s="1260"/>
      <c r="CG25" s="1260"/>
      <c r="CH25" s="1260"/>
      <c r="CI25" s="1260"/>
      <c r="CJ25" s="1260"/>
      <c r="CK25" s="1260"/>
      <c r="CL25" s="1260"/>
      <c r="CM25" s="1260"/>
      <c r="CN25" s="1260"/>
      <c r="CO25" s="1260"/>
      <c r="CP25" s="1260"/>
      <c r="CQ25" s="1260"/>
      <c r="CR25" s="1260"/>
      <c r="CS25" s="1260"/>
      <c r="CT25" s="1260"/>
      <c r="CU25" s="1260"/>
      <c r="CV25" s="1260"/>
      <c r="CW25" s="1260"/>
      <c r="CX25" s="1260"/>
      <c r="CY25" s="1260"/>
      <c r="CZ25" s="1260"/>
      <c r="DA25" s="1260"/>
      <c r="DB25" s="1260"/>
      <c r="DC25" s="1260"/>
      <c r="DD25" s="1260"/>
    </row>
    <row r="26" spans="1:108" ht="13.5" customHeight="1">
      <c r="A26" s="1259"/>
      <c r="B26" s="1260"/>
      <c r="C26" s="1260"/>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1260"/>
      <c r="AM26" s="1260"/>
      <c r="AN26" s="1260"/>
      <c r="AO26" s="1260"/>
      <c r="AP26" s="1260"/>
      <c r="AQ26" s="1260"/>
      <c r="AR26" s="1260"/>
      <c r="AS26" s="1260"/>
      <c r="AT26" s="1260"/>
      <c r="AU26" s="1260"/>
      <c r="AV26" s="1260"/>
      <c r="AW26" s="1260"/>
      <c r="AX26" s="1260"/>
      <c r="AY26" s="1260"/>
      <c r="AZ26" s="1260"/>
      <c r="BA26" s="1260"/>
      <c r="BB26" s="1260"/>
      <c r="BC26" s="1260"/>
      <c r="BD26" s="1260"/>
      <c r="BE26" s="1260"/>
      <c r="BF26" s="1260"/>
      <c r="BG26" s="1260"/>
      <c r="BH26" s="1260"/>
      <c r="BI26" s="1260"/>
      <c r="BJ26" s="1260"/>
      <c r="BK26" s="1260"/>
      <c r="BL26" s="1260"/>
      <c r="BM26" s="1260"/>
      <c r="BN26" s="1260"/>
      <c r="BO26" s="1260"/>
      <c r="BP26" s="1260"/>
      <c r="BQ26" s="1260"/>
      <c r="BR26" s="1260"/>
      <c r="BS26" s="1260"/>
      <c r="BT26" s="1260"/>
      <c r="BU26" s="1260"/>
      <c r="BV26" s="1260"/>
      <c r="BW26" s="1260"/>
      <c r="BX26" s="1260"/>
      <c r="BY26" s="1260"/>
      <c r="BZ26" s="1260"/>
      <c r="CA26" s="1260"/>
      <c r="CB26" s="1260"/>
      <c r="CC26" s="1260"/>
      <c r="CD26" s="1260"/>
      <c r="CE26" s="1260"/>
      <c r="CF26" s="1260"/>
      <c r="CG26" s="1260"/>
      <c r="CH26" s="1260"/>
      <c r="CI26" s="1260"/>
      <c r="CJ26" s="1260"/>
      <c r="CK26" s="1260"/>
      <c r="CL26" s="1260"/>
      <c r="CM26" s="1260"/>
      <c r="CN26" s="1260"/>
      <c r="CO26" s="1260"/>
      <c r="CP26" s="1260"/>
      <c r="CQ26" s="1260"/>
      <c r="CR26" s="1260"/>
      <c r="CS26" s="1260"/>
      <c r="CT26" s="1260"/>
      <c r="CU26" s="1260"/>
      <c r="CV26" s="1260"/>
      <c r="CW26" s="1260"/>
      <c r="CX26" s="1260"/>
      <c r="CY26" s="1260"/>
      <c r="CZ26" s="1260"/>
      <c r="DA26" s="1260"/>
      <c r="DB26" s="1260"/>
      <c r="DC26" s="1260"/>
      <c r="DD26" s="1260"/>
    </row>
    <row r="27" spans="1:108" ht="13.5" customHeight="1">
      <c r="A27" s="1256"/>
      <c r="B27" s="1257"/>
      <c r="D27" s="1257"/>
      <c r="E27" s="1257"/>
      <c r="F27" s="1257"/>
      <c r="G27" s="1257"/>
      <c r="H27" s="1257"/>
      <c r="I27" s="1257"/>
      <c r="J27" s="1257"/>
      <c r="K27" s="1257"/>
      <c r="L27" s="1257"/>
      <c r="M27" s="1257"/>
      <c r="N27" s="1257"/>
      <c r="O27" s="1257"/>
      <c r="P27" s="1257"/>
      <c r="Q27" s="1257"/>
      <c r="R27" s="1257"/>
      <c r="S27" s="1257"/>
      <c r="T27" s="1257"/>
      <c r="U27" s="1257"/>
      <c r="V27" s="1257"/>
      <c r="W27" s="1257"/>
      <c r="X27" s="1257"/>
      <c r="Y27" s="1257"/>
      <c r="Z27" s="1257"/>
      <c r="AA27" s="1257"/>
      <c r="AB27" s="1257"/>
      <c r="AC27" s="1257"/>
      <c r="AD27" s="1257"/>
      <c r="AE27" s="1257"/>
      <c r="AF27" s="1257"/>
      <c r="AG27" s="1257"/>
      <c r="AH27" s="1257"/>
      <c r="AI27" s="1257"/>
      <c r="AJ27" s="1257"/>
      <c r="AK27" s="1257"/>
      <c r="AL27" s="1257"/>
      <c r="AM27" s="1257"/>
      <c r="AN27" s="1257"/>
      <c r="AO27" s="1257"/>
      <c r="AP27" s="1257"/>
      <c r="AQ27" s="1257"/>
      <c r="AR27" s="1257"/>
      <c r="AS27" s="1257"/>
      <c r="AT27" s="1257"/>
      <c r="AU27" s="1257"/>
      <c r="AV27" s="1257"/>
      <c r="AW27" s="1257"/>
      <c r="AX27" s="1257"/>
      <c r="AY27" s="1257"/>
      <c r="AZ27" s="1257"/>
      <c r="BA27" s="1257"/>
      <c r="BB27" s="1257"/>
      <c r="BC27" s="1257"/>
      <c r="BD27" s="1257"/>
      <c r="BE27" s="1257"/>
      <c r="BF27" s="1257"/>
      <c r="BG27" s="1257"/>
      <c r="BH27" s="1257"/>
      <c r="BI27" s="1257"/>
      <c r="BJ27" s="1257"/>
      <c r="BK27" s="1257"/>
      <c r="BL27" s="1257"/>
      <c r="BM27" s="1257"/>
      <c r="BN27" s="1257"/>
      <c r="BO27" s="1257"/>
      <c r="BP27" s="1257"/>
      <c r="BQ27" s="1257"/>
      <c r="BR27" s="1257"/>
      <c r="BS27" s="1257"/>
      <c r="BT27" s="1257"/>
      <c r="BU27" s="1257"/>
      <c r="BV27" s="1257"/>
      <c r="BW27" s="1257"/>
      <c r="BX27" s="1257"/>
      <c r="BY27" s="1257"/>
      <c r="BZ27" s="1257"/>
      <c r="CA27" s="1257"/>
      <c r="CB27" s="1257"/>
      <c r="CC27" s="1257"/>
      <c r="CD27" s="1257"/>
      <c r="CE27" s="1257"/>
      <c r="CF27" s="1257"/>
      <c r="CG27" s="1257"/>
      <c r="CH27" s="1257"/>
      <c r="CI27" s="1257"/>
      <c r="CJ27" s="1257"/>
      <c r="CK27" s="1257"/>
      <c r="CL27" s="1257"/>
      <c r="CM27" s="1257"/>
      <c r="CN27" s="1257"/>
      <c r="CO27" s="1257"/>
      <c r="CP27" s="1257"/>
      <c r="CQ27" s="1257"/>
      <c r="CR27" s="1257"/>
      <c r="CS27" s="1257"/>
      <c r="CT27" s="1257"/>
      <c r="CU27" s="1257"/>
      <c r="CV27" s="1257"/>
      <c r="CW27" s="1257"/>
      <c r="CX27" s="1257"/>
      <c r="CY27" s="1257"/>
      <c r="CZ27" s="1257"/>
      <c r="DA27" s="1257"/>
      <c r="DB27" s="1257"/>
      <c r="DC27" s="1257"/>
      <c r="DD27" s="1257"/>
    </row>
    <row r="28" spans="1:108" ht="13.5" customHeight="1">
      <c r="A28" s="1256"/>
      <c r="B28" s="1257"/>
      <c r="C28" s="1256"/>
      <c r="D28" s="1257"/>
      <c r="E28" s="1257"/>
      <c r="F28" s="1257"/>
      <c r="G28" s="1257"/>
      <c r="H28" s="1257"/>
      <c r="I28" s="1257"/>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7"/>
      <c r="AH28" s="1257"/>
      <c r="AI28" s="1257"/>
      <c r="AJ28" s="1257"/>
      <c r="AK28" s="1257"/>
      <c r="AL28" s="1257"/>
      <c r="AM28" s="1257"/>
      <c r="AN28" s="1257"/>
      <c r="AO28" s="1257"/>
      <c r="AP28" s="1257"/>
      <c r="AQ28" s="1257"/>
      <c r="AR28" s="1257"/>
      <c r="AS28" s="1257"/>
      <c r="AT28" s="1257"/>
      <c r="AU28" s="1257"/>
      <c r="AV28" s="1257"/>
      <c r="AW28" s="1257"/>
      <c r="AX28" s="1257"/>
      <c r="AY28" s="1257"/>
      <c r="AZ28" s="1257"/>
      <c r="BA28" s="1257"/>
      <c r="BB28" s="1257"/>
      <c r="BC28" s="1257"/>
      <c r="BD28" s="1257"/>
      <c r="BE28" s="1257"/>
      <c r="BF28" s="1257"/>
      <c r="BG28" s="1257"/>
      <c r="BH28" s="1257"/>
      <c r="BI28" s="1257"/>
      <c r="BJ28" s="1257"/>
      <c r="BK28" s="1257"/>
      <c r="BL28" s="1257"/>
      <c r="BM28" s="1257"/>
      <c r="BN28" s="1257"/>
      <c r="BO28" s="1257"/>
      <c r="BP28" s="1257"/>
      <c r="BQ28" s="1257"/>
      <c r="BR28" s="1257"/>
      <c r="BS28" s="1257"/>
      <c r="BT28" s="1257"/>
      <c r="BU28" s="1257"/>
      <c r="BV28" s="1257"/>
      <c r="BW28" s="1257"/>
      <c r="BX28" s="1257"/>
      <c r="BY28" s="1257"/>
      <c r="BZ28" s="1257"/>
      <c r="CA28" s="1257"/>
      <c r="CB28" s="1257"/>
      <c r="CC28" s="1257"/>
      <c r="CD28" s="1257"/>
      <c r="CE28" s="1257"/>
      <c r="CF28" s="1257"/>
      <c r="CG28" s="1257"/>
      <c r="CH28" s="1257"/>
      <c r="CI28" s="1257"/>
      <c r="CJ28" s="1257"/>
      <c r="CK28" s="1257"/>
      <c r="CL28" s="1257"/>
      <c r="CM28" s="1257"/>
      <c r="CN28" s="1257"/>
      <c r="CO28" s="1257"/>
      <c r="CP28" s="1257"/>
      <c r="CQ28" s="1257"/>
      <c r="CR28" s="1257"/>
      <c r="CS28" s="1257"/>
      <c r="CT28" s="1257"/>
      <c r="CU28" s="1257"/>
      <c r="CV28" s="1257"/>
      <c r="CW28" s="1257"/>
      <c r="CX28" s="1257"/>
      <c r="CY28" s="1257"/>
      <c r="CZ28" s="1257"/>
      <c r="DA28" s="1257"/>
      <c r="DB28" s="1257"/>
      <c r="DC28" s="1257"/>
      <c r="DD28" s="1257"/>
    </row>
    <row r="29" spans="1:108" ht="13.5" customHeight="1">
      <c r="A29" s="1256"/>
      <c r="B29" s="1257"/>
      <c r="C29" s="1256"/>
      <c r="D29" s="1257"/>
      <c r="E29" s="1257"/>
      <c r="F29" s="1257"/>
      <c r="G29" s="1257"/>
      <c r="H29" s="1257"/>
      <c r="I29" s="1257"/>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7"/>
      <c r="AH29" s="1257"/>
      <c r="AI29" s="1257"/>
      <c r="AJ29" s="1257"/>
      <c r="AK29" s="1257"/>
      <c r="AL29" s="1257"/>
      <c r="AM29" s="1257"/>
      <c r="AN29" s="1257"/>
      <c r="AO29" s="1257"/>
      <c r="AP29" s="1257"/>
      <c r="AQ29" s="1257"/>
      <c r="AR29" s="1257"/>
      <c r="AS29" s="1257"/>
      <c r="AT29" s="1257"/>
      <c r="AU29" s="1257"/>
      <c r="AV29" s="1257"/>
      <c r="AW29" s="1257"/>
      <c r="AX29" s="1257"/>
      <c r="AY29" s="1257"/>
      <c r="AZ29" s="1257"/>
      <c r="BA29" s="1257"/>
      <c r="BB29" s="1257"/>
      <c r="BC29" s="1257"/>
      <c r="BD29" s="1257"/>
      <c r="BE29" s="1257"/>
      <c r="BF29" s="1257"/>
      <c r="BG29" s="1257"/>
      <c r="BH29" s="1257"/>
      <c r="BI29" s="1257"/>
      <c r="BJ29" s="1257"/>
      <c r="BK29" s="1257"/>
      <c r="BL29" s="1257"/>
      <c r="BM29" s="1257"/>
      <c r="BN29" s="1257"/>
      <c r="BO29" s="1257"/>
      <c r="BP29" s="1257"/>
      <c r="BQ29" s="1257"/>
      <c r="BR29" s="1257"/>
      <c r="BS29" s="1257"/>
      <c r="BT29" s="1257"/>
      <c r="BU29" s="1257"/>
      <c r="BV29" s="1257"/>
      <c r="BW29" s="1257"/>
      <c r="BX29" s="1257"/>
      <c r="BY29" s="1257"/>
      <c r="BZ29" s="1257"/>
      <c r="CA29" s="1257"/>
      <c r="CB29" s="1257"/>
      <c r="CC29" s="1257"/>
      <c r="CD29" s="1257"/>
      <c r="CE29" s="1257"/>
      <c r="CF29" s="1257"/>
      <c r="CG29" s="1257"/>
      <c r="CH29" s="1257"/>
      <c r="CI29" s="1257"/>
      <c r="CJ29" s="1257"/>
      <c r="CK29" s="1257"/>
      <c r="CL29" s="1257"/>
      <c r="CM29" s="1257"/>
      <c r="CN29" s="1257"/>
      <c r="CO29" s="1257"/>
      <c r="CP29" s="1257"/>
      <c r="CQ29" s="1257"/>
      <c r="CR29" s="1257"/>
      <c r="CS29" s="1257"/>
      <c r="CT29" s="1257"/>
      <c r="CU29" s="1257"/>
      <c r="CV29" s="1257"/>
      <c r="CW29" s="1257"/>
      <c r="CX29" s="1257"/>
      <c r="CY29" s="1257"/>
      <c r="CZ29" s="1257"/>
      <c r="DA29" s="1257"/>
      <c r="DB29" s="1257"/>
      <c r="DC29" s="1257"/>
      <c r="DD29" s="1257"/>
    </row>
    <row r="30" spans="1:108" ht="13.5" customHeight="1">
      <c r="A30" s="1256"/>
      <c r="B30" s="1257"/>
      <c r="C30" s="1256"/>
      <c r="D30" s="1257"/>
      <c r="E30" s="1257"/>
      <c r="F30" s="1257"/>
      <c r="G30" s="1257"/>
      <c r="H30" s="1257"/>
      <c r="I30" s="1257"/>
      <c r="J30" s="1257"/>
      <c r="K30" s="1257"/>
      <c r="L30" s="1257"/>
      <c r="M30" s="1257"/>
      <c r="N30" s="1257"/>
      <c r="O30" s="1257"/>
      <c r="P30" s="1257"/>
      <c r="Q30" s="1257"/>
      <c r="R30" s="1257"/>
      <c r="S30" s="1257"/>
      <c r="T30" s="1257"/>
      <c r="U30" s="1257"/>
      <c r="V30" s="1257"/>
      <c r="W30" s="1257"/>
      <c r="X30" s="1257"/>
      <c r="Y30" s="1257"/>
      <c r="Z30" s="1257"/>
      <c r="AA30" s="1257"/>
      <c r="AB30" s="1257"/>
      <c r="AC30" s="1257"/>
      <c r="AD30" s="1257"/>
      <c r="AE30" s="1257"/>
      <c r="AF30" s="1257"/>
      <c r="AG30" s="1257"/>
      <c r="AH30" s="1257"/>
      <c r="AI30" s="1257"/>
      <c r="AJ30" s="1257"/>
      <c r="AK30" s="1257"/>
      <c r="AL30" s="1257"/>
      <c r="AM30" s="1257"/>
      <c r="AN30" s="1257"/>
      <c r="AO30" s="1257"/>
      <c r="AP30" s="1257"/>
      <c r="AQ30" s="1257"/>
      <c r="AR30" s="1257"/>
      <c r="AS30" s="1257"/>
      <c r="AT30" s="1257"/>
      <c r="AU30" s="1257"/>
      <c r="AV30" s="1257"/>
      <c r="AW30" s="1257"/>
      <c r="AX30" s="1257"/>
      <c r="AY30" s="1257"/>
      <c r="AZ30" s="1257"/>
      <c r="BA30" s="1257"/>
      <c r="BB30" s="1257"/>
      <c r="BC30" s="1257"/>
      <c r="BD30" s="1257"/>
      <c r="BE30" s="1257"/>
      <c r="BF30" s="1257"/>
      <c r="BG30" s="1257"/>
      <c r="BH30" s="1257"/>
      <c r="BI30" s="1257"/>
      <c r="BJ30" s="1257"/>
      <c r="BK30" s="1257"/>
      <c r="BL30" s="1257"/>
      <c r="BM30" s="1257"/>
      <c r="BN30" s="1257"/>
      <c r="BO30" s="1257"/>
      <c r="BP30" s="1257"/>
      <c r="BQ30" s="1257"/>
      <c r="BR30" s="1257"/>
      <c r="BS30" s="1257"/>
      <c r="BT30" s="1257"/>
      <c r="BU30" s="1257"/>
      <c r="BV30" s="1257"/>
      <c r="BW30" s="1257"/>
      <c r="BX30" s="1257"/>
      <c r="BY30" s="1257"/>
      <c r="BZ30" s="1257"/>
      <c r="CA30" s="1257"/>
      <c r="CB30" s="1257"/>
      <c r="CC30" s="1257"/>
      <c r="CD30" s="1257"/>
      <c r="CE30" s="1257"/>
      <c r="CF30" s="1257"/>
      <c r="CG30" s="1257"/>
      <c r="CH30" s="1257"/>
      <c r="CI30" s="1257"/>
      <c r="CJ30" s="1257"/>
      <c r="CK30" s="1257"/>
      <c r="CL30" s="1257"/>
      <c r="CM30" s="1257"/>
      <c r="CN30" s="1257"/>
      <c r="CO30" s="1257"/>
      <c r="CP30" s="1257"/>
      <c r="CQ30" s="1257"/>
      <c r="CR30" s="1257"/>
      <c r="CS30" s="1257"/>
      <c r="CT30" s="1257"/>
      <c r="CU30" s="1257"/>
      <c r="CV30" s="1257"/>
      <c r="CW30" s="1257"/>
      <c r="CX30" s="1257"/>
      <c r="CY30" s="1257"/>
      <c r="CZ30" s="1257"/>
      <c r="DA30" s="1257"/>
      <c r="DB30" s="1257"/>
      <c r="DC30" s="1257"/>
      <c r="DD30" s="1257"/>
    </row>
    <row r="31" spans="1:108" ht="13.5" customHeight="1">
      <c r="A31" s="1256"/>
      <c r="B31" s="1257"/>
      <c r="C31" s="1256"/>
      <c r="D31" s="1257"/>
      <c r="E31" s="1257"/>
      <c r="F31" s="1257"/>
      <c r="G31" s="1257"/>
      <c r="H31" s="1257"/>
      <c r="I31" s="1257"/>
      <c r="J31" s="1257"/>
      <c r="K31" s="1257"/>
      <c r="L31" s="1257"/>
      <c r="M31" s="1257"/>
      <c r="N31" s="1257"/>
      <c r="O31" s="1257"/>
      <c r="P31" s="1257"/>
      <c r="Q31" s="1257"/>
      <c r="R31" s="1257"/>
      <c r="S31" s="1257"/>
      <c r="T31" s="1257"/>
      <c r="U31" s="1257"/>
      <c r="V31" s="1257"/>
      <c r="W31" s="1257"/>
      <c r="X31" s="1257"/>
      <c r="Y31" s="1257"/>
      <c r="Z31" s="1257"/>
      <c r="AA31" s="1257"/>
      <c r="AB31" s="1257"/>
      <c r="AC31" s="1257"/>
      <c r="AD31" s="1257"/>
      <c r="AE31" s="1257"/>
      <c r="AF31" s="1257"/>
      <c r="AG31" s="1257"/>
      <c r="AH31" s="1257"/>
      <c r="AI31" s="1257"/>
      <c r="AJ31" s="1257"/>
      <c r="AK31" s="1257"/>
      <c r="AL31" s="1257"/>
      <c r="AM31" s="1257"/>
      <c r="AN31" s="1257"/>
      <c r="AO31" s="1257"/>
      <c r="AP31" s="1257"/>
      <c r="AQ31" s="1257"/>
      <c r="AR31" s="1257"/>
      <c r="AS31" s="1257"/>
      <c r="AT31" s="1257"/>
      <c r="AU31" s="1257"/>
      <c r="AV31" s="1257"/>
      <c r="AW31" s="1257"/>
      <c r="AX31" s="1257"/>
      <c r="AY31" s="1257"/>
      <c r="AZ31" s="1257"/>
      <c r="BA31" s="1257"/>
      <c r="BB31" s="1257"/>
      <c r="BC31" s="1257"/>
      <c r="BD31" s="1257"/>
      <c r="BE31" s="1257"/>
      <c r="BF31" s="1257"/>
      <c r="BG31" s="1257"/>
      <c r="BH31" s="1257"/>
      <c r="BI31" s="1257"/>
      <c r="BJ31" s="1257"/>
      <c r="BK31" s="1257"/>
      <c r="BL31" s="1257"/>
      <c r="BM31" s="1257"/>
      <c r="BN31" s="1257"/>
      <c r="BO31" s="1257"/>
      <c r="BP31" s="1257"/>
      <c r="BQ31" s="1257"/>
      <c r="BR31" s="1257"/>
      <c r="BS31" s="1257"/>
      <c r="BT31" s="1257"/>
      <c r="BU31" s="1257"/>
      <c r="BV31" s="1257"/>
      <c r="BW31" s="1257"/>
      <c r="BX31" s="1257"/>
      <c r="BY31" s="1257"/>
      <c r="BZ31" s="1257"/>
      <c r="CA31" s="1257"/>
      <c r="CB31" s="1257"/>
      <c r="CC31" s="1257"/>
      <c r="CD31" s="1257"/>
      <c r="CE31" s="1257"/>
      <c r="CF31" s="1257"/>
      <c r="CG31" s="1257"/>
      <c r="CH31" s="1257"/>
      <c r="CI31" s="1257"/>
      <c r="CJ31" s="1257"/>
      <c r="CK31" s="1257"/>
      <c r="CL31" s="1257"/>
      <c r="CM31" s="1257"/>
      <c r="CN31" s="1257"/>
      <c r="CO31" s="1257"/>
      <c r="CP31" s="1257"/>
      <c r="CQ31" s="1257"/>
      <c r="CR31" s="1257"/>
      <c r="CS31" s="1257"/>
      <c r="CT31" s="1257"/>
      <c r="CU31" s="1257"/>
      <c r="CV31" s="1257"/>
      <c r="CW31" s="1257"/>
      <c r="CX31" s="1257"/>
      <c r="CY31" s="1257"/>
      <c r="CZ31" s="1257"/>
      <c r="DA31" s="1257"/>
      <c r="DB31" s="1257"/>
      <c r="DC31" s="1257"/>
      <c r="DD31" s="1257"/>
    </row>
    <row r="32" spans="1:108" ht="13.5" customHeight="1">
      <c r="A32" s="1256"/>
      <c r="B32" s="1257"/>
      <c r="C32" s="1256"/>
      <c r="D32" s="1257"/>
      <c r="E32" s="1257"/>
      <c r="F32" s="1257"/>
      <c r="G32" s="1257"/>
      <c r="H32" s="1257"/>
      <c r="I32" s="1257"/>
      <c r="J32" s="1257"/>
      <c r="K32" s="1257"/>
      <c r="L32" s="1257"/>
      <c r="M32" s="1257"/>
      <c r="N32" s="1257"/>
      <c r="O32" s="1257"/>
      <c r="P32" s="1257"/>
      <c r="Q32" s="1257"/>
      <c r="R32" s="1257"/>
      <c r="S32" s="1257"/>
      <c r="T32" s="1257"/>
      <c r="U32" s="1257"/>
      <c r="V32" s="1257"/>
      <c r="W32" s="1257"/>
      <c r="X32" s="1257"/>
      <c r="Y32" s="1257"/>
      <c r="Z32" s="1257"/>
      <c r="AA32" s="1257"/>
      <c r="AB32" s="1257"/>
      <c r="AC32" s="1257"/>
      <c r="AD32" s="1257"/>
      <c r="AE32" s="1257"/>
      <c r="AF32" s="1257"/>
      <c r="AG32" s="1257"/>
      <c r="AH32" s="1257"/>
      <c r="AI32" s="1257"/>
      <c r="AJ32" s="1257"/>
      <c r="AK32" s="1257"/>
      <c r="AL32" s="1257"/>
      <c r="AM32" s="1257"/>
      <c r="AN32" s="1257"/>
      <c r="AO32" s="1257"/>
      <c r="AP32" s="1257"/>
      <c r="AQ32" s="1257"/>
      <c r="AR32" s="1257"/>
      <c r="AS32" s="1257"/>
      <c r="AT32" s="1257"/>
      <c r="AU32" s="1257"/>
      <c r="AV32" s="1257"/>
      <c r="AW32" s="1257"/>
      <c r="AX32" s="1257"/>
      <c r="AY32" s="1257"/>
      <c r="AZ32" s="1257"/>
      <c r="BA32" s="1257"/>
      <c r="BB32" s="1257"/>
      <c r="BC32" s="1257"/>
      <c r="BD32" s="1257"/>
      <c r="BE32" s="1257"/>
      <c r="BF32" s="1257"/>
      <c r="BG32" s="1257"/>
      <c r="BH32" s="1257"/>
      <c r="BI32" s="1257"/>
      <c r="BJ32" s="1257"/>
      <c r="BK32" s="1257"/>
      <c r="BL32" s="1257"/>
      <c r="BM32" s="1257"/>
      <c r="BN32" s="1257"/>
      <c r="BO32" s="1257"/>
      <c r="BP32" s="1257"/>
      <c r="BQ32" s="1257"/>
      <c r="BR32" s="1257"/>
      <c r="BS32" s="1257"/>
      <c r="BT32" s="1257"/>
      <c r="BU32" s="1257"/>
      <c r="BV32" s="1257"/>
      <c r="BW32" s="1257"/>
      <c r="BX32" s="1257"/>
      <c r="BY32" s="1257"/>
      <c r="BZ32" s="1257"/>
      <c r="CA32" s="1257"/>
      <c r="CB32" s="1257"/>
      <c r="CC32" s="1257"/>
      <c r="CD32" s="1257"/>
      <c r="CE32" s="1257"/>
      <c r="CF32" s="1257"/>
      <c r="CG32" s="1257"/>
      <c r="CH32" s="1257"/>
      <c r="CI32" s="1257"/>
      <c r="CJ32" s="1257"/>
      <c r="CK32" s="1257"/>
      <c r="CL32" s="1257"/>
      <c r="CM32" s="1257"/>
      <c r="CN32" s="1257"/>
      <c r="CO32" s="1257"/>
      <c r="CP32" s="1257"/>
      <c r="CQ32" s="1257"/>
      <c r="CR32" s="1257"/>
      <c r="CS32" s="1257"/>
      <c r="CT32" s="1257"/>
      <c r="CU32" s="1257"/>
      <c r="CV32" s="1257"/>
      <c r="CW32" s="1257"/>
      <c r="CX32" s="1257"/>
      <c r="CY32" s="1257"/>
      <c r="CZ32" s="1257"/>
      <c r="DA32" s="1257"/>
      <c r="DB32" s="1257"/>
      <c r="DC32" s="1257"/>
      <c r="DD32" s="1257"/>
    </row>
    <row r="33" spans="1:108" ht="13.5" customHeight="1">
      <c r="A33" s="1256"/>
      <c r="B33" s="1257"/>
      <c r="C33" s="1256"/>
      <c r="D33" s="1257"/>
      <c r="E33" s="1257"/>
      <c r="F33" s="1257"/>
      <c r="G33" s="1257"/>
      <c r="H33" s="1257"/>
      <c r="I33" s="1257"/>
      <c r="J33" s="1257"/>
      <c r="K33" s="1257"/>
      <c r="L33" s="1257"/>
      <c r="M33" s="1257"/>
      <c r="N33" s="1257"/>
      <c r="O33" s="1257"/>
      <c r="P33" s="1257"/>
      <c r="Q33" s="1257"/>
      <c r="R33" s="1257"/>
      <c r="S33" s="1257"/>
      <c r="T33" s="1257"/>
      <c r="U33" s="1257"/>
      <c r="V33" s="1257"/>
      <c r="W33" s="1257"/>
      <c r="X33" s="1257"/>
      <c r="Y33" s="1257"/>
      <c r="Z33" s="1257"/>
      <c r="AA33" s="1257"/>
      <c r="AB33" s="1257"/>
      <c r="AC33" s="1257"/>
      <c r="AD33" s="1257"/>
      <c r="AE33" s="1257"/>
      <c r="AF33" s="1257"/>
      <c r="AG33" s="1257"/>
      <c r="AH33" s="1257"/>
      <c r="AI33" s="1257"/>
      <c r="AJ33" s="1257"/>
      <c r="AK33" s="1257"/>
      <c r="AL33" s="1257"/>
      <c r="AM33" s="1257"/>
      <c r="AN33" s="1257"/>
      <c r="AO33" s="1257"/>
      <c r="AP33" s="1257"/>
      <c r="AQ33" s="1257"/>
      <c r="AR33" s="1257"/>
      <c r="AS33" s="1257"/>
      <c r="AT33" s="1257"/>
      <c r="AU33" s="1257"/>
      <c r="AV33" s="1257"/>
      <c r="AW33" s="1257"/>
      <c r="AX33" s="1257"/>
      <c r="AY33" s="1257"/>
      <c r="AZ33" s="1257"/>
      <c r="BA33" s="1257"/>
      <c r="BB33" s="1257"/>
      <c r="BC33" s="1257"/>
      <c r="BD33" s="1257"/>
      <c r="BE33" s="1257"/>
      <c r="BF33" s="1257"/>
      <c r="BG33" s="1257"/>
      <c r="BH33" s="1257"/>
      <c r="BI33" s="1257"/>
      <c r="BJ33" s="1257"/>
      <c r="BK33" s="1257"/>
      <c r="BL33" s="1257"/>
      <c r="BM33" s="1257"/>
      <c r="BN33" s="1257"/>
      <c r="BO33" s="1257"/>
      <c r="BP33" s="1257"/>
      <c r="BQ33" s="1257"/>
      <c r="BR33" s="1257"/>
      <c r="BS33" s="1257"/>
      <c r="BT33" s="1257"/>
      <c r="BU33" s="1257"/>
      <c r="BV33" s="1257"/>
      <c r="BW33" s="1257"/>
      <c r="BX33" s="1257"/>
      <c r="BY33" s="1257"/>
      <c r="BZ33" s="1257"/>
      <c r="CA33" s="1257"/>
      <c r="CB33" s="1257"/>
      <c r="CC33" s="1257"/>
      <c r="CD33" s="1257"/>
      <c r="CE33" s="1257"/>
      <c r="CF33" s="1257"/>
      <c r="CG33" s="1257"/>
      <c r="CH33" s="1257"/>
      <c r="CI33" s="1257"/>
      <c r="CJ33" s="1257"/>
      <c r="CK33" s="1257"/>
      <c r="CL33" s="1257"/>
      <c r="CM33" s="1257"/>
      <c r="CN33" s="1257"/>
      <c r="CO33" s="1257"/>
      <c r="CP33" s="1257"/>
      <c r="CQ33" s="1257"/>
      <c r="CR33" s="1257"/>
      <c r="CS33" s="1257"/>
      <c r="CT33" s="1257"/>
      <c r="CU33" s="1257"/>
      <c r="CV33" s="1257"/>
      <c r="CW33" s="1257"/>
      <c r="CX33" s="1257"/>
      <c r="CY33" s="1257"/>
      <c r="CZ33" s="1257"/>
      <c r="DA33" s="1257"/>
      <c r="DB33" s="1257"/>
      <c r="DC33" s="1257"/>
      <c r="DD33" s="1257"/>
    </row>
    <row r="34" spans="1:108" ht="13.5" customHeight="1">
      <c r="A34" s="1256"/>
      <c r="B34" s="1257"/>
      <c r="C34" s="1256"/>
      <c r="D34" s="1257"/>
      <c r="E34" s="1257"/>
      <c r="F34" s="1257"/>
      <c r="G34" s="1257"/>
      <c r="H34" s="1257"/>
      <c r="I34" s="1257"/>
      <c r="J34" s="1257"/>
      <c r="K34" s="1257"/>
      <c r="L34" s="1257"/>
      <c r="M34" s="1257"/>
      <c r="N34" s="1257"/>
      <c r="O34" s="1257"/>
      <c r="P34" s="1257"/>
      <c r="Q34" s="1257"/>
      <c r="R34" s="1257"/>
      <c r="S34" s="1257"/>
      <c r="T34" s="1257"/>
      <c r="U34" s="1257"/>
      <c r="V34" s="1257"/>
      <c r="W34" s="1257"/>
      <c r="X34" s="1257"/>
      <c r="Y34" s="1257"/>
      <c r="Z34" s="1257"/>
      <c r="AA34" s="1257"/>
      <c r="AB34" s="1257"/>
      <c r="AC34" s="1257"/>
      <c r="AD34" s="1257"/>
      <c r="AE34" s="1257"/>
      <c r="AF34" s="1257"/>
      <c r="AG34" s="1257"/>
      <c r="AH34" s="1257"/>
      <c r="AI34" s="1257"/>
      <c r="AJ34" s="1257"/>
      <c r="AK34" s="1257"/>
      <c r="AL34" s="1257"/>
      <c r="AM34" s="1257"/>
      <c r="AN34" s="1257"/>
      <c r="AO34" s="1257"/>
      <c r="AP34" s="1257"/>
      <c r="AQ34" s="1257"/>
      <c r="AR34" s="1257"/>
      <c r="AS34" s="1257"/>
      <c r="AT34" s="1257"/>
      <c r="AU34" s="1257"/>
      <c r="AV34" s="1257"/>
      <c r="AW34" s="1257"/>
      <c r="AX34" s="1257"/>
      <c r="AY34" s="1257"/>
      <c r="AZ34" s="1257"/>
      <c r="BA34" s="1257"/>
      <c r="BB34" s="1257"/>
      <c r="BC34" s="1257"/>
      <c r="BD34" s="1257"/>
      <c r="BE34" s="1257"/>
      <c r="BF34" s="1257"/>
      <c r="BG34" s="1257"/>
      <c r="BH34" s="1257"/>
      <c r="BI34" s="1257"/>
      <c r="BJ34" s="1257"/>
      <c r="BK34" s="1257"/>
      <c r="BL34" s="1257"/>
      <c r="BM34" s="1257"/>
      <c r="BN34" s="1257"/>
      <c r="BO34" s="1257"/>
      <c r="BP34" s="1257"/>
      <c r="BQ34" s="1257"/>
      <c r="BR34" s="1257"/>
      <c r="BS34" s="1257"/>
      <c r="BT34" s="1257"/>
      <c r="BU34" s="1257"/>
      <c r="BV34" s="1257"/>
      <c r="BW34" s="1257"/>
      <c r="BX34" s="1257"/>
      <c r="BY34" s="1257"/>
      <c r="BZ34" s="1257"/>
      <c r="CA34" s="1257"/>
      <c r="CB34" s="1257"/>
      <c r="CC34" s="1257"/>
      <c r="CD34" s="1257"/>
      <c r="CE34" s="1257"/>
      <c r="CF34" s="1257"/>
      <c r="CG34" s="1257"/>
      <c r="CH34" s="1257"/>
      <c r="CI34" s="1257"/>
      <c r="CJ34" s="1257"/>
      <c r="CK34" s="1257"/>
      <c r="CL34" s="1257"/>
      <c r="CM34" s="1257"/>
      <c r="CN34" s="1257"/>
      <c r="CO34" s="1257"/>
      <c r="CP34" s="1257"/>
      <c r="CQ34" s="1257"/>
      <c r="CR34" s="1257"/>
      <c r="CS34" s="1257"/>
      <c r="CT34" s="1257"/>
      <c r="CU34" s="1257"/>
      <c r="CV34" s="1257"/>
      <c r="CW34" s="1257"/>
      <c r="CX34" s="1257"/>
      <c r="CY34" s="1257"/>
      <c r="CZ34" s="1257"/>
      <c r="DA34" s="1257"/>
      <c r="DB34" s="1257"/>
      <c r="DC34" s="1257"/>
      <c r="DD34" s="1257"/>
    </row>
    <row r="35" spans="1:108" ht="13.5" customHeight="1">
      <c r="A35" s="1256"/>
      <c r="B35" s="1257"/>
      <c r="C35" s="1256"/>
      <c r="D35" s="1257"/>
      <c r="E35" s="1257"/>
      <c r="F35" s="1257"/>
      <c r="G35" s="1257"/>
      <c r="H35" s="1257"/>
      <c r="I35" s="1257"/>
      <c r="J35" s="1257"/>
      <c r="K35" s="1257"/>
      <c r="L35" s="1257"/>
      <c r="M35" s="1257"/>
      <c r="N35" s="1257"/>
      <c r="O35" s="1257"/>
      <c r="P35" s="1257"/>
      <c r="Q35" s="1257"/>
      <c r="R35" s="1257"/>
      <c r="S35" s="1257"/>
      <c r="T35" s="1257"/>
      <c r="U35" s="1257"/>
      <c r="V35" s="1257"/>
      <c r="W35" s="1257"/>
      <c r="X35" s="1257"/>
      <c r="Y35" s="1257"/>
      <c r="Z35" s="1257"/>
      <c r="AA35" s="1257"/>
      <c r="AB35" s="1257"/>
      <c r="AC35" s="1257"/>
      <c r="AD35" s="1257"/>
      <c r="AE35" s="1257"/>
      <c r="AF35" s="1257"/>
      <c r="AG35" s="1257"/>
      <c r="AH35" s="1257"/>
      <c r="AI35" s="1257"/>
      <c r="AJ35" s="1257"/>
      <c r="AK35" s="1257"/>
      <c r="AL35" s="1257"/>
      <c r="AM35" s="1257"/>
      <c r="AN35" s="1257"/>
      <c r="AO35" s="1257"/>
      <c r="AP35" s="1257"/>
      <c r="AQ35" s="1257"/>
      <c r="AR35" s="1257"/>
      <c r="AS35" s="1257"/>
      <c r="AT35" s="1257"/>
      <c r="AU35" s="1257"/>
      <c r="AV35" s="1257"/>
      <c r="AW35" s="1257"/>
      <c r="AX35" s="1257"/>
      <c r="AY35" s="1257"/>
      <c r="AZ35" s="1257"/>
      <c r="BA35" s="1257"/>
      <c r="BB35" s="1257"/>
      <c r="BC35" s="1257"/>
      <c r="BD35" s="1257"/>
      <c r="BE35" s="1257"/>
      <c r="BF35" s="1257"/>
      <c r="BG35" s="1257"/>
      <c r="BH35" s="1257"/>
      <c r="BI35" s="1257"/>
      <c r="BJ35" s="1257"/>
      <c r="BK35" s="1257"/>
      <c r="BL35" s="1257"/>
      <c r="BM35" s="1257"/>
      <c r="BN35" s="1257"/>
      <c r="BO35" s="1257"/>
      <c r="BP35" s="1257"/>
      <c r="BQ35" s="1257"/>
      <c r="BR35" s="1257"/>
      <c r="BS35" s="1257"/>
      <c r="BT35" s="1257"/>
      <c r="BU35" s="1257"/>
      <c r="BV35" s="1257"/>
      <c r="BW35" s="1257"/>
      <c r="BX35" s="1257"/>
      <c r="BY35" s="1257"/>
      <c r="BZ35" s="1257"/>
      <c r="CA35" s="1257"/>
      <c r="CB35" s="1257"/>
      <c r="CC35" s="1257"/>
      <c r="CD35" s="1257"/>
      <c r="CE35" s="1257"/>
      <c r="CF35" s="1257"/>
      <c r="CG35" s="1257"/>
      <c r="CH35" s="1257"/>
      <c r="CI35" s="1257"/>
      <c r="CJ35" s="1257"/>
      <c r="CK35" s="1257"/>
      <c r="CL35" s="1257"/>
      <c r="CM35" s="1257"/>
      <c r="CN35" s="1257"/>
      <c r="CO35" s="1257"/>
      <c r="CP35" s="1257"/>
      <c r="CQ35" s="1257"/>
      <c r="CR35" s="1257"/>
      <c r="CS35" s="1257"/>
      <c r="CT35" s="1257"/>
      <c r="CU35" s="1257"/>
      <c r="CV35" s="1257"/>
      <c r="CW35" s="1257"/>
      <c r="CX35" s="1257"/>
      <c r="CY35" s="1257"/>
      <c r="CZ35" s="1257"/>
      <c r="DA35" s="1257"/>
      <c r="DB35" s="1257"/>
      <c r="DC35" s="1257"/>
      <c r="DD35" s="1257"/>
    </row>
    <row r="36" spans="1:108" ht="13.5" customHeight="1">
      <c r="A36" s="1256"/>
      <c r="B36" s="1257"/>
      <c r="C36" s="1256"/>
      <c r="D36" s="1257"/>
      <c r="E36" s="1257"/>
      <c r="F36" s="1257"/>
      <c r="G36" s="1257"/>
      <c r="H36" s="1257"/>
      <c r="I36" s="1257"/>
      <c r="J36" s="1257"/>
      <c r="K36" s="1257"/>
      <c r="L36" s="1257"/>
      <c r="M36" s="1257"/>
      <c r="N36" s="1257"/>
      <c r="O36" s="1257"/>
      <c r="P36" s="1257"/>
      <c r="Q36" s="1257"/>
      <c r="R36" s="1257"/>
      <c r="S36" s="1257"/>
      <c r="T36" s="1257"/>
      <c r="U36" s="1257"/>
      <c r="V36" s="1257"/>
      <c r="W36" s="1257"/>
      <c r="X36" s="1257"/>
      <c r="Y36" s="1257"/>
      <c r="Z36" s="1257"/>
      <c r="AA36" s="1257"/>
      <c r="AB36" s="1257"/>
      <c r="AC36" s="1257"/>
      <c r="AD36" s="1257"/>
      <c r="AE36" s="1257"/>
      <c r="AF36" s="1257"/>
      <c r="AG36" s="1257"/>
      <c r="AH36" s="1257"/>
      <c r="AI36" s="1257"/>
      <c r="AJ36" s="1257"/>
      <c r="AK36" s="1257"/>
      <c r="AL36" s="1257"/>
      <c r="AM36" s="1257"/>
      <c r="AN36" s="1257"/>
      <c r="AO36" s="1257"/>
      <c r="AP36" s="1257"/>
      <c r="AQ36" s="1257"/>
      <c r="AR36" s="1257"/>
      <c r="AS36" s="1257"/>
      <c r="AT36" s="1257"/>
      <c r="AU36" s="1257"/>
      <c r="AV36" s="1257"/>
      <c r="AW36" s="1257"/>
      <c r="AX36" s="1257"/>
      <c r="AY36" s="1257"/>
      <c r="AZ36" s="1257"/>
      <c r="BA36" s="1257"/>
      <c r="BB36" s="1257"/>
      <c r="BC36" s="1257"/>
      <c r="BD36" s="1257"/>
      <c r="BE36" s="1257"/>
      <c r="BF36" s="1257"/>
      <c r="BG36" s="1257"/>
      <c r="BH36" s="1257"/>
      <c r="BI36" s="1257"/>
      <c r="BJ36" s="1257"/>
      <c r="BK36" s="1257"/>
      <c r="BL36" s="1257"/>
      <c r="BM36" s="1257"/>
      <c r="BN36" s="1257"/>
      <c r="BO36" s="1257"/>
      <c r="BP36" s="1257"/>
      <c r="BQ36" s="1257"/>
      <c r="BR36" s="1257"/>
      <c r="BS36" s="1257"/>
      <c r="BT36" s="1257"/>
      <c r="BU36" s="1257"/>
      <c r="BV36" s="1257"/>
      <c r="BW36" s="1257"/>
      <c r="BX36" s="1257"/>
      <c r="BY36" s="1257"/>
      <c r="BZ36" s="1257"/>
      <c r="CA36" s="1257"/>
      <c r="CB36" s="1257"/>
      <c r="CC36" s="1257"/>
      <c r="CD36" s="1257"/>
      <c r="CE36" s="1257"/>
      <c r="CF36" s="1257"/>
      <c r="CG36" s="1257"/>
      <c r="CH36" s="1257"/>
      <c r="CI36" s="1257"/>
      <c r="CJ36" s="1257"/>
      <c r="CK36" s="1257"/>
      <c r="CL36" s="1257"/>
      <c r="CM36" s="1257"/>
      <c r="CN36" s="1257"/>
      <c r="CO36" s="1257"/>
      <c r="CP36" s="1257"/>
      <c r="CQ36" s="1257"/>
      <c r="CR36" s="1257"/>
      <c r="CS36" s="1257"/>
      <c r="CT36" s="1257"/>
      <c r="CU36" s="1257"/>
      <c r="CV36" s="1257"/>
      <c r="CW36" s="1257"/>
      <c r="CX36" s="1257"/>
      <c r="CY36" s="1257"/>
      <c r="CZ36" s="1257"/>
      <c r="DA36" s="1257"/>
      <c r="DB36" s="1257"/>
      <c r="DC36" s="1257"/>
      <c r="DD36" s="1257"/>
    </row>
    <row r="37" spans="1:108" ht="13.5" customHeight="1">
      <c r="A37" s="1256"/>
      <c r="B37" s="1257"/>
      <c r="C37" s="1256"/>
      <c r="D37" s="1257"/>
      <c r="E37" s="1257"/>
      <c r="F37" s="1257"/>
      <c r="G37" s="1257"/>
      <c r="H37" s="1257"/>
      <c r="I37" s="1257"/>
      <c r="J37" s="1257"/>
      <c r="K37" s="1257"/>
      <c r="L37" s="1257"/>
      <c r="M37" s="1257"/>
      <c r="N37" s="1257"/>
      <c r="O37" s="1257"/>
      <c r="P37" s="1257"/>
      <c r="Q37" s="1257"/>
      <c r="R37" s="1257"/>
      <c r="S37" s="1257"/>
      <c r="T37" s="1257"/>
      <c r="U37" s="1257"/>
      <c r="V37" s="1257"/>
      <c r="W37" s="1257"/>
      <c r="X37" s="1257"/>
      <c r="Y37" s="1257"/>
      <c r="Z37" s="1257"/>
      <c r="AA37" s="1257"/>
      <c r="AB37" s="1257"/>
      <c r="AC37" s="1257"/>
      <c r="AD37" s="1257"/>
      <c r="AE37" s="1257"/>
      <c r="AF37" s="1257"/>
      <c r="AG37" s="1257"/>
      <c r="AH37" s="1257"/>
      <c r="AI37" s="1257"/>
      <c r="AJ37" s="1257"/>
      <c r="AK37" s="1257"/>
      <c r="AL37" s="1257"/>
      <c r="AM37" s="1257"/>
      <c r="AN37" s="1257"/>
      <c r="AO37" s="1257"/>
      <c r="AP37" s="1257"/>
      <c r="AQ37" s="1257"/>
      <c r="AR37" s="1257"/>
      <c r="AS37" s="1257"/>
      <c r="AT37" s="1257"/>
      <c r="AU37" s="1257"/>
      <c r="AV37" s="1257"/>
      <c r="AW37" s="1257"/>
      <c r="AX37" s="1257"/>
      <c r="AY37" s="1257"/>
      <c r="AZ37" s="1257"/>
      <c r="BA37" s="1257"/>
      <c r="BB37" s="1257"/>
      <c r="BC37" s="1257"/>
      <c r="BD37" s="1257"/>
      <c r="BE37" s="1257"/>
      <c r="BF37" s="1257"/>
      <c r="BG37" s="1257"/>
      <c r="BH37" s="1257"/>
      <c r="BI37" s="1257"/>
      <c r="BJ37" s="1257"/>
      <c r="BK37" s="1257"/>
      <c r="BL37" s="1257"/>
      <c r="BM37" s="1257"/>
      <c r="BN37" s="1257"/>
      <c r="BO37" s="1257"/>
      <c r="BP37" s="1257"/>
      <c r="BQ37" s="1257"/>
      <c r="BR37" s="1257"/>
      <c r="BS37" s="1257"/>
      <c r="BT37" s="1257"/>
      <c r="BU37" s="1257"/>
      <c r="BV37" s="1257"/>
      <c r="BW37" s="1257"/>
      <c r="BX37" s="1257"/>
      <c r="BY37" s="1257"/>
      <c r="BZ37" s="1257"/>
      <c r="CA37" s="1257"/>
      <c r="CB37" s="1257"/>
      <c r="CC37" s="1257"/>
      <c r="CD37" s="1257"/>
      <c r="CE37" s="1257"/>
      <c r="CF37" s="1257"/>
      <c r="CG37" s="1257"/>
      <c r="CH37" s="1257"/>
      <c r="CI37" s="1257"/>
      <c r="CJ37" s="1257"/>
      <c r="CK37" s="1257"/>
      <c r="CL37" s="1257"/>
      <c r="CM37" s="1257"/>
      <c r="CN37" s="1257"/>
      <c r="CO37" s="1257"/>
      <c r="CP37" s="1257"/>
      <c r="CQ37" s="1257"/>
      <c r="CR37" s="1257"/>
      <c r="CS37" s="1257"/>
      <c r="CT37" s="1257"/>
      <c r="CU37" s="1257"/>
      <c r="CV37" s="1257"/>
      <c r="CW37" s="1257"/>
      <c r="CX37" s="1257"/>
      <c r="CY37" s="1257"/>
      <c r="CZ37" s="1257"/>
      <c r="DA37" s="1257"/>
      <c r="DB37" s="1257"/>
      <c r="DC37" s="1257"/>
      <c r="DD37" s="1257"/>
    </row>
    <row r="38" spans="1:108" ht="13.5" customHeight="1">
      <c r="A38" s="1256"/>
      <c r="B38" s="1257"/>
      <c r="C38" s="1256"/>
      <c r="D38" s="1257"/>
      <c r="E38" s="1257"/>
      <c r="F38" s="1257"/>
      <c r="G38" s="1257"/>
      <c r="H38" s="1257"/>
      <c r="I38" s="1257"/>
      <c r="J38" s="1257"/>
      <c r="K38" s="1257"/>
      <c r="L38" s="1257"/>
      <c r="M38" s="1257"/>
      <c r="N38" s="1257"/>
      <c r="O38" s="1257"/>
      <c r="P38" s="1257"/>
      <c r="Q38" s="1257"/>
      <c r="R38" s="1257"/>
      <c r="S38" s="1257"/>
      <c r="T38" s="1257"/>
      <c r="U38" s="1257"/>
      <c r="V38" s="1257"/>
      <c r="W38" s="1257"/>
      <c r="X38" s="1257"/>
      <c r="Y38" s="1257"/>
      <c r="Z38" s="1257"/>
      <c r="AA38" s="1257"/>
      <c r="AB38" s="1257"/>
      <c r="AC38" s="1257"/>
      <c r="AD38" s="1257"/>
      <c r="AE38" s="1257"/>
      <c r="AF38" s="1257"/>
      <c r="AG38" s="1257"/>
      <c r="AH38" s="1257"/>
      <c r="AI38" s="1257"/>
      <c r="AJ38" s="1257"/>
      <c r="AK38" s="1257"/>
      <c r="AL38" s="1257"/>
      <c r="AM38" s="1257"/>
      <c r="AN38" s="1257"/>
      <c r="AO38" s="1257"/>
      <c r="AP38" s="1257"/>
      <c r="AQ38" s="1257"/>
      <c r="AR38" s="1257"/>
      <c r="AS38" s="1257"/>
      <c r="AT38" s="1257"/>
      <c r="AU38" s="1257"/>
      <c r="AV38" s="1257"/>
      <c r="AW38" s="1257"/>
      <c r="AX38" s="1257"/>
      <c r="AY38" s="1257"/>
      <c r="AZ38" s="1257"/>
      <c r="BA38" s="1257"/>
      <c r="BB38" s="1257"/>
      <c r="BC38" s="1257"/>
      <c r="BD38" s="1257"/>
      <c r="BE38" s="1257"/>
      <c r="BF38" s="1257"/>
      <c r="BG38" s="1257"/>
      <c r="BH38" s="1257"/>
      <c r="BI38" s="1257"/>
      <c r="BJ38" s="1257"/>
      <c r="BK38" s="1257"/>
      <c r="BL38" s="1257"/>
      <c r="BM38" s="1257"/>
      <c r="BN38" s="1257"/>
      <c r="BO38" s="1257"/>
      <c r="BP38" s="1257"/>
      <c r="BQ38" s="1257"/>
      <c r="BR38" s="1257"/>
      <c r="BS38" s="1257"/>
      <c r="BT38" s="1257"/>
      <c r="BU38" s="1257"/>
      <c r="BV38" s="1257"/>
      <c r="BW38" s="1257"/>
      <c r="BX38" s="1257"/>
      <c r="BY38" s="1257"/>
      <c r="BZ38" s="1257"/>
      <c r="CA38" s="1257"/>
      <c r="CB38" s="1257"/>
      <c r="CC38" s="1257"/>
      <c r="CD38" s="1257"/>
      <c r="CE38" s="1257"/>
      <c r="CF38" s="1257"/>
      <c r="CG38" s="1257"/>
      <c r="CH38" s="1257"/>
      <c r="CI38" s="1257"/>
      <c r="CJ38" s="1257"/>
      <c r="CK38" s="1257"/>
      <c r="CL38" s="1257"/>
      <c r="CM38" s="1257"/>
      <c r="CN38" s="1257"/>
      <c r="CO38" s="1257"/>
      <c r="CP38" s="1257"/>
      <c r="CQ38" s="1257"/>
      <c r="CR38" s="1257"/>
      <c r="CS38" s="1257"/>
      <c r="CT38" s="1257"/>
      <c r="CU38" s="1257"/>
      <c r="CV38" s="1257"/>
      <c r="CW38" s="1257"/>
      <c r="CX38" s="1257"/>
      <c r="CY38" s="1257"/>
      <c r="CZ38" s="1257"/>
      <c r="DA38" s="1257"/>
      <c r="DB38" s="1257"/>
      <c r="DC38" s="1257"/>
      <c r="DD38" s="1257"/>
    </row>
    <row r="39" spans="1:108" ht="13.5" customHeight="1">
      <c r="A39" s="1256"/>
      <c r="B39" s="1257"/>
      <c r="C39" s="1256"/>
      <c r="D39" s="1257"/>
      <c r="E39" s="1257"/>
      <c r="F39" s="1257"/>
      <c r="G39" s="1257"/>
      <c r="H39" s="1257"/>
      <c r="I39" s="1257"/>
      <c r="J39" s="1257"/>
      <c r="K39" s="1257"/>
      <c r="L39" s="1257"/>
      <c r="M39" s="1257"/>
      <c r="N39" s="1257"/>
      <c r="O39" s="1257"/>
      <c r="P39" s="1257"/>
      <c r="Q39" s="1257"/>
      <c r="R39" s="1257"/>
      <c r="S39" s="1257"/>
      <c r="T39" s="1257"/>
      <c r="U39" s="1257"/>
      <c r="V39" s="1257"/>
      <c r="W39" s="1257"/>
      <c r="X39" s="1257"/>
      <c r="Y39" s="1257"/>
      <c r="Z39" s="1257"/>
      <c r="AA39" s="1257"/>
      <c r="AB39" s="1257"/>
      <c r="AC39" s="1257"/>
      <c r="AD39" s="1257"/>
      <c r="AE39" s="1257"/>
      <c r="AF39" s="1257"/>
      <c r="AG39" s="1257"/>
      <c r="AH39" s="1257"/>
      <c r="AI39" s="1257"/>
      <c r="AJ39" s="1257"/>
      <c r="AK39" s="1257"/>
      <c r="AL39" s="1257"/>
      <c r="AM39" s="1257"/>
      <c r="AN39" s="1257"/>
      <c r="AO39" s="1257"/>
      <c r="AP39" s="1257"/>
      <c r="AQ39" s="1257"/>
      <c r="AR39" s="1257"/>
      <c r="AS39" s="1257"/>
      <c r="AT39" s="1257"/>
      <c r="AU39" s="1257"/>
      <c r="AV39" s="1257"/>
      <c r="AW39" s="1257"/>
      <c r="AX39" s="1257"/>
      <c r="AY39" s="1257"/>
      <c r="AZ39" s="1257"/>
      <c r="BA39" s="1257"/>
      <c r="BB39" s="1257"/>
      <c r="BC39" s="1257"/>
      <c r="BD39" s="1257"/>
      <c r="BE39" s="1257"/>
      <c r="BF39" s="1257"/>
      <c r="BG39" s="1257"/>
      <c r="BH39" s="1257"/>
      <c r="BI39" s="1257"/>
      <c r="BJ39" s="1257"/>
      <c r="BK39" s="1257"/>
      <c r="BL39" s="1257"/>
      <c r="BM39" s="1257"/>
      <c r="BN39" s="1257"/>
      <c r="BO39" s="1257"/>
      <c r="BP39" s="1257"/>
      <c r="BQ39" s="1257"/>
      <c r="BR39" s="1257"/>
      <c r="BS39" s="1257"/>
      <c r="BT39" s="1257"/>
      <c r="BU39" s="1257"/>
      <c r="BV39" s="1257"/>
      <c r="BW39" s="1257"/>
      <c r="BX39" s="1257"/>
      <c r="BY39" s="1257"/>
      <c r="BZ39" s="1257"/>
      <c r="CA39" s="1257"/>
      <c r="CB39" s="1257"/>
      <c r="CC39" s="1257"/>
      <c r="CD39" s="1257"/>
      <c r="CE39" s="1257"/>
      <c r="CF39" s="1257"/>
      <c r="CG39" s="1257"/>
      <c r="CH39" s="1257"/>
      <c r="CI39" s="1257"/>
      <c r="CJ39" s="1257"/>
      <c r="CK39" s="1257"/>
      <c r="CL39" s="1257"/>
      <c r="CM39" s="1257"/>
      <c r="CN39" s="1257"/>
      <c r="CO39" s="1257"/>
      <c r="CP39" s="1257"/>
      <c r="CQ39" s="1257"/>
      <c r="CR39" s="1257"/>
      <c r="CS39" s="1257"/>
      <c r="CT39" s="1257"/>
      <c r="CU39" s="1257"/>
      <c r="CV39" s="1257"/>
      <c r="CW39" s="1257"/>
      <c r="CX39" s="1257"/>
      <c r="CY39" s="1257"/>
      <c r="CZ39" s="1257"/>
      <c r="DA39" s="1257"/>
      <c r="DB39" s="1257"/>
      <c r="DC39" s="1257"/>
      <c r="DD39" s="1257"/>
    </row>
    <row r="40" spans="1:108" ht="13.5" customHeight="1">
      <c r="A40" s="1256"/>
      <c r="B40" s="1257"/>
      <c r="C40" s="1256"/>
      <c r="D40" s="1257"/>
      <c r="E40" s="1257"/>
      <c r="F40" s="1257"/>
      <c r="G40" s="1257"/>
      <c r="H40" s="1257"/>
      <c r="I40" s="1257"/>
      <c r="J40" s="1257"/>
      <c r="K40" s="1257"/>
      <c r="L40" s="1257"/>
      <c r="M40" s="1257"/>
      <c r="N40" s="1257"/>
      <c r="O40" s="1257"/>
      <c r="P40" s="1257"/>
      <c r="Q40" s="1257"/>
      <c r="R40" s="1257"/>
      <c r="S40" s="1257"/>
      <c r="T40" s="1257"/>
      <c r="U40" s="1257"/>
      <c r="V40" s="1257"/>
      <c r="W40" s="1257"/>
      <c r="X40" s="1257"/>
      <c r="Y40" s="1257"/>
      <c r="Z40" s="1257"/>
      <c r="AA40" s="1257"/>
      <c r="AB40" s="1257"/>
      <c r="AC40" s="1257"/>
      <c r="AD40" s="1257"/>
      <c r="AE40" s="1257"/>
      <c r="AF40" s="1257"/>
      <c r="AG40" s="1257"/>
      <c r="AH40" s="1257"/>
      <c r="AI40" s="1257"/>
      <c r="AJ40" s="1257"/>
      <c r="AK40" s="1257"/>
      <c r="AL40" s="1257"/>
      <c r="AM40" s="1257"/>
      <c r="AN40" s="1257"/>
      <c r="AO40" s="1257"/>
      <c r="AP40" s="1257"/>
      <c r="AQ40" s="1257"/>
      <c r="AR40" s="1257"/>
      <c r="AS40" s="1257"/>
      <c r="AT40" s="1257"/>
      <c r="AU40" s="1257"/>
      <c r="AV40" s="1257"/>
      <c r="AW40" s="1257"/>
      <c r="AX40" s="1257"/>
      <c r="AY40" s="1257"/>
      <c r="AZ40" s="1257"/>
      <c r="BA40" s="1257"/>
      <c r="BB40" s="1257"/>
      <c r="BC40" s="1257"/>
      <c r="BD40" s="1257"/>
      <c r="BE40" s="1257"/>
      <c r="BF40" s="1257"/>
      <c r="BG40" s="1257"/>
      <c r="BH40" s="1257"/>
      <c r="BI40" s="1257"/>
      <c r="BJ40" s="1257"/>
      <c r="BK40" s="1257"/>
      <c r="BL40" s="1257"/>
      <c r="BM40" s="1257"/>
      <c r="BN40" s="1257"/>
      <c r="BO40" s="1257"/>
      <c r="BP40" s="1257"/>
      <c r="BQ40" s="1257"/>
      <c r="BR40" s="1257"/>
      <c r="BS40" s="1257"/>
      <c r="BT40" s="1257"/>
      <c r="BU40" s="1257"/>
      <c r="BV40" s="1257"/>
      <c r="BW40" s="1257"/>
      <c r="BX40" s="1257"/>
      <c r="BY40" s="1257"/>
      <c r="BZ40" s="1257"/>
      <c r="CA40" s="1257"/>
      <c r="CB40" s="1257"/>
      <c r="CC40" s="1257"/>
      <c r="CD40" s="1257"/>
      <c r="CE40" s="1257"/>
      <c r="CF40" s="1257"/>
      <c r="CG40" s="1257"/>
      <c r="CH40" s="1257"/>
      <c r="CI40" s="1257"/>
      <c r="CJ40" s="1257"/>
      <c r="CK40" s="1257"/>
      <c r="CL40" s="1257"/>
      <c r="CM40" s="1257"/>
      <c r="CN40" s="1257"/>
      <c r="CO40" s="1257"/>
      <c r="CP40" s="1257"/>
      <c r="CQ40" s="1257"/>
      <c r="CR40" s="1257"/>
      <c r="CS40" s="1257"/>
      <c r="CT40" s="1257"/>
      <c r="CU40" s="1257"/>
      <c r="CV40" s="1257"/>
      <c r="CW40" s="1257"/>
      <c r="CX40" s="1257"/>
      <c r="CY40" s="1257"/>
      <c r="CZ40" s="1257"/>
      <c r="DA40" s="1257"/>
      <c r="DB40" s="1257"/>
      <c r="DC40" s="1257"/>
      <c r="DD40" s="1257"/>
    </row>
    <row r="41" spans="1:108" ht="13.5" customHeight="1">
      <c r="A41" s="1256"/>
      <c r="B41" s="1257"/>
      <c r="C41" s="1256"/>
      <c r="D41" s="1257"/>
      <c r="E41" s="1257"/>
      <c r="F41" s="1257"/>
      <c r="G41" s="1257"/>
      <c r="H41" s="1257"/>
      <c r="I41" s="1257"/>
      <c r="J41" s="1257"/>
      <c r="K41" s="1257"/>
      <c r="L41" s="1257"/>
      <c r="M41" s="1257"/>
      <c r="N41" s="1257"/>
      <c r="O41" s="1257"/>
      <c r="P41" s="1257"/>
      <c r="Q41" s="1257"/>
      <c r="R41" s="1257"/>
      <c r="S41" s="1257"/>
      <c r="T41" s="1257"/>
      <c r="U41" s="1257"/>
      <c r="V41" s="1257"/>
      <c r="W41" s="1257"/>
      <c r="X41" s="1257"/>
      <c r="Y41" s="1257"/>
      <c r="Z41" s="1257"/>
      <c r="AA41" s="1257"/>
      <c r="AB41" s="1257"/>
      <c r="AC41" s="1257"/>
      <c r="AD41" s="1257"/>
      <c r="AE41" s="1257"/>
      <c r="AF41" s="1257"/>
      <c r="AG41" s="1257"/>
      <c r="AH41" s="1257"/>
      <c r="AI41" s="1257"/>
      <c r="AJ41" s="1257"/>
      <c r="AK41" s="1257"/>
      <c r="AL41" s="1257"/>
      <c r="AM41" s="1257"/>
      <c r="AN41" s="1257"/>
      <c r="AO41" s="1257"/>
      <c r="AP41" s="1257"/>
      <c r="AQ41" s="1257"/>
      <c r="AR41" s="1257"/>
      <c r="AS41" s="1257"/>
      <c r="AT41" s="1257"/>
      <c r="AU41" s="1257"/>
      <c r="AV41" s="1257"/>
      <c r="AW41" s="1257"/>
      <c r="AX41" s="1257"/>
      <c r="AY41" s="1257"/>
      <c r="AZ41" s="1257"/>
      <c r="BA41" s="1257"/>
      <c r="BB41" s="1257"/>
      <c r="BC41" s="1257"/>
      <c r="BD41" s="1257"/>
      <c r="BE41" s="1257"/>
      <c r="BF41" s="1257"/>
      <c r="BG41" s="1257"/>
      <c r="BH41" s="1257"/>
      <c r="BI41" s="1257"/>
      <c r="BJ41" s="1257"/>
      <c r="BK41" s="1257"/>
      <c r="BL41" s="1257"/>
      <c r="BM41" s="1257"/>
      <c r="BN41" s="1257"/>
      <c r="BO41" s="1257"/>
      <c r="BP41" s="1257"/>
      <c r="BQ41" s="1257"/>
      <c r="BR41" s="1257"/>
      <c r="BS41" s="1257"/>
      <c r="BT41" s="1257"/>
      <c r="BU41" s="1257"/>
      <c r="BV41" s="1257"/>
      <c r="BW41" s="1257"/>
      <c r="BX41" s="1257"/>
      <c r="BY41" s="1257"/>
      <c r="BZ41" s="1257"/>
      <c r="CA41" s="1257"/>
      <c r="CB41" s="1257"/>
      <c r="CC41" s="1257"/>
      <c r="CD41" s="1257"/>
      <c r="CE41" s="1257"/>
      <c r="CF41" s="1257"/>
      <c r="CG41" s="1257"/>
      <c r="CH41" s="1257"/>
      <c r="CI41" s="1257"/>
      <c r="CJ41" s="1257"/>
      <c r="CK41" s="1257"/>
      <c r="CL41" s="1257"/>
      <c r="CM41" s="1257"/>
      <c r="CN41" s="1257"/>
      <c r="CO41" s="1257"/>
      <c r="CP41" s="1257"/>
      <c r="CQ41" s="1257"/>
      <c r="CR41" s="1257"/>
      <c r="CS41" s="1257"/>
      <c r="CT41" s="1257"/>
      <c r="CU41" s="1257"/>
      <c r="CV41" s="1257"/>
      <c r="CW41" s="1257"/>
      <c r="CX41" s="1257"/>
      <c r="CY41" s="1257"/>
      <c r="CZ41" s="1257"/>
      <c r="DA41" s="1257"/>
      <c r="DB41" s="1257"/>
      <c r="DC41" s="1257"/>
      <c r="DD41" s="1257"/>
    </row>
    <row r="42" spans="1:108" ht="13.5" customHeight="1">
      <c r="A42" s="1256"/>
      <c r="B42" s="1257"/>
      <c r="C42" s="1256"/>
      <c r="D42" s="1257"/>
      <c r="E42" s="1257"/>
      <c r="F42" s="1257"/>
      <c r="G42" s="1257"/>
      <c r="H42" s="1257"/>
      <c r="I42" s="1257"/>
      <c r="J42" s="1257"/>
      <c r="K42" s="1257"/>
      <c r="L42" s="1257"/>
      <c r="M42" s="1257"/>
      <c r="N42" s="1257"/>
      <c r="O42" s="1257"/>
      <c r="P42" s="1257"/>
      <c r="Q42" s="1257"/>
      <c r="R42" s="1257"/>
      <c r="S42" s="1257"/>
      <c r="T42" s="1257"/>
      <c r="U42" s="1257"/>
      <c r="V42" s="1257"/>
      <c r="W42" s="1257"/>
      <c r="X42" s="1257"/>
      <c r="Y42" s="1257"/>
      <c r="Z42" s="1257"/>
      <c r="AA42" s="1257"/>
      <c r="AB42" s="1257"/>
      <c r="AC42" s="1257"/>
      <c r="AD42" s="1257"/>
      <c r="AE42" s="1257"/>
      <c r="AF42" s="1257"/>
      <c r="AG42" s="1257"/>
      <c r="AH42" s="1257"/>
      <c r="AI42" s="1257"/>
      <c r="AJ42" s="1257"/>
      <c r="AK42" s="1257"/>
      <c r="AL42" s="1257"/>
      <c r="AM42" s="1257"/>
      <c r="AN42" s="1257"/>
      <c r="AO42" s="1257"/>
      <c r="AP42" s="1257"/>
      <c r="AQ42" s="1257"/>
      <c r="AR42" s="1257"/>
      <c r="AS42" s="1257"/>
      <c r="AT42" s="1257"/>
      <c r="AU42" s="1257"/>
      <c r="AV42" s="1257"/>
      <c r="AW42" s="1257"/>
      <c r="AX42" s="1257"/>
      <c r="AY42" s="1257"/>
      <c r="AZ42" s="1257"/>
      <c r="BA42" s="1257"/>
      <c r="BB42" s="1257"/>
      <c r="BC42" s="1257"/>
      <c r="BD42" s="1257"/>
      <c r="BE42" s="1257"/>
      <c r="BF42" s="1257"/>
      <c r="BG42" s="1257"/>
      <c r="BH42" s="1257"/>
      <c r="BI42" s="1257"/>
      <c r="BJ42" s="1257"/>
      <c r="BK42" s="1257"/>
      <c r="BL42" s="1257"/>
      <c r="BM42" s="1257"/>
      <c r="BN42" s="1257"/>
      <c r="BO42" s="1257"/>
      <c r="BP42" s="1257"/>
      <c r="BQ42" s="1257"/>
      <c r="BR42" s="1257"/>
      <c r="BS42" s="1257"/>
      <c r="BT42" s="1257"/>
      <c r="BU42" s="1257"/>
      <c r="BV42" s="1257"/>
      <c r="BW42" s="1257"/>
      <c r="BX42" s="1257"/>
      <c r="BY42" s="1257"/>
      <c r="BZ42" s="1257"/>
      <c r="CA42" s="1257"/>
      <c r="CB42" s="1257"/>
      <c r="CC42" s="1257"/>
      <c r="CD42" s="1257"/>
      <c r="CE42" s="1257"/>
      <c r="CF42" s="1257"/>
      <c r="CG42" s="1257"/>
      <c r="CH42" s="1257"/>
      <c r="CI42" s="1257"/>
      <c r="CJ42" s="1257"/>
      <c r="CK42" s="1257"/>
      <c r="CL42" s="1257"/>
      <c r="CM42" s="1257"/>
      <c r="CN42" s="1257"/>
      <c r="CO42" s="1257"/>
      <c r="CP42" s="1257"/>
      <c r="CQ42" s="1257"/>
      <c r="CR42" s="1257"/>
      <c r="CS42" s="1257"/>
      <c r="CT42" s="1257"/>
      <c r="CU42" s="1257"/>
      <c r="CV42" s="1257"/>
      <c r="CW42" s="1257"/>
      <c r="CX42" s="1257"/>
      <c r="CY42" s="1257"/>
      <c r="CZ42" s="1257"/>
      <c r="DA42" s="1257"/>
      <c r="DB42" s="1257"/>
      <c r="DC42" s="1257"/>
      <c r="DD42" s="1257"/>
    </row>
    <row r="43" spans="1:108" ht="13.5" customHeight="1">
      <c r="A43" s="1256"/>
      <c r="B43" s="1257"/>
      <c r="C43" s="1256"/>
      <c r="D43" s="1257"/>
      <c r="E43" s="1257"/>
      <c r="F43" s="1257"/>
      <c r="G43" s="1257"/>
      <c r="H43" s="1257"/>
      <c r="I43" s="1257"/>
      <c r="J43" s="1257"/>
      <c r="K43" s="1257"/>
      <c r="L43" s="1257"/>
      <c r="M43" s="1257"/>
      <c r="N43" s="1257"/>
      <c r="O43" s="1257"/>
      <c r="P43" s="1257"/>
      <c r="Q43" s="1257"/>
      <c r="R43" s="1257"/>
      <c r="S43" s="1257"/>
      <c r="T43" s="1257"/>
      <c r="U43" s="1257"/>
      <c r="V43" s="1257"/>
      <c r="W43" s="1257"/>
      <c r="X43" s="1257"/>
      <c r="Y43" s="1257"/>
      <c r="Z43" s="1257"/>
      <c r="AA43" s="1257"/>
      <c r="AB43" s="1257"/>
      <c r="AC43" s="1257"/>
      <c r="AD43" s="1257"/>
      <c r="AE43" s="1257"/>
      <c r="AF43" s="1257"/>
      <c r="AG43" s="1257"/>
      <c r="AH43" s="1257"/>
      <c r="AI43" s="1257"/>
      <c r="AJ43" s="1257"/>
      <c r="AK43" s="1257"/>
      <c r="AL43" s="1257"/>
      <c r="AM43" s="1257"/>
      <c r="AN43" s="1257"/>
      <c r="AO43" s="1257"/>
      <c r="AP43" s="1257"/>
      <c r="AQ43" s="1257"/>
      <c r="AR43" s="1257"/>
      <c r="AS43" s="1257"/>
      <c r="AT43" s="1257"/>
      <c r="AU43" s="1257"/>
      <c r="AV43" s="1257"/>
      <c r="AW43" s="1257"/>
      <c r="AX43" s="1257"/>
      <c r="AY43" s="1257"/>
      <c r="AZ43" s="1257"/>
      <c r="BA43" s="1257"/>
      <c r="BB43" s="1257"/>
      <c r="BC43" s="1257"/>
      <c r="BD43" s="1257"/>
      <c r="BE43" s="1257"/>
      <c r="BF43" s="1257"/>
      <c r="BG43" s="1257"/>
      <c r="BH43" s="1257"/>
      <c r="BI43" s="1257"/>
      <c r="BJ43" s="1257"/>
      <c r="BK43" s="1257"/>
      <c r="BL43" s="1257"/>
      <c r="BM43" s="1257"/>
      <c r="BN43" s="1257"/>
      <c r="BO43" s="1257"/>
      <c r="BP43" s="1257"/>
      <c r="BQ43" s="1257"/>
      <c r="BR43" s="1257"/>
      <c r="BS43" s="1257"/>
      <c r="BT43" s="1257"/>
      <c r="BU43" s="1257"/>
      <c r="BV43" s="1257"/>
      <c r="BW43" s="1257"/>
      <c r="BX43" s="1257"/>
      <c r="BY43" s="1257"/>
      <c r="BZ43" s="1257"/>
      <c r="CA43" s="1257"/>
      <c r="CB43" s="1257"/>
      <c r="CC43" s="1257"/>
      <c r="CD43" s="1257"/>
      <c r="CE43" s="1257"/>
      <c r="CF43" s="1257"/>
      <c r="CG43" s="1257"/>
      <c r="CH43" s="1257"/>
      <c r="CI43" s="1257"/>
      <c r="CJ43" s="1257"/>
      <c r="CK43" s="1257"/>
      <c r="CL43" s="1257"/>
      <c r="CM43" s="1257"/>
      <c r="CN43" s="1257"/>
      <c r="CO43" s="1257"/>
      <c r="CP43" s="1257"/>
      <c r="CQ43" s="1257"/>
      <c r="CR43" s="1257"/>
      <c r="CS43" s="1257"/>
      <c r="CT43" s="1257"/>
      <c r="CU43" s="1257"/>
      <c r="CV43" s="1257"/>
      <c r="CW43" s="1257"/>
      <c r="CX43" s="1257"/>
      <c r="CY43" s="1257"/>
      <c r="CZ43" s="1257"/>
      <c r="DA43" s="1257"/>
      <c r="DB43" s="1257"/>
      <c r="DC43" s="1257"/>
      <c r="DD43" s="1257"/>
    </row>
    <row r="44" spans="1:108" ht="13.5" customHeight="1">
      <c r="A44" s="1256"/>
      <c r="B44" s="1257"/>
      <c r="C44" s="1256"/>
      <c r="D44" s="1257"/>
      <c r="E44" s="1257"/>
      <c r="F44" s="1257"/>
      <c r="G44" s="1257"/>
      <c r="H44" s="1257"/>
      <c r="I44" s="1257"/>
      <c r="J44" s="1257"/>
      <c r="K44" s="1257"/>
      <c r="L44" s="1257"/>
      <c r="M44" s="1257"/>
      <c r="N44" s="1257"/>
      <c r="O44" s="1257"/>
      <c r="P44" s="1257"/>
      <c r="Q44" s="1257"/>
      <c r="R44" s="1257"/>
      <c r="S44" s="1257"/>
      <c r="T44" s="1257"/>
      <c r="U44" s="1257"/>
      <c r="V44" s="1257"/>
      <c r="W44" s="1257"/>
      <c r="X44" s="1257"/>
      <c r="Y44" s="1257"/>
      <c r="Z44" s="1257"/>
      <c r="AA44" s="1257"/>
      <c r="AB44" s="1257"/>
      <c r="AC44" s="1257"/>
      <c r="AD44" s="1257"/>
      <c r="AE44" s="1257"/>
      <c r="AF44" s="1257"/>
      <c r="AG44" s="1257"/>
      <c r="AH44" s="1257"/>
      <c r="AI44" s="1257"/>
      <c r="AJ44" s="1257"/>
      <c r="AK44" s="1257"/>
      <c r="AL44" s="1257"/>
      <c r="AM44" s="1257"/>
      <c r="AN44" s="1257"/>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7"/>
      <c r="DD44" s="1257"/>
    </row>
    <row r="45" spans="1:108" ht="13.5" customHeight="1">
      <c r="A45" s="1256"/>
      <c r="B45" s="1257"/>
      <c r="C45" s="1256"/>
      <c r="D45" s="1257"/>
      <c r="E45" s="1257"/>
      <c r="F45" s="1257"/>
      <c r="G45" s="1257"/>
      <c r="H45" s="1257"/>
      <c r="I45" s="1257"/>
      <c r="J45" s="1257"/>
      <c r="K45" s="1257"/>
      <c r="L45" s="1257"/>
      <c r="M45" s="1257"/>
      <c r="N45" s="1257"/>
      <c r="O45" s="1257"/>
      <c r="P45" s="1257"/>
      <c r="Q45" s="1257"/>
      <c r="R45" s="1257"/>
      <c r="S45" s="1257"/>
      <c r="T45" s="1257"/>
      <c r="U45" s="1257"/>
      <c r="V45" s="1257"/>
      <c r="W45" s="1257"/>
      <c r="X45" s="1257"/>
      <c r="Y45" s="1257"/>
      <c r="Z45" s="1257"/>
      <c r="AA45" s="1257"/>
      <c r="AB45" s="1257"/>
      <c r="AC45" s="1257"/>
      <c r="AD45" s="1257"/>
      <c r="AE45" s="1257"/>
      <c r="AF45" s="1257"/>
      <c r="AG45" s="1257"/>
      <c r="AH45" s="1257"/>
      <c r="AI45" s="1257"/>
      <c r="AJ45" s="1257"/>
      <c r="AK45" s="1257"/>
      <c r="AL45" s="1257"/>
      <c r="AM45" s="1257"/>
      <c r="AN45" s="1257"/>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7"/>
      <c r="DD45" s="1257"/>
    </row>
    <row r="46" spans="1:108" ht="13.5" customHeight="1">
      <c r="A46" s="1256"/>
      <c r="B46" s="1257"/>
      <c r="C46" s="1256"/>
      <c r="D46" s="1257"/>
      <c r="E46" s="1257"/>
      <c r="F46" s="1257"/>
      <c r="G46" s="1257"/>
      <c r="H46" s="1257"/>
      <c r="I46" s="1257"/>
      <c r="J46" s="1257"/>
      <c r="K46" s="1257"/>
      <c r="L46" s="1257"/>
      <c r="M46" s="1257"/>
      <c r="N46" s="1257"/>
      <c r="O46" s="1257"/>
      <c r="P46" s="1257"/>
      <c r="Q46" s="1257"/>
      <c r="R46" s="1257"/>
      <c r="S46" s="1257"/>
      <c r="T46" s="1257"/>
      <c r="U46" s="1257"/>
      <c r="V46" s="1257"/>
      <c r="W46" s="1257"/>
      <c r="X46" s="1257"/>
      <c r="Y46" s="1257"/>
      <c r="Z46" s="1257"/>
      <c r="AA46" s="1257"/>
      <c r="AB46" s="1257"/>
      <c r="AC46" s="1257"/>
      <c r="AD46" s="1257"/>
      <c r="AE46" s="1257"/>
      <c r="AF46" s="1257"/>
      <c r="AG46" s="1257"/>
      <c r="AH46" s="1257"/>
      <c r="AI46" s="1257"/>
      <c r="AJ46" s="1257"/>
      <c r="AK46" s="1257"/>
      <c r="AL46" s="1257"/>
      <c r="AM46" s="1257"/>
      <c r="AN46" s="1257"/>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7"/>
      <c r="DD46" s="1257"/>
    </row>
    <row r="47" spans="1:108" ht="13.5" customHeight="1">
      <c r="A47" s="1256"/>
      <c r="B47" s="1257"/>
      <c r="C47" s="1256"/>
      <c r="D47" s="1257"/>
      <c r="E47" s="1257"/>
      <c r="F47" s="1257"/>
      <c r="G47" s="1257"/>
      <c r="H47" s="1257"/>
      <c r="I47" s="1257"/>
      <c r="J47" s="1257"/>
      <c r="K47" s="1257"/>
      <c r="L47" s="1257"/>
      <c r="M47" s="1257"/>
      <c r="N47" s="1257"/>
      <c r="O47" s="1257"/>
      <c r="P47" s="1257"/>
      <c r="Q47" s="1257"/>
      <c r="R47" s="1257"/>
      <c r="S47" s="1257"/>
      <c r="T47" s="1257"/>
      <c r="U47" s="1257"/>
      <c r="V47" s="1257"/>
      <c r="W47" s="1257"/>
      <c r="X47" s="1257"/>
      <c r="Y47" s="1257"/>
      <c r="Z47" s="1257"/>
      <c r="AA47" s="1257"/>
      <c r="AB47" s="1257"/>
      <c r="AC47" s="1257"/>
      <c r="AD47" s="1257"/>
      <c r="AE47" s="1257"/>
      <c r="AF47" s="1257"/>
      <c r="AG47" s="1257"/>
      <c r="AH47" s="1257"/>
      <c r="AI47" s="1257"/>
      <c r="AJ47" s="1257"/>
      <c r="AK47" s="1257"/>
      <c r="AL47" s="1257"/>
      <c r="AM47" s="1257"/>
      <c r="AN47" s="1257"/>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7"/>
      <c r="DD47" s="1257"/>
    </row>
    <row r="48" spans="1:108" ht="13.5" customHeight="1">
      <c r="A48" s="1256"/>
      <c r="B48" s="1257"/>
      <c r="C48" s="1256"/>
      <c r="D48" s="1257"/>
      <c r="E48" s="1257"/>
      <c r="F48" s="1257"/>
      <c r="G48" s="1257"/>
      <c r="H48" s="1257"/>
      <c r="I48" s="1257"/>
      <c r="J48" s="1257"/>
      <c r="K48" s="1257"/>
      <c r="L48" s="1257"/>
      <c r="M48" s="1257"/>
      <c r="N48" s="1257"/>
      <c r="O48" s="1257"/>
      <c r="P48" s="1257"/>
      <c r="Q48" s="1257"/>
      <c r="R48" s="1257"/>
      <c r="S48" s="1257"/>
      <c r="T48" s="1257"/>
      <c r="U48" s="1257"/>
      <c r="V48" s="1257"/>
      <c r="W48" s="1257"/>
      <c r="X48" s="1257"/>
      <c r="Y48" s="1257"/>
      <c r="Z48" s="1257"/>
      <c r="AA48" s="1257"/>
      <c r="AB48" s="1257"/>
      <c r="AC48" s="1257"/>
      <c r="AD48" s="1257"/>
      <c r="AE48" s="1257"/>
      <c r="AF48" s="1257"/>
      <c r="AG48" s="1257"/>
      <c r="AH48" s="1257"/>
      <c r="AI48" s="1257"/>
      <c r="AJ48" s="1257"/>
      <c r="AK48" s="1257"/>
      <c r="AL48" s="1257"/>
      <c r="AM48" s="1257"/>
      <c r="AN48" s="1257"/>
      <c r="AO48" s="1257"/>
      <c r="AP48" s="1257"/>
      <c r="AQ48" s="1257"/>
      <c r="AR48" s="1257"/>
      <c r="AS48" s="1257"/>
      <c r="AT48" s="1257"/>
      <c r="AU48" s="1257"/>
      <c r="AV48" s="1257"/>
      <c r="AW48" s="1257"/>
      <c r="AX48" s="1257"/>
      <c r="AY48" s="1257"/>
      <c r="AZ48" s="1257"/>
      <c r="BA48" s="1257"/>
      <c r="BB48" s="1257"/>
      <c r="BC48" s="1257"/>
      <c r="BD48" s="1257"/>
      <c r="BE48" s="1257"/>
      <c r="BF48" s="1257"/>
      <c r="BG48" s="1257"/>
      <c r="BH48" s="1257"/>
      <c r="BI48" s="1257"/>
      <c r="BJ48" s="1257"/>
      <c r="BK48" s="1257"/>
      <c r="BL48" s="1257"/>
      <c r="BM48" s="1257"/>
      <c r="BN48" s="1257"/>
      <c r="BO48" s="1257"/>
      <c r="BP48" s="1257"/>
      <c r="BQ48" s="1257"/>
      <c r="BR48" s="1257"/>
      <c r="BS48" s="1257"/>
      <c r="BT48" s="1257"/>
      <c r="BU48" s="1257"/>
      <c r="BV48" s="1257"/>
      <c r="BW48" s="1257"/>
      <c r="BX48" s="1257"/>
      <c r="BY48" s="1257"/>
      <c r="BZ48" s="1257"/>
      <c r="CA48" s="1257"/>
      <c r="CB48" s="1257"/>
      <c r="CC48" s="1257"/>
      <c r="CD48" s="1257"/>
      <c r="CE48" s="1257"/>
      <c r="CF48" s="1257"/>
      <c r="CG48" s="1257"/>
      <c r="CH48" s="1257"/>
      <c r="CI48" s="1257"/>
      <c r="CJ48" s="1257"/>
      <c r="CK48" s="1257"/>
      <c r="CL48" s="1257"/>
      <c r="CM48" s="1257"/>
      <c r="CN48" s="1257"/>
      <c r="CO48" s="1257"/>
      <c r="CP48" s="1257"/>
      <c r="CQ48" s="1257"/>
      <c r="CR48" s="1257"/>
      <c r="CS48" s="1257"/>
      <c r="CT48" s="1257"/>
      <c r="CU48" s="1257"/>
      <c r="CV48" s="1257"/>
      <c r="CW48" s="1257"/>
      <c r="CX48" s="1257"/>
      <c r="CY48" s="1257"/>
      <c r="CZ48" s="1257"/>
      <c r="DA48" s="1257"/>
      <c r="DB48" s="1257"/>
      <c r="DC48" s="1257"/>
      <c r="DD48" s="1257"/>
    </row>
    <row r="49" spans="1:108" ht="13.5" customHeight="1">
      <c r="A49" s="1256"/>
      <c r="B49" s="1257"/>
      <c r="C49" s="1256"/>
      <c r="D49" s="1257"/>
      <c r="E49" s="1257"/>
      <c r="F49" s="1257"/>
      <c r="G49" s="1257"/>
      <c r="H49" s="1257"/>
      <c r="I49" s="1257"/>
      <c r="J49" s="1257"/>
      <c r="K49" s="1257"/>
      <c r="L49" s="1257"/>
      <c r="M49" s="1257"/>
      <c r="N49" s="1257"/>
      <c r="O49" s="1257"/>
      <c r="P49" s="1257"/>
      <c r="Q49" s="1257"/>
      <c r="R49" s="1257"/>
      <c r="S49" s="1257"/>
      <c r="T49" s="1257"/>
      <c r="U49" s="1257"/>
      <c r="V49" s="1257"/>
      <c r="W49" s="1257"/>
      <c r="X49" s="1257"/>
      <c r="Y49" s="1257"/>
      <c r="Z49" s="1257"/>
      <c r="AA49" s="1257"/>
      <c r="AB49" s="1257"/>
      <c r="AC49" s="1257"/>
      <c r="AD49" s="1257"/>
      <c r="AE49" s="1257"/>
      <c r="AF49" s="1257"/>
      <c r="AG49" s="1257"/>
      <c r="AH49" s="1257"/>
      <c r="AI49" s="1257"/>
      <c r="AJ49" s="1257"/>
      <c r="AK49" s="1257"/>
      <c r="AL49" s="1257"/>
      <c r="AM49" s="1257"/>
      <c r="AN49" s="1257"/>
      <c r="AO49" s="1257"/>
      <c r="AP49" s="1257"/>
      <c r="AQ49" s="1257"/>
      <c r="AR49" s="1257"/>
      <c r="AS49" s="1257"/>
      <c r="AT49" s="1257"/>
      <c r="AU49" s="1257"/>
      <c r="AV49" s="1257"/>
      <c r="AW49" s="1257"/>
      <c r="AX49" s="1257"/>
      <c r="AY49" s="1257"/>
      <c r="AZ49" s="1257"/>
      <c r="BA49" s="1257"/>
      <c r="BB49" s="1257"/>
      <c r="BC49" s="1257"/>
      <c r="BD49" s="1257"/>
      <c r="BE49" s="1257"/>
      <c r="BF49" s="1257"/>
      <c r="BG49" s="1257"/>
      <c r="BH49" s="1257"/>
      <c r="BI49" s="1257"/>
      <c r="BJ49" s="1257"/>
      <c r="BK49" s="1257"/>
      <c r="BL49" s="1257"/>
      <c r="BM49" s="1257"/>
      <c r="BN49" s="1257"/>
      <c r="BO49" s="1257"/>
      <c r="BP49" s="1257"/>
      <c r="BQ49" s="1257"/>
      <c r="BR49" s="1257"/>
      <c r="BS49" s="1257"/>
      <c r="BT49" s="1257"/>
      <c r="BU49" s="1257"/>
      <c r="BV49" s="1257"/>
      <c r="BW49" s="1257"/>
      <c r="BX49" s="1257"/>
      <c r="BY49" s="1257"/>
      <c r="BZ49" s="1257"/>
      <c r="CA49" s="1257"/>
      <c r="CB49" s="1257"/>
      <c r="CC49" s="1257"/>
      <c r="CD49" s="1257"/>
      <c r="CE49" s="1257"/>
      <c r="CF49" s="1257"/>
      <c r="CG49" s="1257"/>
      <c r="CH49" s="1257"/>
      <c r="CI49" s="1257"/>
      <c r="CJ49" s="1257"/>
      <c r="CK49" s="1257"/>
      <c r="CL49" s="1257"/>
      <c r="CM49" s="1257"/>
      <c r="CN49" s="1257"/>
      <c r="CO49" s="1257"/>
      <c r="CP49" s="1257"/>
      <c r="CQ49" s="1257"/>
      <c r="CR49" s="1257"/>
      <c r="CS49" s="1257"/>
      <c r="CT49" s="1257"/>
      <c r="CU49" s="1257"/>
      <c r="CV49" s="1257"/>
      <c r="CW49" s="1257"/>
      <c r="CX49" s="1257"/>
      <c r="CY49" s="1257"/>
      <c r="CZ49" s="1257"/>
      <c r="DA49" s="1257"/>
      <c r="DB49" s="1257"/>
      <c r="DC49" s="1257"/>
      <c r="DD49" s="1257"/>
    </row>
    <row r="50" spans="1:108" ht="13.5" customHeight="1">
      <c r="A50" s="1256"/>
      <c r="B50" s="1257"/>
      <c r="C50" s="1257"/>
      <c r="D50" s="1257"/>
      <c r="E50" s="1257"/>
      <c r="F50" s="1257"/>
      <c r="G50" s="1257"/>
      <c r="H50" s="1257"/>
      <c r="I50" s="1257"/>
      <c r="J50" s="1257"/>
      <c r="K50" s="1257"/>
      <c r="L50" s="1257"/>
      <c r="M50" s="1257"/>
      <c r="N50" s="1257"/>
      <c r="O50" s="1257"/>
      <c r="P50" s="1257"/>
      <c r="Q50" s="1257"/>
      <c r="R50" s="1257"/>
      <c r="S50" s="1257"/>
      <c r="T50" s="1257"/>
      <c r="U50" s="1257"/>
      <c r="V50" s="1257"/>
      <c r="W50" s="1257"/>
      <c r="X50" s="1257"/>
      <c r="Y50" s="1257"/>
      <c r="Z50" s="1257"/>
      <c r="AA50" s="1257"/>
      <c r="AB50" s="1257"/>
      <c r="AC50" s="1257"/>
      <c r="AD50" s="1257"/>
      <c r="AE50" s="1257"/>
      <c r="AF50" s="1257"/>
      <c r="AG50" s="1257"/>
      <c r="AH50" s="1257"/>
      <c r="AI50" s="1257"/>
      <c r="AJ50" s="1257"/>
      <c r="AK50" s="1257"/>
      <c r="AL50" s="1257"/>
      <c r="AM50" s="1257"/>
      <c r="AN50" s="1257"/>
      <c r="AO50" s="1257"/>
      <c r="AP50" s="1257"/>
      <c r="AQ50" s="1257"/>
      <c r="AR50" s="1257"/>
      <c r="AS50" s="1257"/>
      <c r="AT50" s="1257"/>
      <c r="AU50" s="1257"/>
      <c r="AV50" s="1257"/>
      <c r="AW50" s="1257"/>
      <c r="AX50" s="1257"/>
      <c r="AY50" s="1257"/>
      <c r="AZ50" s="1257"/>
      <c r="BA50" s="1257"/>
      <c r="BB50" s="1257"/>
      <c r="BC50" s="1257"/>
      <c r="BD50" s="1257"/>
      <c r="BE50" s="1257"/>
      <c r="BF50" s="1257"/>
      <c r="BG50" s="1257"/>
      <c r="BH50" s="1257"/>
      <c r="BI50" s="1257"/>
      <c r="BJ50" s="1257"/>
      <c r="BK50" s="1257"/>
      <c r="BL50" s="1257"/>
      <c r="BM50" s="1257"/>
      <c r="BN50" s="1257"/>
      <c r="BO50" s="1257"/>
      <c r="BP50" s="1257"/>
      <c r="BQ50" s="1257"/>
      <c r="BR50" s="1257"/>
      <c r="BS50" s="1257"/>
      <c r="BT50" s="1257"/>
      <c r="BU50" s="1257"/>
      <c r="BV50" s="1257"/>
      <c r="BW50" s="1257"/>
      <c r="BX50" s="1257"/>
      <c r="BY50" s="1257"/>
      <c r="BZ50" s="1257"/>
      <c r="CA50" s="1257"/>
      <c r="CB50" s="1257"/>
      <c r="CC50" s="1257"/>
      <c r="CD50" s="1257"/>
      <c r="CE50" s="1257"/>
      <c r="CF50" s="1257"/>
      <c r="CG50" s="1257"/>
      <c r="CH50" s="1257"/>
      <c r="CI50" s="1257"/>
      <c r="CJ50" s="1257"/>
      <c r="CK50" s="1257"/>
      <c r="CL50" s="1257"/>
      <c r="CM50" s="1257"/>
      <c r="CN50" s="1257"/>
      <c r="CO50" s="1257"/>
      <c r="CP50" s="1257"/>
      <c r="CQ50" s="1257"/>
      <c r="CR50" s="1257"/>
      <c r="CS50" s="1257"/>
      <c r="CT50" s="1257"/>
      <c r="CU50" s="1257"/>
      <c r="CV50" s="1257"/>
      <c r="CW50" s="1257"/>
      <c r="CX50" s="1257"/>
      <c r="CY50" s="1257"/>
      <c r="CZ50" s="1257"/>
      <c r="DA50" s="1257"/>
      <c r="DB50" s="1257"/>
      <c r="DC50" s="1257"/>
      <c r="DD50" s="1257"/>
    </row>
    <row r="51" spans="1:108" ht="13.5" customHeight="1">
      <c r="A51" s="1256"/>
      <c r="B51" s="1257"/>
      <c r="C51" s="1257"/>
      <c r="D51" s="1257"/>
      <c r="E51" s="1257"/>
      <c r="F51" s="1257"/>
      <c r="G51" s="1257"/>
      <c r="H51" s="1257"/>
      <c r="I51" s="1257"/>
      <c r="J51" s="1257"/>
      <c r="K51" s="1257"/>
      <c r="L51" s="1257"/>
      <c r="M51" s="1257"/>
      <c r="N51" s="1257"/>
      <c r="O51" s="1257"/>
      <c r="P51" s="1257"/>
      <c r="Q51" s="1257"/>
      <c r="R51" s="1257"/>
      <c r="S51" s="1257"/>
      <c r="T51" s="1257"/>
      <c r="U51" s="1257"/>
      <c r="V51" s="1257"/>
      <c r="W51" s="1257"/>
      <c r="X51" s="1257"/>
      <c r="Y51" s="1257"/>
      <c r="Z51" s="1257"/>
      <c r="AA51" s="1257"/>
      <c r="AB51" s="1257"/>
      <c r="AC51" s="1257"/>
      <c r="AD51" s="1257"/>
      <c r="AE51" s="1257"/>
      <c r="AF51" s="1257"/>
      <c r="AG51" s="1257"/>
      <c r="AH51" s="1257"/>
      <c r="AI51" s="1257"/>
      <c r="AJ51" s="1257"/>
      <c r="AK51" s="1257"/>
      <c r="AL51" s="1257"/>
      <c r="AM51" s="1257"/>
      <c r="AN51" s="1257"/>
      <c r="AO51" s="1257"/>
      <c r="AP51" s="1257"/>
      <c r="AQ51" s="1257"/>
      <c r="AR51" s="1257"/>
      <c r="AS51" s="1257"/>
      <c r="AT51" s="1257"/>
      <c r="AU51" s="1257"/>
      <c r="AV51" s="1257"/>
      <c r="AW51" s="1257"/>
      <c r="AX51" s="1257"/>
      <c r="AY51" s="1257"/>
      <c r="AZ51" s="1257"/>
      <c r="BA51" s="1257"/>
      <c r="BB51" s="1257"/>
      <c r="BC51" s="1257"/>
      <c r="BD51" s="1257"/>
      <c r="BE51" s="1257"/>
      <c r="BF51" s="1257"/>
      <c r="BG51" s="1257"/>
      <c r="BH51" s="1257"/>
      <c r="BI51" s="1257"/>
      <c r="BJ51" s="1257"/>
      <c r="BK51" s="1257"/>
      <c r="BL51" s="1257"/>
      <c r="BM51" s="1257"/>
      <c r="BN51" s="1257"/>
      <c r="BO51" s="1257"/>
      <c r="BP51" s="1257"/>
      <c r="BQ51" s="1257"/>
      <c r="BR51" s="1257"/>
      <c r="BS51" s="1257"/>
      <c r="BT51" s="1257"/>
      <c r="BU51" s="1257"/>
      <c r="BV51" s="1257"/>
      <c r="BW51" s="1257"/>
      <c r="BX51" s="1257"/>
      <c r="BY51" s="1257"/>
      <c r="BZ51" s="1257"/>
      <c r="CA51" s="1257"/>
      <c r="CB51" s="1257"/>
      <c r="CC51" s="1257"/>
      <c r="CD51" s="1257"/>
      <c r="CE51" s="1257"/>
      <c r="CF51" s="1257"/>
      <c r="CG51" s="1257"/>
      <c r="CH51" s="1257"/>
      <c r="CI51" s="1257"/>
      <c r="CJ51" s="1257"/>
      <c r="CK51" s="1257"/>
      <c r="CL51" s="1257"/>
      <c r="CM51" s="1257"/>
      <c r="CN51" s="1257"/>
      <c r="CO51" s="1257"/>
      <c r="CP51" s="1257"/>
      <c r="CQ51" s="1257"/>
      <c r="CR51" s="1257"/>
      <c r="CS51" s="1257"/>
      <c r="CT51" s="1257"/>
      <c r="CU51" s="1257"/>
      <c r="CV51" s="1257"/>
      <c r="CW51" s="1257"/>
      <c r="CX51" s="1257"/>
      <c r="CY51" s="1257"/>
      <c r="CZ51" s="1257"/>
      <c r="DA51" s="1257"/>
      <c r="DB51" s="1257"/>
      <c r="DC51" s="1257"/>
      <c r="DD51" s="1257"/>
    </row>
    <row r="52" spans="1:108" ht="13.5" customHeight="1">
      <c r="A52" s="1256"/>
      <c r="B52" s="1257"/>
      <c r="C52" s="1257"/>
      <c r="D52" s="1257"/>
      <c r="E52" s="1257"/>
      <c r="F52" s="1257"/>
      <c r="G52" s="1257"/>
      <c r="H52" s="1257"/>
      <c r="I52" s="1257"/>
      <c r="J52" s="1257"/>
      <c r="K52" s="1257"/>
      <c r="L52" s="1257"/>
      <c r="M52" s="1257"/>
      <c r="N52" s="1257"/>
      <c r="O52" s="1257"/>
      <c r="P52" s="1257"/>
      <c r="Q52" s="1257"/>
      <c r="R52" s="1257"/>
      <c r="S52" s="1257"/>
      <c r="T52" s="1257"/>
      <c r="U52" s="1257"/>
      <c r="V52" s="1257"/>
      <c r="W52" s="1257"/>
      <c r="X52" s="1257"/>
      <c r="Y52" s="1257"/>
      <c r="Z52" s="1257"/>
      <c r="AA52" s="1257"/>
      <c r="AB52" s="1257"/>
      <c r="AC52" s="1257"/>
      <c r="AD52" s="1257"/>
      <c r="AE52" s="1257"/>
      <c r="AF52" s="1257"/>
      <c r="AG52" s="1257"/>
      <c r="AH52" s="1257"/>
      <c r="AI52" s="1257"/>
      <c r="AJ52" s="1257"/>
      <c r="AK52" s="1257"/>
      <c r="AL52" s="1257"/>
      <c r="AM52" s="1257"/>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7"/>
      <c r="BQ52" s="1257"/>
      <c r="BR52" s="1257"/>
      <c r="BS52" s="1257"/>
      <c r="BT52" s="1257"/>
      <c r="BU52" s="1257"/>
      <c r="BV52" s="1257"/>
      <c r="BW52" s="1257"/>
      <c r="BX52" s="1257"/>
      <c r="BY52" s="1257"/>
      <c r="BZ52" s="1257"/>
      <c r="CA52" s="1257"/>
      <c r="CB52" s="1257"/>
      <c r="CC52" s="1257"/>
      <c r="CD52" s="1257"/>
      <c r="CE52" s="1257"/>
      <c r="CF52" s="1257"/>
      <c r="CG52" s="1257"/>
      <c r="CH52" s="1257"/>
      <c r="CI52" s="1257"/>
      <c r="CJ52" s="1257"/>
      <c r="CK52" s="1257"/>
      <c r="CL52" s="1257"/>
      <c r="CM52" s="1257"/>
      <c r="CN52" s="1257"/>
      <c r="CO52" s="1257"/>
      <c r="CP52" s="1257"/>
      <c r="CQ52" s="1257"/>
      <c r="CR52" s="1257"/>
      <c r="CS52" s="1257"/>
      <c r="CT52" s="1257"/>
      <c r="CU52" s="1257"/>
      <c r="CV52" s="1257"/>
      <c r="CW52" s="1257"/>
      <c r="CX52" s="1257"/>
      <c r="CY52" s="1257"/>
      <c r="CZ52" s="1257"/>
      <c r="DA52" s="1257"/>
      <c r="DB52" s="1257"/>
      <c r="DC52" s="1257"/>
      <c r="DD52" s="1257"/>
    </row>
    <row r="53" spans="1:108" ht="13.5" customHeight="1">
      <c r="A53" s="1261"/>
      <c r="B53" s="1262"/>
      <c r="C53" s="1262"/>
      <c r="D53" s="1262"/>
      <c r="E53" s="1262"/>
      <c r="F53" s="1262"/>
      <c r="G53" s="1262"/>
      <c r="H53" s="1262"/>
      <c r="I53" s="1262"/>
      <c r="J53" s="1262"/>
      <c r="K53" s="1262"/>
      <c r="L53" s="1262"/>
      <c r="M53" s="1262"/>
      <c r="N53" s="1262"/>
      <c r="O53" s="1262"/>
      <c r="P53" s="1262"/>
      <c r="Q53" s="1262"/>
      <c r="R53" s="1262"/>
      <c r="S53" s="1262"/>
      <c r="T53" s="1262"/>
      <c r="U53" s="1262"/>
      <c r="V53" s="1262"/>
      <c r="W53" s="1262"/>
      <c r="X53" s="1262"/>
      <c r="Y53" s="1262"/>
      <c r="Z53" s="1262"/>
      <c r="AA53" s="1262"/>
      <c r="AB53" s="1262"/>
      <c r="AC53" s="1262"/>
      <c r="AD53" s="1262"/>
      <c r="AE53" s="1262"/>
      <c r="AF53" s="1262"/>
      <c r="AG53" s="1262"/>
      <c r="AH53" s="1262"/>
      <c r="AI53" s="1262"/>
      <c r="AJ53" s="1262"/>
      <c r="AK53" s="1262"/>
      <c r="AL53" s="1262"/>
      <c r="AM53" s="1262"/>
      <c r="AN53" s="1262"/>
      <c r="AO53" s="1262"/>
      <c r="AP53" s="1262"/>
      <c r="AQ53" s="1262"/>
      <c r="AR53" s="1262"/>
      <c r="AS53" s="1262"/>
      <c r="AT53" s="1262"/>
      <c r="AU53" s="1262"/>
      <c r="AV53" s="1262"/>
      <c r="AW53" s="1262"/>
      <c r="AX53" s="1262"/>
      <c r="AY53" s="1262"/>
      <c r="AZ53" s="1262"/>
      <c r="BA53" s="1262"/>
      <c r="BB53" s="1262"/>
      <c r="BC53" s="1262"/>
      <c r="BD53" s="1262"/>
      <c r="BE53" s="1262"/>
      <c r="BF53" s="1262"/>
      <c r="BG53" s="1262"/>
      <c r="BH53" s="1262"/>
      <c r="BI53" s="1262"/>
      <c r="BJ53" s="1262"/>
      <c r="BK53" s="1262"/>
      <c r="BL53" s="1262"/>
      <c r="BM53" s="1262"/>
      <c r="BN53" s="1262"/>
      <c r="BO53" s="1262"/>
      <c r="BP53" s="1262"/>
      <c r="BQ53" s="1262"/>
      <c r="BR53" s="1262"/>
      <c r="BS53" s="1262"/>
      <c r="BT53" s="1262"/>
      <c r="BU53" s="1262"/>
      <c r="BV53" s="1262"/>
      <c r="BW53" s="1262"/>
      <c r="BX53" s="1262"/>
      <c r="BY53" s="1262"/>
      <c r="BZ53" s="1262"/>
      <c r="CA53" s="1262"/>
      <c r="CB53" s="1262"/>
      <c r="CC53" s="1262"/>
      <c r="CD53" s="1262"/>
      <c r="CE53" s="1262"/>
      <c r="CF53" s="1262"/>
      <c r="CG53" s="1262"/>
      <c r="CH53" s="1262"/>
      <c r="CI53" s="1262"/>
      <c r="CJ53" s="1262"/>
      <c r="CK53" s="1262"/>
      <c r="CL53" s="1262"/>
      <c r="CM53" s="1262"/>
      <c r="CN53" s="1262"/>
      <c r="CO53" s="1262"/>
      <c r="CP53" s="1262"/>
      <c r="CQ53" s="1262"/>
      <c r="CR53" s="1262"/>
      <c r="CS53" s="1262"/>
      <c r="CT53" s="1262"/>
      <c r="CU53" s="1262"/>
      <c r="CV53" s="1262"/>
      <c r="CW53" s="1262"/>
      <c r="CX53" s="1262"/>
      <c r="CY53" s="1262"/>
      <c r="CZ53" s="1262"/>
      <c r="DA53" s="1262"/>
      <c r="DB53" s="1262"/>
      <c r="DC53" s="1262"/>
      <c r="DD53" s="1262"/>
    </row>
    <row r="54" spans="1:108" ht="13.5" customHeight="1">
      <c r="A54" s="1250"/>
      <c r="B54" s="1251"/>
      <c r="C54" s="1251"/>
      <c r="D54" s="1251"/>
      <c r="E54" s="1251"/>
      <c r="F54" s="1251"/>
      <c r="G54" s="1251"/>
      <c r="H54" s="1251"/>
      <c r="I54" s="1251"/>
      <c r="J54" s="1251"/>
      <c r="K54" s="1251"/>
      <c r="L54" s="1251"/>
      <c r="M54" s="1251"/>
      <c r="N54" s="1251"/>
      <c r="O54" s="1251"/>
      <c r="P54" s="1251"/>
      <c r="Q54" s="1251"/>
      <c r="R54" s="1251"/>
      <c r="S54" s="1251"/>
      <c r="T54" s="1251"/>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1"/>
      <c r="BQ54" s="1251"/>
      <c r="BR54" s="1251"/>
      <c r="BS54" s="1251"/>
      <c r="BT54" s="1251"/>
      <c r="BU54" s="1251"/>
      <c r="BV54" s="1251"/>
      <c r="BW54" s="1251"/>
      <c r="BX54" s="1251"/>
      <c r="BY54" s="1251"/>
      <c r="BZ54" s="1251"/>
      <c r="CA54" s="1251"/>
      <c r="CB54" s="1251"/>
      <c r="CC54" s="1251"/>
      <c r="CD54" s="1251"/>
      <c r="CE54" s="1251"/>
      <c r="CF54" s="1251"/>
      <c r="CG54" s="1251"/>
      <c r="CH54" s="1251"/>
      <c r="CI54" s="1251"/>
      <c r="CJ54" s="1251"/>
      <c r="CK54" s="1251"/>
      <c r="CL54" s="1251"/>
      <c r="CM54" s="1251"/>
      <c r="CN54" s="1251"/>
      <c r="CO54" s="1251"/>
      <c r="CP54" s="1251"/>
      <c r="CQ54" s="1251"/>
      <c r="CR54" s="1251"/>
      <c r="CS54" s="1251"/>
      <c r="CT54" s="1251"/>
      <c r="CU54" s="1251"/>
      <c r="CV54" s="1251"/>
      <c r="CW54" s="1251"/>
      <c r="CX54" s="1251"/>
      <c r="CY54" s="1251"/>
      <c r="CZ54" s="1251"/>
      <c r="DA54" s="1251"/>
      <c r="DB54" s="1251"/>
      <c r="DC54" s="1251"/>
      <c r="DD54" s="1251"/>
    </row>
    <row r="55" spans="1:108" ht="13.5" customHeight="1">
      <c r="C55" s="1258" t="s">
        <v>4091</v>
      </c>
    </row>
    <row r="56" spans="1:108" ht="13.5" customHeight="1">
      <c r="A56" s="1258" t="s">
        <v>4092</v>
      </c>
    </row>
    <row r="57" spans="1:108" ht="13.5" customHeight="1">
      <c r="C57" s="1258" t="s">
        <v>3838</v>
      </c>
      <c r="G57" s="1454" t="s">
        <v>4093</v>
      </c>
      <c r="H57" s="1454"/>
      <c r="I57" s="1454"/>
      <c r="J57" s="1454"/>
      <c r="K57" s="1454"/>
      <c r="L57" s="1454"/>
      <c r="M57" s="1454"/>
      <c r="N57" s="1454"/>
      <c r="O57" s="1454"/>
      <c r="P57" s="1454"/>
      <c r="Q57" s="1454"/>
      <c r="R57" s="1454"/>
      <c r="S57" s="1454"/>
      <c r="T57" s="1454"/>
      <c r="U57" s="1454"/>
      <c r="V57" s="1454"/>
      <c r="W57" s="1454"/>
      <c r="X57" s="1454"/>
      <c r="Y57" s="1454"/>
      <c r="Z57" s="1454"/>
      <c r="AA57" s="1454"/>
      <c r="AB57" s="1454"/>
      <c r="AC57" s="1454"/>
      <c r="AD57" s="1454"/>
      <c r="AE57" s="1454"/>
      <c r="AF57" s="1454"/>
      <c r="AG57" s="1454"/>
      <c r="AH57" s="1454"/>
      <c r="AI57" s="1454"/>
      <c r="AJ57" s="1454"/>
      <c r="AK57" s="1454"/>
      <c r="AL57" s="1454"/>
      <c r="AM57" s="1454"/>
      <c r="AN57" s="1454"/>
      <c r="AO57" s="1454"/>
      <c r="AP57" s="1454"/>
      <c r="AQ57" s="1454"/>
      <c r="AR57" s="1454"/>
      <c r="AS57" s="1454"/>
      <c r="AT57" s="1454"/>
      <c r="AU57" s="1454"/>
      <c r="AV57" s="1454"/>
      <c r="AW57" s="1454"/>
      <c r="AX57" s="1454"/>
      <c r="AY57" s="1454"/>
      <c r="AZ57" s="1454"/>
      <c r="BA57" s="1454"/>
      <c r="BB57" s="1454"/>
      <c r="BC57" s="1454"/>
      <c r="BD57" s="1454"/>
      <c r="BE57" s="1454"/>
      <c r="BF57" s="1454"/>
      <c r="BG57" s="1454"/>
      <c r="BH57" s="1454"/>
      <c r="BI57" s="1454"/>
      <c r="BJ57" s="1454"/>
      <c r="BK57" s="1454"/>
      <c r="BL57" s="1454"/>
      <c r="BM57" s="1454"/>
      <c r="BN57" s="1454"/>
      <c r="BO57" s="1454"/>
      <c r="BP57" s="1454"/>
      <c r="BQ57" s="1454"/>
      <c r="BR57" s="1454"/>
      <c r="BS57" s="1454"/>
      <c r="BT57" s="1454"/>
      <c r="BU57" s="1454"/>
      <c r="BV57" s="1454"/>
      <c r="BW57" s="1454"/>
      <c r="BX57" s="1454"/>
      <c r="BY57" s="1454"/>
      <c r="BZ57" s="1454"/>
      <c r="CA57" s="1454"/>
      <c r="CB57" s="1454"/>
      <c r="CC57" s="1454"/>
      <c r="CD57" s="1454"/>
      <c r="CE57" s="1454"/>
      <c r="CF57" s="1454"/>
      <c r="CG57" s="1454"/>
      <c r="CH57" s="1454"/>
      <c r="CI57" s="1454"/>
      <c r="CJ57" s="1454"/>
      <c r="CK57" s="1454"/>
      <c r="CL57" s="1454"/>
      <c r="CM57" s="1454"/>
      <c r="CN57" s="1454"/>
      <c r="CO57" s="1454"/>
      <c r="CP57" s="1454"/>
      <c r="CQ57" s="1454"/>
      <c r="CR57" s="1454"/>
      <c r="CS57" s="1454"/>
      <c r="CT57" s="1454"/>
      <c r="CU57" s="1454"/>
      <c r="CV57" s="1454"/>
      <c r="CW57" s="1454"/>
      <c r="CX57" s="1454"/>
      <c r="CY57" s="1454"/>
      <c r="CZ57" s="1454"/>
      <c r="DA57" s="1454"/>
      <c r="DB57" s="1454"/>
    </row>
    <row r="58" spans="1:108" ht="13.5" customHeight="1">
      <c r="G58" s="1454"/>
      <c r="H58" s="1454"/>
      <c r="I58" s="1454"/>
      <c r="J58" s="1454"/>
      <c r="K58" s="1454"/>
      <c r="L58" s="1454"/>
      <c r="M58" s="1454"/>
      <c r="N58" s="1454"/>
      <c r="O58" s="1454"/>
      <c r="P58" s="1454"/>
      <c r="Q58" s="1454"/>
      <c r="R58" s="1454"/>
      <c r="S58" s="1454"/>
      <c r="T58" s="1454"/>
      <c r="U58" s="1454"/>
      <c r="V58" s="1454"/>
      <c r="W58" s="1454"/>
      <c r="X58" s="1454"/>
      <c r="Y58" s="1454"/>
      <c r="Z58" s="1454"/>
      <c r="AA58" s="1454"/>
      <c r="AB58" s="1454"/>
      <c r="AC58" s="1454"/>
      <c r="AD58" s="1454"/>
      <c r="AE58" s="1454"/>
      <c r="AF58" s="1454"/>
      <c r="AG58" s="1454"/>
      <c r="AH58" s="1454"/>
      <c r="AI58" s="1454"/>
      <c r="AJ58" s="1454"/>
      <c r="AK58" s="1454"/>
      <c r="AL58" s="1454"/>
      <c r="AM58" s="1454"/>
      <c r="AN58" s="1454"/>
      <c r="AO58" s="1454"/>
      <c r="AP58" s="1454"/>
      <c r="AQ58" s="1454"/>
      <c r="AR58" s="1454"/>
      <c r="AS58" s="1454"/>
      <c r="AT58" s="1454"/>
      <c r="AU58" s="1454"/>
      <c r="AV58" s="1454"/>
      <c r="AW58" s="1454"/>
      <c r="AX58" s="1454"/>
      <c r="AY58" s="1454"/>
      <c r="AZ58" s="1454"/>
      <c r="BA58" s="1454"/>
      <c r="BB58" s="1454"/>
      <c r="BC58" s="1454"/>
      <c r="BD58" s="1454"/>
      <c r="BE58" s="1454"/>
      <c r="BF58" s="1454"/>
      <c r="BG58" s="1454"/>
      <c r="BH58" s="1454"/>
      <c r="BI58" s="1454"/>
      <c r="BJ58" s="1454"/>
      <c r="BK58" s="1454"/>
      <c r="BL58" s="1454"/>
      <c r="BM58" s="1454"/>
      <c r="BN58" s="1454"/>
      <c r="BO58" s="1454"/>
      <c r="BP58" s="1454"/>
      <c r="BQ58" s="1454"/>
      <c r="BR58" s="1454"/>
      <c r="BS58" s="1454"/>
      <c r="BT58" s="1454"/>
      <c r="BU58" s="1454"/>
      <c r="BV58" s="1454"/>
      <c r="BW58" s="1454"/>
      <c r="BX58" s="1454"/>
      <c r="BY58" s="1454"/>
      <c r="BZ58" s="1454"/>
      <c r="CA58" s="1454"/>
      <c r="CB58" s="1454"/>
      <c r="CC58" s="1454"/>
      <c r="CD58" s="1454"/>
      <c r="CE58" s="1454"/>
      <c r="CF58" s="1454"/>
      <c r="CG58" s="1454"/>
      <c r="CH58" s="1454"/>
      <c r="CI58" s="1454"/>
      <c r="CJ58" s="1454"/>
      <c r="CK58" s="1454"/>
      <c r="CL58" s="1454"/>
      <c r="CM58" s="1454"/>
      <c r="CN58" s="1454"/>
      <c r="CO58" s="1454"/>
      <c r="CP58" s="1454"/>
      <c r="CQ58" s="1454"/>
      <c r="CR58" s="1454"/>
      <c r="CS58" s="1454"/>
      <c r="CT58" s="1454"/>
      <c r="CU58" s="1454"/>
      <c r="CV58" s="1454"/>
      <c r="CW58" s="1454"/>
      <c r="CX58" s="1454"/>
      <c r="CY58" s="1454"/>
      <c r="CZ58" s="1454"/>
      <c r="DA58" s="1454"/>
      <c r="DB58" s="1454"/>
    </row>
    <row r="59" spans="1:108" ht="13.5" customHeight="1">
      <c r="C59" s="1258" t="s">
        <v>3839</v>
      </c>
      <c r="G59" s="1454" t="s">
        <v>4094</v>
      </c>
      <c r="H59" s="1454"/>
      <c r="I59" s="1454"/>
      <c r="J59" s="1454"/>
      <c r="K59" s="1454"/>
      <c r="L59" s="1454"/>
      <c r="M59" s="1454"/>
      <c r="N59" s="1454"/>
      <c r="O59" s="1454"/>
      <c r="P59" s="1454"/>
      <c r="Q59" s="1454"/>
      <c r="R59" s="1454"/>
      <c r="S59" s="1454"/>
      <c r="T59" s="1454"/>
      <c r="U59" s="1454"/>
      <c r="V59" s="1454"/>
      <c r="W59" s="1454"/>
      <c r="X59" s="1454"/>
      <c r="Y59" s="1454"/>
      <c r="Z59" s="1454"/>
      <c r="AA59" s="1454"/>
      <c r="AB59" s="1454"/>
      <c r="AC59" s="1454"/>
      <c r="AD59" s="1454"/>
      <c r="AE59" s="1454"/>
      <c r="AF59" s="1454"/>
      <c r="AG59" s="1454"/>
      <c r="AH59" s="1454"/>
      <c r="AI59" s="1454"/>
      <c r="AJ59" s="1454"/>
      <c r="AK59" s="1454"/>
      <c r="AL59" s="1454"/>
      <c r="AM59" s="1454"/>
      <c r="AN59" s="1454"/>
      <c r="AO59" s="1454"/>
      <c r="AP59" s="1454"/>
      <c r="AQ59" s="1454"/>
      <c r="AR59" s="1454"/>
      <c r="AS59" s="1454"/>
      <c r="AT59" s="1454"/>
      <c r="AU59" s="1454"/>
      <c r="AV59" s="1454"/>
      <c r="AW59" s="1454"/>
      <c r="AX59" s="1454"/>
      <c r="AY59" s="1454"/>
      <c r="AZ59" s="1454"/>
      <c r="BA59" s="1454"/>
      <c r="BB59" s="1454"/>
      <c r="BC59" s="1454"/>
      <c r="BD59" s="1454"/>
      <c r="BE59" s="1454"/>
      <c r="BF59" s="1454"/>
      <c r="BG59" s="1454"/>
      <c r="BH59" s="1454"/>
      <c r="BI59" s="1454"/>
      <c r="BJ59" s="1454"/>
      <c r="BK59" s="1454"/>
      <c r="BL59" s="1454"/>
      <c r="BM59" s="1454"/>
      <c r="BN59" s="1454"/>
      <c r="BO59" s="1454"/>
      <c r="BP59" s="1454"/>
      <c r="BQ59" s="1454"/>
      <c r="BR59" s="1454"/>
      <c r="BS59" s="1454"/>
      <c r="BT59" s="1454"/>
      <c r="BU59" s="1454"/>
      <c r="BV59" s="1454"/>
      <c r="BW59" s="1454"/>
      <c r="BX59" s="1454"/>
      <c r="BY59" s="1454"/>
      <c r="BZ59" s="1454"/>
      <c r="CA59" s="1454"/>
      <c r="CB59" s="1454"/>
      <c r="CC59" s="1454"/>
      <c r="CD59" s="1454"/>
      <c r="CE59" s="1454"/>
      <c r="CF59" s="1454"/>
      <c r="CG59" s="1454"/>
      <c r="CH59" s="1454"/>
      <c r="CI59" s="1454"/>
      <c r="CJ59" s="1454"/>
      <c r="CK59" s="1454"/>
      <c r="CL59" s="1454"/>
      <c r="CM59" s="1454"/>
      <c r="CN59" s="1454"/>
      <c r="CO59" s="1454"/>
      <c r="CP59" s="1454"/>
      <c r="CQ59" s="1454"/>
      <c r="CR59" s="1454"/>
      <c r="CS59" s="1454"/>
      <c r="CT59" s="1454"/>
      <c r="CU59" s="1454"/>
      <c r="CV59" s="1454"/>
      <c r="CW59" s="1454"/>
      <c r="CX59" s="1454"/>
      <c r="CY59" s="1454"/>
      <c r="CZ59" s="1454"/>
      <c r="DA59" s="1454"/>
      <c r="DB59" s="1454"/>
    </row>
    <row r="60" spans="1:108" ht="13.5" customHeight="1">
      <c r="G60" s="1454"/>
      <c r="H60" s="1454"/>
      <c r="I60" s="1454"/>
      <c r="J60" s="1454"/>
      <c r="K60" s="1454"/>
      <c r="L60" s="1454"/>
      <c r="M60" s="1454"/>
      <c r="N60" s="1454"/>
      <c r="O60" s="1454"/>
      <c r="P60" s="1454"/>
      <c r="Q60" s="1454"/>
      <c r="R60" s="1454"/>
      <c r="S60" s="1454"/>
      <c r="T60" s="1454"/>
      <c r="U60" s="1454"/>
      <c r="V60" s="1454"/>
      <c r="W60" s="1454"/>
      <c r="X60" s="1454"/>
      <c r="Y60" s="1454"/>
      <c r="Z60" s="1454"/>
      <c r="AA60" s="1454"/>
      <c r="AB60" s="1454"/>
      <c r="AC60" s="1454"/>
      <c r="AD60" s="1454"/>
      <c r="AE60" s="1454"/>
      <c r="AF60" s="1454"/>
      <c r="AG60" s="1454"/>
      <c r="AH60" s="1454"/>
      <c r="AI60" s="1454"/>
      <c r="AJ60" s="1454"/>
      <c r="AK60" s="1454"/>
      <c r="AL60" s="1454"/>
      <c r="AM60" s="1454"/>
      <c r="AN60" s="1454"/>
      <c r="AO60" s="1454"/>
      <c r="AP60" s="1454"/>
      <c r="AQ60" s="1454"/>
      <c r="AR60" s="1454"/>
      <c r="AS60" s="1454"/>
      <c r="AT60" s="1454"/>
      <c r="AU60" s="1454"/>
      <c r="AV60" s="1454"/>
      <c r="AW60" s="1454"/>
      <c r="AX60" s="1454"/>
      <c r="AY60" s="1454"/>
      <c r="AZ60" s="1454"/>
      <c r="BA60" s="1454"/>
      <c r="BB60" s="1454"/>
      <c r="BC60" s="1454"/>
      <c r="BD60" s="1454"/>
      <c r="BE60" s="1454"/>
      <c r="BF60" s="1454"/>
      <c r="BG60" s="1454"/>
      <c r="BH60" s="1454"/>
      <c r="BI60" s="1454"/>
      <c r="BJ60" s="1454"/>
      <c r="BK60" s="1454"/>
      <c r="BL60" s="1454"/>
      <c r="BM60" s="1454"/>
      <c r="BN60" s="1454"/>
      <c r="BO60" s="1454"/>
      <c r="BP60" s="1454"/>
      <c r="BQ60" s="1454"/>
      <c r="BR60" s="1454"/>
      <c r="BS60" s="1454"/>
      <c r="BT60" s="1454"/>
      <c r="BU60" s="1454"/>
      <c r="BV60" s="1454"/>
      <c r="BW60" s="1454"/>
      <c r="BX60" s="1454"/>
      <c r="BY60" s="1454"/>
      <c r="BZ60" s="1454"/>
      <c r="CA60" s="1454"/>
      <c r="CB60" s="1454"/>
      <c r="CC60" s="1454"/>
      <c r="CD60" s="1454"/>
      <c r="CE60" s="1454"/>
      <c r="CF60" s="1454"/>
      <c r="CG60" s="1454"/>
      <c r="CH60" s="1454"/>
      <c r="CI60" s="1454"/>
      <c r="CJ60" s="1454"/>
      <c r="CK60" s="1454"/>
      <c r="CL60" s="1454"/>
      <c r="CM60" s="1454"/>
      <c r="CN60" s="1454"/>
      <c r="CO60" s="1454"/>
      <c r="CP60" s="1454"/>
      <c r="CQ60" s="1454"/>
      <c r="CR60" s="1454"/>
      <c r="CS60" s="1454"/>
      <c r="CT60" s="1454"/>
      <c r="CU60" s="1454"/>
      <c r="CV60" s="1454"/>
      <c r="CW60" s="1454"/>
      <c r="CX60" s="1454"/>
      <c r="CY60" s="1454"/>
      <c r="CZ60" s="1454"/>
      <c r="DA60" s="1454"/>
      <c r="DB60" s="1454"/>
    </row>
    <row r="61" spans="1:108" ht="13.5" customHeight="1">
      <c r="A61" s="1258" t="s">
        <v>4095</v>
      </c>
    </row>
    <row r="62" spans="1:108" ht="13.5" customHeight="1">
      <c r="C62" s="1258" t="s">
        <v>3838</v>
      </c>
      <c r="G62" s="1455" t="s">
        <v>4096</v>
      </c>
      <c r="H62" s="1455"/>
      <c r="I62" s="1455"/>
      <c r="J62" s="1455"/>
      <c r="K62" s="1455"/>
      <c r="L62" s="1455"/>
      <c r="M62" s="1455"/>
      <c r="N62" s="1455"/>
      <c r="O62" s="1455"/>
      <c r="P62" s="1455"/>
      <c r="Q62" s="1455"/>
      <c r="R62" s="1455"/>
      <c r="S62" s="1455"/>
      <c r="T62" s="1455"/>
      <c r="U62" s="1455"/>
      <c r="V62" s="1455"/>
      <c r="W62" s="1455"/>
      <c r="X62" s="1455"/>
      <c r="Y62" s="1455"/>
      <c r="Z62" s="1455"/>
      <c r="AA62" s="1455"/>
      <c r="AB62" s="1455"/>
      <c r="AC62" s="1455"/>
      <c r="AD62" s="1455"/>
      <c r="AE62" s="1455"/>
      <c r="AF62" s="1455"/>
      <c r="AG62" s="1455"/>
      <c r="AH62" s="1455"/>
      <c r="AI62" s="1455"/>
      <c r="AJ62" s="1455"/>
      <c r="AK62" s="1455"/>
      <c r="AL62" s="1455"/>
      <c r="AM62" s="1455"/>
      <c r="AN62" s="1455"/>
      <c r="AO62" s="1455"/>
      <c r="AP62" s="1455"/>
      <c r="AQ62" s="1455"/>
      <c r="AR62" s="1455"/>
      <c r="AS62" s="1455"/>
      <c r="AT62" s="1455"/>
      <c r="AU62" s="1455"/>
      <c r="AV62" s="1455"/>
      <c r="AW62" s="1455"/>
      <c r="AX62" s="1455"/>
      <c r="AY62" s="1455"/>
      <c r="AZ62" s="1455"/>
      <c r="BA62" s="1455"/>
      <c r="BB62" s="1455"/>
      <c r="BC62" s="1455"/>
      <c r="BD62" s="1455"/>
      <c r="BE62" s="1455"/>
      <c r="BF62" s="1455"/>
      <c r="BG62" s="1455"/>
      <c r="BH62" s="1455"/>
      <c r="BI62" s="1455"/>
      <c r="BJ62" s="1455"/>
      <c r="BK62" s="1455"/>
      <c r="BL62" s="1455"/>
      <c r="BM62" s="1455"/>
      <c r="BN62" s="1455"/>
      <c r="BO62" s="1455"/>
      <c r="BP62" s="1455"/>
      <c r="BQ62" s="1455"/>
      <c r="BR62" s="1455"/>
      <c r="BS62" s="1455"/>
      <c r="BT62" s="1455"/>
      <c r="BU62" s="1455"/>
      <c r="BV62" s="1455"/>
      <c r="BW62" s="1455"/>
      <c r="BX62" s="1455"/>
      <c r="BY62" s="1455"/>
      <c r="BZ62" s="1455"/>
      <c r="CA62" s="1455"/>
      <c r="CB62" s="1455"/>
      <c r="CC62" s="1455"/>
      <c r="CD62" s="1455"/>
      <c r="CE62" s="1455"/>
      <c r="CF62" s="1455"/>
      <c r="CG62" s="1455"/>
      <c r="CH62" s="1455"/>
      <c r="CI62" s="1455"/>
      <c r="CJ62" s="1455"/>
      <c r="CK62" s="1455"/>
      <c r="CL62" s="1455"/>
      <c r="CM62" s="1455"/>
      <c r="CN62" s="1455"/>
      <c r="CO62" s="1455"/>
      <c r="CP62" s="1455"/>
      <c r="CQ62" s="1455"/>
      <c r="CR62" s="1455"/>
      <c r="CS62" s="1455"/>
      <c r="CT62" s="1455"/>
      <c r="CU62" s="1455"/>
      <c r="CV62" s="1455"/>
      <c r="CW62" s="1455"/>
      <c r="CX62" s="1455"/>
      <c r="CY62" s="1455"/>
      <c r="CZ62" s="1455"/>
      <c r="DA62" s="1455"/>
      <c r="DB62" s="1455"/>
    </row>
    <row r="63" spans="1:108" ht="13.5" customHeight="1">
      <c r="C63" s="1258" t="s">
        <v>3839</v>
      </c>
      <c r="G63" s="1454" t="s">
        <v>4097</v>
      </c>
      <c r="H63" s="1454"/>
      <c r="I63" s="1454"/>
      <c r="J63" s="1454"/>
      <c r="K63" s="1454"/>
      <c r="L63" s="1454"/>
      <c r="M63" s="1454"/>
      <c r="N63" s="1454"/>
      <c r="O63" s="1454"/>
      <c r="P63" s="1454"/>
      <c r="Q63" s="1454"/>
      <c r="R63" s="1454"/>
      <c r="S63" s="1454"/>
      <c r="T63" s="1454"/>
      <c r="U63" s="1454"/>
      <c r="V63" s="1454"/>
      <c r="W63" s="1454"/>
      <c r="X63" s="1454"/>
      <c r="Y63" s="1454"/>
      <c r="Z63" s="1454"/>
      <c r="AA63" s="1454"/>
      <c r="AB63" s="1454"/>
      <c r="AC63" s="1454"/>
      <c r="AD63" s="1454"/>
      <c r="AE63" s="1454"/>
      <c r="AF63" s="1454"/>
      <c r="AG63" s="1454"/>
      <c r="AH63" s="1454"/>
      <c r="AI63" s="1454"/>
      <c r="AJ63" s="1454"/>
      <c r="AK63" s="1454"/>
      <c r="AL63" s="1454"/>
      <c r="AM63" s="1454"/>
      <c r="AN63" s="1454"/>
      <c r="AO63" s="1454"/>
      <c r="AP63" s="1454"/>
      <c r="AQ63" s="1454"/>
      <c r="AR63" s="1454"/>
      <c r="AS63" s="1454"/>
      <c r="AT63" s="1454"/>
      <c r="AU63" s="1454"/>
      <c r="AV63" s="1454"/>
      <c r="AW63" s="1454"/>
      <c r="AX63" s="1454"/>
      <c r="AY63" s="1454"/>
      <c r="AZ63" s="1454"/>
      <c r="BA63" s="1454"/>
      <c r="BB63" s="1454"/>
      <c r="BC63" s="1454"/>
      <c r="BD63" s="1454"/>
      <c r="BE63" s="1454"/>
      <c r="BF63" s="1454"/>
      <c r="BG63" s="1454"/>
      <c r="BH63" s="1454"/>
      <c r="BI63" s="1454"/>
      <c r="BJ63" s="1454"/>
      <c r="BK63" s="1454"/>
      <c r="BL63" s="1454"/>
      <c r="BM63" s="1454"/>
      <c r="BN63" s="1454"/>
      <c r="BO63" s="1454"/>
      <c r="BP63" s="1454"/>
      <c r="BQ63" s="1454"/>
      <c r="BR63" s="1454"/>
      <c r="BS63" s="1454"/>
      <c r="BT63" s="1454"/>
      <c r="BU63" s="1454"/>
      <c r="BV63" s="1454"/>
      <c r="BW63" s="1454"/>
      <c r="BX63" s="1454"/>
      <c r="BY63" s="1454"/>
      <c r="BZ63" s="1454"/>
      <c r="CA63" s="1454"/>
      <c r="CB63" s="1454"/>
      <c r="CC63" s="1454"/>
      <c r="CD63" s="1454"/>
      <c r="CE63" s="1454"/>
      <c r="CF63" s="1454"/>
      <c r="CG63" s="1454"/>
      <c r="CH63" s="1454"/>
      <c r="CI63" s="1454"/>
      <c r="CJ63" s="1454"/>
      <c r="CK63" s="1454"/>
      <c r="CL63" s="1454"/>
      <c r="CM63" s="1454"/>
      <c r="CN63" s="1454"/>
      <c r="CO63" s="1454"/>
      <c r="CP63" s="1454"/>
      <c r="CQ63" s="1454"/>
      <c r="CR63" s="1454"/>
      <c r="CS63" s="1454"/>
      <c r="CT63" s="1454"/>
      <c r="CU63" s="1454"/>
      <c r="CV63" s="1454"/>
      <c r="CW63" s="1454"/>
      <c r="CX63" s="1454"/>
      <c r="CY63" s="1454"/>
      <c r="CZ63" s="1454"/>
      <c r="DA63" s="1454"/>
      <c r="DB63" s="1454"/>
    </row>
    <row r="64" spans="1:108" ht="13.5" customHeight="1">
      <c r="A64" s="1263"/>
      <c r="B64" s="1264"/>
      <c r="C64" s="1264"/>
      <c r="D64" s="1264"/>
      <c r="E64" s="1264"/>
      <c r="F64" s="1264"/>
      <c r="G64" s="1454"/>
      <c r="H64" s="1454"/>
      <c r="I64" s="1454"/>
      <c r="J64" s="1454"/>
      <c r="K64" s="1454"/>
      <c r="L64" s="1454"/>
      <c r="M64" s="1454"/>
      <c r="N64" s="1454"/>
      <c r="O64" s="1454"/>
      <c r="P64" s="1454"/>
      <c r="Q64" s="1454"/>
      <c r="R64" s="1454"/>
      <c r="S64" s="1454"/>
      <c r="T64" s="1454"/>
      <c r="U64" s="1454"/>
      <c r="V64" s="1454"/>
      <c r="W64" s="1454"/>
      <c r="X64" s="1454"/>
      <c r="Y64" s="1454"/>
      <c r="Z64" s="1454"/>
      <c r="AA64" s="1454"/>
      <c r="AB64" s="1454"/>
      <c r="AC64" s="1454"/>
      <c r="AD64" s="1454"/>
      <c r="AE64" s="1454"/>
      <c r="AF64" s="1454"/>
      <c r="AG64" s="1454"/>
      <c r="AH64" s="1454"/>
      <c r="AI64" s="1454"/>
      <c r="AJ64" s="1454"/>
      <c r="AK64" s="1454"/>
      <c r="AL64" s="1454"/>
      <c r="AM64" s="1454"/>
      <c r="AN64" s="1454"/>
      <c r="AO64" s="1454"/>
      <c r="AP64" s="1454"/>
      <c r="AQ64" s="1454"/>
      <c r="AR64" s="1454"/>
      <c r="AS64" s="1454"/>
      <c r="AT64" s="1454"/>
      <c r="AU64" s="1454"/>
      <c r="AV64" s="1454"/>
      <c r="AW64" s="1454"/>
      <c r="AX64" s="1454"/>
      <c r="AY64" s="1454"/>
      <c r="AZ64" s="1454"/>
      <c r="BA64" s="1454"/>
      <c r="BB64" s="1454"/>
      <c r="BC64" s="1454"/>
      <c r="BD64" s="1454"/>
      <c r="BE64" s="1454"/>
      <c r="BF64" s="1454"/>
      <c r="BG64" s="1454"/>
      <c r="BH64" s="1454"/>
      <c r="BI64" s="1454"/>
      <c r="BJ64" s="1454"/>
      <c r="BK64" s="1454"/>
      <c r="BL64" s="1454"/>
      <c r="BM64" s="1454"/>
      <c r="BN64" s="1454"/>
      <c r="BO64" s="1454"/>
      <c r="BP64" s="1454"/>
      <c r="BQ64" s="1454"/>
      <c r="BR64" s="1454"/>
      <c r="BS64" s="1454"/>
      <c r="BT64" s="1454"/>
      <c r="BU64" s="1454"/>
      <c r="BV64" s="1454"/>
      <c r="BW64" s="1454"/>
      <c r="BX64" s="1454"/>
      <c r="BY64" s="1454"/>
      <c r="BZ64" s="1454"/>
      <c r="CA64" s="1454"/>
      <c r="CB64" s="1454"/>
      <c r="CC64" s="1454"/>
      <c r="CD64" s="1454"/>
      <c r="CE64" s="1454"/>
      <c r="CF64" s="1454"/>
      <c r="CG64" s="1454"/>
      <c r="CH64" s="1454"/>
      <c r="CI64" s="1454"/>
      <c r="CJ64" s="1454"/>
      <c r="CK64" s="1454"/>
      <c r="CL64" s="1454"/>
      <c r="CM64" s="1454"/>
      <c r="CN64" s="1454"/>
      <c r="CO64" s="1454"/>
      <c r="CP64" s="1454"/>
      <c r="CQ64" s="1454"/>
      <c r="CR64" s="1454"/>
      <c r="CS64" s="1454"/>
      <c r="CT64" s="1454"/>
      <c r="CU64" s="1454"/>
      <c r="CV64" s="1454"/>
      <c r="CW64" s="1454"/>
      <c r="CX64" s="1454"/>
      <c r="CY64" s="1454"/>
      <c r="CZ64" s="1454"/>
      <c r="DA64" s="1454"/>
      <c r="DB64" s="1454"/>
      <c r="DC64" s="1264"/>
      <c r="DD64" s="1264"/>
    </row>
    <row r="65" spans="1:108" ht="13.5" customHeight="1">
      <c r="A65" s="1250"/>
      <c r="B65" s="1265"/>
      <c r="C65" s="1265"/>
      <c r="D65" s="1265"/>
      <c r="E65" s="1265"/>
      <c r="F65" s="1265"/>
      <c r="G65" s="1265"/>
      <c r="H65" s="1265"/>
      <c r="I65" s="1265"/>
      <c r="J65" s="1265"/>
      <c r="K65" s="1265"/>
      <c r="L65" s="1265"/>
      <c r="M65" s="1265"/>
      <c r="N65" s="1265"/>
      <c r="O65" s="1265"/>
      <c r="P65" s="1265"/>
      <c r="Q65" s="1265"/>
      <c r="R65" s="1265"/>
      <c r="S65" s="1265"/>
      <c r="T65" s="1265"/>
      <c r="U65" s="1265"/>
      <c r="V65" s="1265"/>
      <c r="W65" s="1265"/>
      <c r="X65" s="1265"/>
      <c r="Y65" s="1265"/>
      <c r="Z65" s="1265"/>
      <c r="AA65" s="1265"/>
      <c r="AB65" s="1265"/>
      <c r="AC65" s="1265"/>
      <c r="AD65" s="1265"/>
      <c r="AE65" s="1265"/>
      <c r="AF65" s="1265"/>
      <c r="AG65" s="1265"/>
      <c r="AH65" s="1265"/>
      <c r="AI65" s="1265"/>
      <c r="AJ65" s="1265"/>
      <c r="AK65" s="1265"/>
      <c r="AL65" s="1265"/>
      <c r="AM65" s="1265"/>
      <c r="AN65" s="1265"/>
      <c r="AO65" s="1265"/>
      <c r="AP65" s="1265"/>
      <c r="AQ65" s="1265"/>
      <c r="AR65" s="1265"/>
      <c r="AS65" s="1265"/>
      <c r="AT65" s="1265"/>
      <c r="AU65" s="1265"/>
      <c r="AV65" s="1265"/>
      <c r="AW65" s="1265"/>
      <c r="AX65" s="1265"/>
      <c r="AY65" s="1265"/>
      <c r="AZ65" s="1265"/>
      <c r="BA65" s="1265"/>
      <c r="BB65" s="1265"/>
      <c r="BC65" s="1265"/>
      <c r="BD65" s="1265"/>
      <c r="BE65" s="1265"/>
      <c r="BF65" s="1265"/>
      <c r="BG65" s="1265"/>
      <c r="BH65" s="1265"/>
      <c r="BI65" s="1265"/>
      <c r="BJ65" s="1265"/>
      <c r="BK65" s="1265"/>
      <c r="BL65" s="1265"/>
      <c r="BM65" s="1265"/>
      <c r="BN65" s="1265"/>
      <c r="BO65" s="1265"/>
      <c r="BP65" s="1265"/>
      <c r="BQ65" s="1265"/>
      <c r="BR65" s="1265"/>
      <c r="BS65" s="1265"/>
      <c r="BT65" s="1265"/>
      <c r="BU65" s="1265"/>
      <c r="BV65" s="1265"/>
      <c r="BW65" s="1265"/>
      <c r="BX65" s="1265"/>
      <c r="BY65" s="1265"/>
      <c r="BZ65" s="1265"/>
      <c r="CA65" s="1265"/>
      <c r="CB65" s="1265"/>
      <c r="CC65" s="1265"/>
      <c r="CD65" s="1265"/>
      <c r="CE65" s="1265"/>
      <c r="CF65" s="1265"/>
      <c r="CG65" s="1265"/>
      <c r="CH65" s="1265"/>
      <c r="CI65" s="1265"/>
      <c r="CJ65" s="1265"/>
      <c r="CK65" s="1265"/>
      <c r="CL65" s="1265"/>
      <c r="CM65" s="1265"/>
      <c r="CN65" s="1265"/>
      <c r="CO65" s="1265"/>
      <c r="CP65" s="1265"/>
      <c r="CQ65" s="1265"/>
      <c r="CR65" s="1265"/>
      <c r="CS65" s="1265"/>
      <c r="CT65" s="1265"/>
      <c r="CU65" s="1265"/>
      <c r="CV65" s="1265"/>
      <c r="CW65" s="1265"/>
      <c r="CX65" s="1265"/>
      <c r="CY65" s="1265"/>
      <c r="CZ65" s="1265"/>
      <c r="DA65" s="1265"/>
      <c r="DB65" s="1265"/>
      <c r="DC65" s="1265"/>
      <c r="DD65" s="1265"/>
    </row>
    <row r="66" spans="1:108" ht="10.5" customHeight="1"/>
    <row r="67" spans="1:108" ht="10.5" customHeight="1"/>
    <row r="68" spans="1:108" ht="10.5" customHeight="1"/>
    <row r="69" spans="1:108" ht="10.5" customHeight="1"/>
    <row r="70" spans="1:108" ht="10.5" customHeight="1"/>
    <row r="71" spans="1:108" ht="10.5" customHeight="1"/>
    <row r="72" spans="1:108" ht="10.5" customHeight="1"/>
    <row r="73" spans="1:108" ht="10.5" customHeight="1"/>
    <row r="74" spans="1:108" ht="10.5" customHeight="1"/>
    <row r="75" spans="1:108" ht="10.5" customHeight="1"/>
    <row r="76" spans="1:108" ht="10.5" customHeight="1"/>
    <row r="77" spans="1:108" ht="10.5" customHeight="1"/>
    <row r="78" spans="1:108" ht="10.5" customHeight="1"/>
    <row r="79" spans="1:108" ht="10.5" customHeight="1"/>
    <row r="80" spans="1:108"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sheetData>
  <mergeCells count="5">
    <mergeCell ref="A2:DD2"/>
    <mergeCell ref="G57:DB58"/>
    <mergeCell ref="G59:DB60"/>
    <mergeCell ref="G62:DB62"/>
    <mergeCell ref="G63:DB64"/>
  </mergeCells>
  <phoneticPr fontId="122"/>
  <printOptions horizontalCentered="1" verticalCentered="1"/>
  <pageMargins left="1.1811023622047245" right="0.74803149606299213" top="0.43307086614173229" bottom="3.937007874015748E-2" header="0.19685039370078741" footer="0.19685039370078741"/>
  <pageSetup paperSize="9" orientation="portrait" blackAndWhite="1"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F649"/>
  <sheetViews>
    <sheetView zoomScaleNormal="100" zoomScaleSheetLayoutView="100" workbookViewId="0"/>
  </sheetViews>
  <sheetFormatPr defaultColWidth="2.6640625" defaultRowHeight="13.2"/>
  <cols>
    <col min="1" max="1" width="1.6640625" style="293" customWidth="1"/>
    <col min="2" max="8" width="2.6640625" style="293" customWidth="1"/>
    <col min="9" max="9" width="3" style="293" customWidth="1"/>
    <col min="10" max="34" width="2.6640625" style="293" customWidth="1"/>
    <col min="35" max="37" width="2.44140625" style="293" customWidth="1"/>
    <col min="38" max="38" width="0.88671875" style="293" customWidth="1"/>
    <col min="39" max="40" width="2.6640625" style="293" customWidth="1"/>
    <col min="41" max="41" width="4.88671875" style="293" bestFit="1" customWidth="1"/>
    <col min="42" max="42" width="2.6640625" style="293" customWidth="1"/>
    <col min="43" max="16384" width="2.6640625" style="293"/>
  </cols>
  <sheetData>
    <row r="1" spans="1:38">
      <c r="A1" s="1456" t="s">
        <v>4</v>
      </c>
      <c r="B1" s="1456"/>
      <c r="C1" s="1456"/>
      <c r="D1" s="1456"/>
      <c r="E1" s="1456"/>
      <c r="F1" s="1456"/>
      <c r="G1" s="1456"/>
      <c r="H1" s="1456"/>
      <c r="I1" s="1456"/>
      <c r="J1" s="1456"/>
      <c r="K1" s="1456"/>
      <c r="L1" s="1456"/>
      <c r="M1" s="1456"/>
    </row>
    <row r="2" spans="1:38">
      <c r="A2" s="1456"/>
      <c r="B2" s="1456"/>
      <c r="C2" s="1456"/>
      <c r="D2" s="1456"/>
      <c r="E2" s="1456"/>
      <c r="F2" s="1456"/>
      <c r="G2" s="1456"/>
      <c r="H2" s="1456"/>
      <c r="I2" s="1456"/>
      <c r="J2" s="1456"/>
      <c r="K2" s="1456"/>
      <c r="L2" s="1456"/>
      <c r="M2" s="1456"/>
    </row>
    <row r="4" spans="1:38" ht="8.1" customHeight="1">
      <c r="A4" s="1456" t="s">
        <v>3056</v>
      </c>
      <c r="B4" s="1456"/>
      <c r="C4" s="1456"/>
      <c r="D4" s="1456"/>
      <c r="E4" s="1456"/>
      <c r="F4" s="1456"/>
      <c r="G4" s="1456"/>
      <c r="H4" s="1456"/>
      <c r="I4" s="1456"/>
      <c r="J4" s="1456"/>
      <c r="K4" s="1456"/>
      <c r="L4" s="1456"/>
      <c r="M4" s="1456"/>
      <c r="N4" s="1456"/>
      <c r="O4" s="1456"/>
      <c r="P4" s="1456"/>
      <c r="Q4" s="1456"/>
      <c r="R4" s="1456"/>
      <c r="S4" s="1456"/>
      <c r="T4" s="1456"/>
      <c r="U4" s="1456"/>
      <c r="V4" s="1456"/>
      <c r="W4" s="1456"/>
      <c r="X4" s="1456"/>
      <c r="Y4" s="1456"/>
      <c r="Z4" s="1456"/>
      <c r="AA4" s="1456"/>
      <c r="AB4" s="1456"/>
      <c r="AC4" s="1456"/>
      <c r="AD4" s="1456"/>
      <c r="AE4" s="1456"/>
      <c r="AF4" s="1456"/>
      <c r="AG4" s="1456"/>
      <c r="AH4" s="1456"/>
      <c r="AI4" s="1456"/>
      <c r="AJ4" s="1456"/>
      <c r="AK4" s="292"/>
      <c r="AL4" s="292"/>
    </row>
    <row r="5" spans="1:38" ht="8.1" customHeight="1">
      <c r="A5" s="1456"/>
      <c r="B5" s="1456"/>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292"/>
      <c r="AL5" s="292"/>
    </row>
    <row r="6" spans="1:38" ht="8.1" customHeight="1">
      <c r="A6" s="1456" t="s">
        <v>2693</v>
      </c>
      <c r="B6" s="1456"/>
      <c r="C6" s="1456"/>
      <c r="D6" s="1456"/>
      <c r="E6" s="1456"/>
      <c r="F6" s="1456"/>
      <c r="G6" s="1456"/>
      <c r="H6" s="1456"/>
      <c r="I6" s="1456"/>
      <c r="J6" s="1456"/>
      <c r="K6" s="1456"/>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292"/>
      <c r="AL6" s="292"/>
    </row>
    <row r="7" spans="1:38" ht="8.1" customHeight="1">
      <c r="A7" s="1456"/>
      <c r="B7" s="1456"/>
      <c r="C7" s="1456"/>
      <c r="D7" s="1456"/>
      <c r="E7" s="1456"/>
      <c r="F7" s="1456"/>
      <c r="G7" s="1456"/>
      <c r="H7" s="1456"/>
      <c r="I7" s="1456"/>
      <c r="J7" s="1456"/>
      <c r="K7" s="1456"/>
      <c r="L7" s="1456"/>
      <c r="M7" s="1456"/>
      <c r="N7" s="1456"/>
      <c r="O7" s="1456"/>
      <c r="P7" s="1456"/>
      <c r="Q7" s="1456"/>
      <c r="R7" s="1456"/>
      <c r="S7" s="1456"/>
      <c r="T7" s="1456"/>
      <c r="U7" s="1456"/>
      <c r="V7" s="1456"/>
      <c r="W7" s="1456"/>
      <c r="X7" s="1456"/>
      <c r="Y7" s="1456"/>
      <c r="Z7" s="1456"/>
      <c r="AA7" s="1456"/>
      <c r="AB7" s="1456"/>
      <c r="AC7" s="1456"/>
      <c r="AD7" s="1456"/>
      <c r="AE7" s="1456"/>
      <c r="AF7" s="1456"/>
      <c r="AG7" s="1456"/>
      <c r="AH7" s="1456"/>
      <c r="AI7" s="1456"/>
      <c r="AJ7" s="1456"/>
      <c r="AK7" s="292"/>
      <c r="AL7" s="292"/>
    </row>
    <row r="8" spans="1:38" ht="8.1" customHeight="1">
      <c r="A8" s="1456" t="s">
        <v>5</v>
      </c>
      <c r="B8" s="1456"/>
      <c r="C8" s="1456"/>
      <c r="D8" s="1456"/>
      <c r="E8" s="1456"/>
      <c r="F8" s="1456"/>
      <c r="G8" s="1456"/>
      <c r="H8" s="1456"/>
      <c r="I8" s="1456"/>
      <c r="J8" s="1456"/>
      <c r="K8" s="1456"/>
      <c r="L8" s="1456"/>
      <c r="M8" s="1456"/>
      <c r="N8" s="1456"/>
      <c r="O8" s="1456"/>
      <c r="P8" s="1456"/>
      <c r="Q8" s="1456"/>
      <c r="R8" s="1456"/>
      <c r="S8" s="1456"/>
      <c r="T8" s="1456"/>
      <c r="U8" s="1456"/>
      <c r="V8" s="1456"/>
      <c r="W8" s="1456"/>
      <c r="X8" s="1456"/>
      <c r="Y8" s="1456"/>
      <c r="Z8" s="1456"/>
      <c r="AA8" s="1456"/>
      <c r="AB8" s="1456"/>
      <c r="AC8" s="1456"/>
      <c r="AD8" s="1456"/>
      <c r="AE8" s="1456"/>
      <c r="AF8" s="1456"/>
      <c r="AG8" s="1456"/>
      <c r="AH8" s="1456"/>
      <c r="AI8" s="1456"/>
      <c r="AJ8" s="1456"/>
      <c r="AK8" s="292"/>
      <c r="AL8" s="292"/>
    </row>
    <row r="9" spans="1:38" ht="8.1" customHeight="1">
      <c r="A9" s="1456"/>
      <c r="B9" s="1456"/>
      <c r="C9" s="1456"/>
      <c r="D9" s="1456"/>
      <c r="E9" s="1456"/>
      <c r="F9" s="1456"/>
      <c r="G9" s="1456"/>
      <c r="H9" s="1456"/>
      <c r="I9" s="1456"/>
      <c r="J9" s="1456"/>
      <c r="K9" s="1456"/>
      <c r="L9" s="1456"/>
      <c r="M9" s="1456"/>
      <c r="N9" s="1456"/>
      <c r="O9" s="1456"/>
      <c r="P9" s="1456"/>
      <c r="Q9" s="1456"/>
      <c r="R9" s="1456"/>
      <c r="S9" s="1456"/>
      <c r="T9" s="1456"/>
      <c r="U9" s="1456"/>
      <c r="V9" s="1456"/>
      <c r="W9" s="1456"/>
      <c r="X9" s="1456"/>
      <c r="Y9" s="1456"/>
      <c r="Z9" s="1456"/>
      <c r="AA9" s="1456"/>
      <c r="AB9" s="1456"/>
      <c r="AC9" s="1456"/>
      <c r="AD9" s="1456"/>
      <c r="AE9" s="1456"/>
      <c r="AF9" s="1456"/>
      <c r="AG9" s="1456"/>
      <c r="AH9" s="1456"/>
      <c r="AI9" s="1456"/>
      <c r="AJ9" s="1456"/>
      <c r="AK9" s="292"/>
      <c r="AL9" s="292"/>
    </row>
    <row r="10" spans="1:38">
      <c r="Y10" s="1470" t="str">
        <f>cst_wskakunin_SHINSEI_DATE</f>
        <v/>
      </c>
      <c r="Z10" s="1470"/>
      <c r="AA10" s="1470"/>
      <c r="AB10" s="1470"/>
      <c r="AC10" s="1456" t="s">
        <v>380</v>
      </c>
      <c r="AD10" s="1466" t="str">
        <f>cst_wskakunin_SHINSEI_DATE</f>
        <v/>
      </c>
      <c r="AE10" s="1466"/>
      <c r="AF10" s="1456" t="s">
        <v>0</v>
      </c>
      <c r="AG10" s="1468" t="str">
        <f>cst_wskakunin_SHINSEI_DATE</f>
        <v/>
      </c>
      <c r="AH10" s="1468"/>
      <c r="AI10" s="1456" t="s">
        <v>3057</v>
      </c>
    </row>
    <row r="11" spans="1:38">
      <c r="Y11" s="1471"/>
      <c r="Z11" s="1471"/>
      <c r="AA11" s="1471"/>
      <c r="AB11" s="1471"/>
      <c r="AC11" s="1456"/>
      <c r="AD11" s="1467"/>
      <c r="AE11" s="1467"/>
      <c r="AF11" s="1456"/>
      <c r="AG11" s="1469"/>
      <c r="AH11" s="1469"/>
      <c r="AI11" s="1456"/>
    </row>
    <row r="12" spans="1:38">
      <c r="A12" s="1457" t="str">
        <f>cst_wskakunin_BUILD_KEN__ken</f>
        <v>東京都</v>
      </c>
      <c r="B12" s="1457"/>
      <c r="C12" s="1457"/>
      <c r="D12" s="1457"/>
      <c r="E12" s="1457"/>
      <c r="F12" s="1457"/>
      <c r="G12" s="1457"/>
      <c r="H12" s="1457"/>
      <c r="I12" s="1457"/>
      <c r="J12" s="1457"/>
      <c r="K12" s="1457"/>
      <c r="L12" s="1457"/>
      <c r="M12" s="1456" t="s">
        <v>6</v>
      </c>
      <c r="N12" s="1456"/>
      <c r="O12" s="1456"/>
      <c r="P12" s="1456"/>
    </row>
    <row r="13" spans="1:38">
      <c r="A13" s="1458"/>
      <c r="B13" s="1458"/>
      <c r="C13" s="1458"/>
      <c r="D13" s="1458"/>
      <c r="E13" s="1458"/>
      <c r="F13" s="1458"/>
      <c r="G13" s="1458"/>
      <c r="H13" s="1458"/>
      <c r="I13" s="1458"/>
      <c r="J13" s="1458"/>
      <c r="K13" s="1458"/>
      <c r="L13" s="1458"/>
      <c r="M13" s="1456"/>
      <c r="N13" s="1456"/>
      <c r="O13" s="1456"/>
      <c r="P13" s="1456"/>
    </row>
    <row r="14" spans="1:38" ht="3.75" customHeight="1">
      <c r="D14" s="1459"/>
      <c r="E14" s="1459"/>
      <c r="F14" s="1459"/>
      <c r="G14" s="1459"/>
      <c r="H14" s="1459"/>
    </row>
    <row r="15" spans="1:38" ht="18" customHeight="1">
      <c r="A15" s="1460" t="s">
        <v>3058</v>
      </c>
      <c r="B15" s="1461"/>
      <c r="C15" s="1461"/>
      <c r="D15" s="1461"/>
      <c r="E15" s="1461"/>
      <c r="F15" s="1461"/>
      <c r="G15" s="1461"/>
      <c r="H15" s="1461"/>
      <c r="I15" s="1461"/>
      <c r="J15" s="1461"/>
      <c r="K15" s="1461"/>
      <c r="L15" s="1461"/>
      <c r="M15" s="1461"/>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7"/>
    </row>
    <row r="16" spans="1:38" ht="20.100000000000001" customHeight="1">
      <c r="A16" s="298"/>
      <c r="B16" s="299"/>
      <c r="C16" s="299"/>
      <c r="D16" s="1462" t="s">
        <v>7</v>
      </c>
      <c r="E16" s="1462"/>
      <c r="F16" s="1462"/>
      <c r="G16" s="1462"/>
      <c r="H16" s="1462"/>
      <c r="I16" s="1463" t="str">
        <f>cst_wskakunin_owner1__space3</f>
        <v>株式会社ユーイック不動産
代表取締役社長　野崎　豊</v>
      </c>
      <c r="J16" s="1464"/>
      <c r="K16" s="1464"/>
      <c r="L16" s="1464"/>
      <c r="M16" s="1464"/>
      <c r="N16" s="1464"/>
      <c r="O16" s="1464"/>
      <c r="P16" s="1464"/>
      <c r="Q16" s="1464"/>
      <c r="R16" s="1464"/>
      <c r="S16" s="1464"/>
      <c r="T16" s="1464"/>
      <c r="U16" s="1464"/>
      <c r="V16" s="1464"/>
      <c r="W16" s="1464"/>
      <c r="X16" s="1464"/>
      <c r="Y16" s="1464"/>
      <c r="Z16" s="1464"/>
      <c r="AA16" s="1464"/>
      <c r="AB16" s="1464"/>
      <c r="AC16" s="1464"/>
      <c r="AD16" s="1464"/>
      <c r="AE16" s="1464"/>
      <c r="AF16" s="1464"/>
      <c r="AG16" s="1464"/>
      <c r="AH16" s="1464"/>
      <c r="AI16" s="1464"/>
      <c r="AJ16" s="1465"/>
      <c r="AK16" s="299"/>
      <c r="AL16" s="300"/>
    </row>
    <row r="17" spans="1:38" ht="20.100000000000001" customHeight="1">
      <c r="A17" s="298"/>
      <c r="B17" s="299"/>
      <c r="C17" s="299"/>
      <c r="D17" s="1462" t="s">
        <v>8</v>
      </c>
      <c r="E17" s="1462"/>
      <c r="F17" s="1462"/>
      <c r="G17" s="1462"/>
      <c r="H17" s="1462"/>
      <c r="I17" s="1463" t="str">
        <f>cst_wskakunin_owner1_ZIP</f>
        <v>105-0001</v>
      </c>
      <c r="J17" s="1478"/>
      <c r="K17" s="1478"/>
      <c r="L17" s="1478"/>
      <c r="M17" s="1478"/>
      <c r="N17" s="1478"/>
      <c r="O17" s="1478"/>
      <c r="P17" s="1478"/>
      <c r="Q17" s="1478"/>
      <c r="R17" s="1478"/>
      <c r="S17" s="1478"/>
      <c r="T17" s="1479"/>
      <c r="U17" s="301"/>
      <c r="V17" s="301"/>
      <c r="W17" s="301"/>
      <c r="X17" s="301"/>
      <c r="Y17" s="301"/>
      <c r="Z17" s="301"/>
      <c r="AA17" s="301"/>
      <c r="AB17" s="301"/>
      <c r="AC17" s="301"/>
      <c r="AD17" s="301"/>
      <c r="AE17" s="301"/>
      <c r="AF17" s="301"/>
      <c r="AG17" s="301"/>
      <c r="AH17" s="299"/>
      <c r="AI17" s="299"/>
      <c r="AJ17" s="299"/>
      <c r="AK17" s="299"/>
      <c r="AL17" s="300"/>
    </row>
    <row r="18" spans="1:38" ht="20.100000000000001" customHeight="1">
      <c r="A18" s="298"/>
      <c r="B18" s="299"/>
      <c r="C18" s="299"/>
      <c r="D18" s="1462" t="s">
        <v>9</v>
      </c>
      <c r="E18" s="1462"/>
      <c r="F18" s="1462"/>
      <c r="G18" s="1462"/>
      <c r="H18" s="1462"/>
      <c r="I18" s="1463" t="str">
        <f>cst_wskakunin_owner1__address</f>
        <v>東京都港区虎ノ門1-1-21</v>
      </c>
      <c r="J18" s="1464"/>
      <c r="K18" s="1464"/>
      <c r="L18" s="1464"/>
      <c r="M18" s="1464"/>
      <c r="N18" s="1464"/>
      <c r="O18" s="1464"/>
      <c r="P18" s="1464"/>
      <c r="Q18" s="1464"/>
      <c r="R18" s="1464"/>
      <c r="S18" s="1464"/>
      <c r="T18" s="1464"/>
      <c r="U18" s="1464"/>
      <c r="V18" s="1464"/>
      <c r="W18" s="1464"/>
      <c r="X18" s="1464"/>
      <c r="Y18" s="1464"/>
      <c r="Z18" s="1464"/>
      <c r="AA18" s="1464"/>
      <c r="AB18" s="1464"/>
      <c r="AC18" s="1464"/>
      <c r="AD18" s="1464"/>
      <c r="AE18" s="1464"/>
      <c r="AF18" s="1464"/>
      <c r="AG18" s="1464"/>
      <c r="AH18" s="1464"/>
      <c r="AI18" s="1464"/>
      <c r="AJ18" s="1465"/>
      <c r="AK18" s="299"/>
      <c r="AL18" s="300"/>
    </row>
    <row r="19" spans="1:38" ht="20.100000000000001" customHeight="1">
      <c r="A19" s="298"/>
      <c r="B19" s="299"/>
      <c r="C19" s="299"/>
      <c r="D19" s="1462" t="s">
        <v>10</v>
      </c>
      <c r="E19" s="1462"/>
      <c r="F19" s="1462"/>
      <c r="G19" s="1462"/>
      <c r="H19" s="1462"/>
      <c r="I19" s="1480" t="str">
        <f>cst_wskakunin_owner1_TEL</f>
        <v>03-3504-2386</v>
      </c>
      <c r="J19" s="1481"/>
      <c r="K19" s="1481"/>
      <c r="L19" s="1481"/>
      <c r="M19" s="1481"/>
      <c r="N19" s="1482"/>
      <c r="O19" s="1482"/>
      <c r="P19" s="1482"/>
      <c r="Q19" s="1482"/>
      <c r="R19" s="1482"/>
      <c r="S19" s="1482"/>
      <c r="T19" s="1482"/>
      <c r="U19" s="1482"/>
      <c r="V19" s="1482"/>
      <c r="W19" s="1482"/>
      <c r="X19" s="1482"/>
      <c r="Y19" s="1482"/>
      <c r="Z19" s="1483"/>
      <c r="AA19" s="301"/>
      <c r="AB19" s="301"/>
      <c r="AC19" s="301"/>
      <c r="AD19" s="301"/>
      <c r="AE19" s="301"/>
      <c r="AF19" s="301"/>
      <c r="AG19" s="301"/>
      <c r="AH19" s="299"/>
      <c r="AI19" s="299"/>
      <c r="AJ19" s="299"/>
      <c r="AK19" s="299"/>
      <c r="AL19" s="300"/>
    </row>
    <row r="20" spans="1:38" ht="3.75" customHeight="1">
      <c r="A20" s="298"/>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300"/>
    </row>
    <row r="21" spans="1:38" ht="18" customHeight="1">
      <c r="A21" s="298" t="s">
        <v>3059</v>
      </c>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300"/>
    </row>
    <row r="22" spans="1:38" ht="20.100000000000001" customHeight="1">
      <c r="A22" s="298"/>
      <c r="B22" s="299"/>
      <c r="C22" s="299"/>
      <c r="D22" s="1462" t="s">
        <v>7</v>
      </c>
      <c r="E22" s="1462"/>
      <c r="F22" s="1462"/>
      <c r="G22" s="1462"/>
      <c r="H22" s="1462"/>
      <c r="I22" s="1463" t="str">
        <f>cst_wskakunin_sekou1_NAME</f>
        <v>代表取締役社長　野崎　豊</v>
      </c>
      <c r="J22" s="1464"/>
      <c r="K22" s="1464"/>
      <c r="L22" s="1464"/>
      <c r="M22" s="1464"/>
      <c r="N22" s="1464"/>
      <c r="O22" s="1464"/>
      <c r="P22" s="1464"/>
      <c r="Q22" s="1464"/>
      <c r="R22" s="1464"/>
      <c r="S22" s="1464"/>
      <c r="T22" s="1464"/>
      <c r="U22" s="1464"/>
      <c r="V22" s="1464"/>
      <c r="W22" s="1464"/>
      <c r="X22" s="1464"/>
      <c r="Y22" s="1464"/>
      <c r="Z22" s="1464"/>
      <c r="AA22" s="1464"/>
      <c r="AB22" s="1464"/>
      <c r="AC22" s="1464"/>
      <c r="AD22" s="1464"/>
      <c r="AE22" s="1464"/>
      <c r="AF22" s="1464"/>
      <c r="AG22" s="1464"/>
      <c r="AH22" s="1464"/>
      <c r="AI22" s="1464"/>
      <c r="AJ22" s="1465"/>
      <c r="AK22" s="299"/>
      <c r="AL22" s="300"/>
    </row>
    <row r="23" spans="1:38" ht="20.100000000000001" customHeight="1">
      <c r="A23" s="298"/>
      <c r="B23" s="299"/>
      <c r="C23" s="299"/>
      <c r="D23" s="1472" t="s">
        <v>11</v>
      </c>
      <c r="E23" s="1473"/>
      <c r="F23" s="1473"/>
      <c r="G23" s="1473"/>
      <c r="H23" s="1473"/>
      <c r="I23" s="1474"/>
      <c r="J23" s="1474"/>
      <c r="K23" s="1474"/>
      <c r="L23" s="1474"/>
      <c r="M23" s="1474"/>
      <c r="N23" s="1474"/>
      <c r="O23" s="1475"/>
      <c r="P23" s="1463" t="str">
        <f>cst_wskakunin_sekou1_JIMU_NAME</f>
        <v>株式会社UHEC</v>
      </c>
      <c r="Q23" s="1464"/>
      <c r="R23" s="1464"/>
      <c r="S23" s="1464"/>
      <c r="T23" s="1464"/>
      <c r="U23" s="1464"/>
      <c r="V23" s="1464"/>
      <c r="W23" s="1464"/>
      <c r="X23" s="1464"/>
      <c r="Y23" s="1464"/>
      <c r="Z23" s="1464"/>
      <c r="AA23" s="1464"/>
      <c r="AB23" s="1464"/>
      <c r="AC23" s="1464"/>
      <c r="AD23" s="1464"/>
      <c r="AE23" s="1464"/>
      <c r="AF23" s="1464"/>
      <c r="AG23" s="1464"/>
      <c r="AH23" s="1464"/>
      <c r="AI23" s="1464"/>
      <c r="AJ23" s="1465"/>
      <c r="AK23" s="299"/>
      <c r="AL23" s="300"/>
    </row>
    <row r="24" spans="1:38" ht="20.100000000000001" customHeight="1">
      <c r="A24" s="298"/>
      <c r="B24" s="299"/>
      <c r="C24" s="299"/>
      <c r="D24" s="1462" t="s">
        <v>8</v>
      </c>
      <c r="E24" s="1462"/>
      <c r="F24" s="1462"/>
      <c r="G24" s="1462"/>
      <c r="H24" s="1462"/>
      <c r="I24" s="1463" t="str">
        <f>cst_wskakunin_sekou1_ZIP</f>
        <v>105-0001</v>
      </c>
      <c r="J24" s="1464"/>
      <c r="K24" s="1464"/>
      <c r="L24" s="1464"/>
      <c r="M24" s="1464"/>
      <c r="N24" s="1476"/>
      <c r="O24" s="1476"/>
      <c r="P24" s="1476"/>
      <c r="Q24" s="1476"/>
      <c r="R24" s="1476"/>
      <c r="S24" s="1476"/>
      <c r="T24" s="1477"/>
      <c r="U24" s="301"/>
      <c r="V24" s="301"/>
      <c r="W24" s="301"/>
      <c r="X24" s="301"/>
      <c r="Y24" s="301"/>
      <c r="Z24" s="301"/>
      <c r="AA24" s="301"/>
      <c r="AB24" s="301"/>
      <c r="AC24" s="301"/>
      <c r="AD24" s="301"/>
      <c r="AE24" s="301"/>
      <c r="AF24" s="301"/>
      <c r="AG24" s="301"/>
      <c r="AH24" s="299"/>
      <c r="AI24" s="299"/>
      <c r="AJ24" s="299"/>
      <c r="AK24" s="299"/>
      <c r="AL24" s="300"/>
    </row>
    <row r="25" spans="1:38" ht="20.100000000000001" customHeight="1">
      <c r="A25" s="298"/>
      <c r="B25" s="299"/>
      <c r="C25" s="299"/>
      <c r="D25" s="1462" t="s">
        <v>12</v>
      </c>
      <c r="E25" s="1462"/>
      <c r="F25" s="1462"/>
      <c r="G25" s="1462"/>
      <c r="H25" s="1462"/>
      <c r="I25" s="1463" t="str">
        <f>cst_wskakunin_sekou1__address</f>
        <v>東京都港区虎ノ門1-1-</v>
      </c>
      <c r="J25" s="1464"/>
      <c r="K25" s="1464"/>
      <c r="L25" s="1464"/>
      <c r="M25" s="1464"/>
      <c r="N25" s="1464"/>
      <c r="O25" s="1464"/>
      <c r="P25" s="1464"/>
      <c r="Q25" s="1464"/>
      <c r="R25" s="1464"/>
      <c r="S25" s="1464"/>
      <c r="T25" s="1464"/>
      <c r="U25" s="1464"/>
      <c r="V25" s="1464"/>
      <c r="W25" s="1464"/>
      <c r="X25" s="1464"/>
      <c r="Y25" s="1464"/>
      <c r="Z25" s="1464"/>
      <c r="AA25" s="1464"/>
      <c r="AB25" s="1464"/>
      <c r="AC25" s="1464"/>
      <c r="AD25" s="1464"/>
      <c r="AE25" s="1464"/>
      <c r="AF25" s="1464"/>
      <c r="AG25" s="1464"/>
      <c r="AH25" s="1464"/>
      <c r="AI25" s="1464"/>
      <c r="AJ25" s="1465"/>
      <c r="AK25" s="299"/>
      <c r="AL25" s="300"/>
    </row>
    <row r="26" spans="1:38" ht="20.100000000000001" customHeight="1">
      <c r="A26" s="298"/>
      <c r="B26" s="299"/>
      <c r="C26" s="299"/>
      <c r="D26" s="1462" t="s">
        <v>10</v>
      </c>
      <c r="E26" s="1462"/>
      <c r="F26" s="1462"/>
      <c r="G26" s="1462"/>
      <c r="H26" s="1462"/>
      <c r="I26" s="1480" t="str">
        <f>cst_wskakunin_sekou1_TEL</f>
        <v>03-3504-2386</v>
      </c>
      <c r="J26" s="1481"/>
      <c r="K26" s="1481"/>
      <c r="L26" s="1481"/>
      <c r="M26" s="1481"/>
      <c r="N26" s="1488"/>
      <c r="O26" s="1488"/>
      <c r="P26" s="1488"/>
      <c r="Q26" s="1488"/>
      <c r="R26" s="1488"/>
      <c r="S26" s="1488"/>
      <c r="T26" s="1488"/>
      <c r="U26" s="1488"/>
      <c r="V26" s="1488"/>
      <c r="W26" s="1488"/>
      <c r="X26" s="1488"/>
      <c r="Y26" s="1488"/>
      <c r="Z26" s="1489"/>
      <c r="AA26" s="304"/>
      <c r="AB26" s="301"/>
      <c r="AC26" s="301"/>
      <c r="AD26" s="301"/>
      <c r="AE26" s="301"/>
      <c r="AF26" s="301"/>
      <c r="AG26" s="301"/>
      <c r="AH26" s="299"/>
      <c r="AI26" s="299"/>
      <c r="AJ26" s="299"/>
      <c r="AK26" s="299"/>
      <c r="AL26" s="300"/>
    </row>
    <row r="27" spans="1:38" ht="20.100000000000001" customHeight="1">
      <c r="A27" s="298"/>
      <c r="B27" s="299"/>
      <c r="C27" s="299"/>
      <c r="D27" s="1472" t="s">
        <v>3060</v>
      </c>
      <c r="E27" s="1473"/>
      <c r="F27" s="1473"/>
      <c r="G27" s="1473"/>
      <c r="H27" s="1473"/>
      <c r="I27" s="1473"/>
      <c r="J27" s="1473"/>
      <c r="K27" s="1490"/>
      <c r="L27" s="1491"/>
      <c r="M27" s="1491"/>
      <c r="N27" s="1491"/>
      <c r="O27" s="1491"/>
      <c r="P27" s="1491"/>
      <c r="Q27" s="1491"/>
      <c r="R27" s="1491"/>
      <c r="S27" s="1491"/>
      <c r="T27" s="1491"/>
      <c r="U27" s="1491"/>
      <c r="V27" s="1491"/>
      <c r="W27" s="1491"/>
      <c r="X27" s="1491"/>
      <c r="Y27" s="1491"/>
      <c r="Z27" s="1491"/>
      <c r="AA27" s="1491"/>
      <c r="AB27" s="1491"/>
      <c r="AC27" s="1491"/>
      <c r="AD27" s="1491"/>
      <c r="AE27" s="1491"/>
      <c r="AF27" s="1491"/>
      <c r="AG27" s="1491"/>
      <c r="AH27" s="1491"/>
      <c r="AI27" s="1491"/>
      <c r="AJ27" s="1492"/>
      <c r="AK27" s="299"/>
      <c r="AL27" s="300"/>
    </row>
    <row r="28" spans="1:38" ht="20.100000000000001" customHeight="1">
      <c r="A28" s="298"/>
      <c r="B28" s="299"/>
      <c r="C28" s="299"/>
      <c r="D28" s="1472" t="s">
        <v>3061</v>
      </c>
      <c r="E28" s="1473"/>
      <c r="F28" s="1473"/>
      <c r="G28" s="1473"/>
      <c r="H28" s="1473"/>
      <c r="I28" s="1473"/>
      <c r="J28" s="1484"/>
      <c r="K28" s="1485"/>
      <c r="L28" s="1486"/>
      <c r="M28" s="1486"/>
      <c r="N28" s="1486"/>
      <c r="O28" s="1486"/>
      <c r="P28" s="307" t="s">
        <v>3062</v>
      </c>
      <c r="Q28" s="1486"/>
      <c r="R28" s="1486"/>
      <c r="S28" s="1486"/>
      <c r="T28" s="1486"/>
      <c r="U28" s="1486"/>
      <c r="V28" s="307" t="s">
        <v>3062</v>
      </c>
      <c r="W28" s="1486"/>
      <c r="X28" s="1486"/>
      <c r="Y28" s="1486"/>
      <c r="Z28" s="1486"/>
      <c r="AA28" s="1486"/>
      <c r="AB28" s="1487"/>
      <c r="AC28" s="308"/>
      <c r="AD28" s="308"/>
      <c r="AE28" s="308"/>
      <c r="AF28" s="308"/>
      <c r="AG28" s="308"/>
      <c r="AH28" s="308"/>
      <c r="AI28" s="308"/>
      <c r="AJ28" s="308"/>
      <c r="AK28" s="299"/>
      <c r="AL28" s="300"/>
    </row>
    <row r="29" spans="1:38" ht="3.75" customHeight="1">
      <c r="A29" s="298"/>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300"/>
    </row>
    <row r="30" spans="1:38" ht="18" customHeight="1">
      <c r="A30" s="298" t="s">
        <v>3063</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300"/>
    </row>
    <row r="31" spans="1:38" ht="20.100000000000001" customHeight="1">
      <c r="A31" s="298"/>
      <c r="B31" s="299"/>
      <c r="C31" s="299"/>
      <c r="D31" s="1462" t="s">
        <v>7</v>
      </c>
      <c r="E31" s="1462"/>
      <c r="F31" s="1462"/>
      <c r="G31" s="1462"/>
      <c r="H31" s="1462"/>
      <c r="I31" s="1463" t="str">
        <f>cst_wskakunin_kanri1_NAME</f>
        <v>髙橋　一郎</v>
      </c>
      <c r="J31" s="1464"/>
      <c r="K31" s="1464"/>
      <c r="L31" s="1464"/>
      <c r="M31" s="1464"/>
      <c r="N31" s="1464"/>
      <c r="O31" s="1464"/>
      <c r="P31" s="1464"/>
      <c r="Q31" s="1464"/>
      <c r="R31" s="1464"/>
      <c r="S31" s="1464"/>
      <c r="T31" s="1464"/>
      <c r="U31" s="1464"/>
      <c r="V31" s="1464"/>
      <c r="W31" s="1464"/>
      <c r="X31" s="1464"/>
      <c r="Y31" s="1464"/>
      <c r="Z31" s="1464"/>
      <c r="AA31" s="1464"/>
      <c r="AB31" s="1464"/>
      <c r="AC31" s="1464"/>
      <c r="AD31" s="1464"/>
      <c r="AE31" s="1464"/>
      <c r="AF31" s="1464"/>
      <c r="AG31" s="1464"/>
      <c r="AH31" s="1464"/>
      <c r="AI31" s="1464"/>
      <c r="AJ31" s="1465"/>
      <c r="AK31" s="299"/>
      <c r="AL31" s="300"/>
    </row>
    <row r="32" spans="1:38" ht="20.100000000000001" customHeight="1">
      <c r="A32" s="298"/>
      <c r="B32" s="299"/>
      <c r="C32" s="299"/>
      <c r="D32" s="1472" t="s">
        <v>11</v>
      </c>
      <c r="E32" s="1473"/>
      <c r="F32" s="1473"/>
      <c r="G32" s="1473"/>
      <c r="H32" s="1473"/>
      <c r="I32" s="1473"/>
      <c r="J32" s="1473"/>
      <c r="K32" s="1473"/>
      <c r="L32" s="1473"/>
      <c r="M32" s="1473"/>
      <c r="N32" s="1473"/>
      <c r="O32" s="1484"/>
      <c r="P32" s="1463" t="str">
        <f>cst_wskakunin_kanri1_JIMU_NAME</f>
        <v>一級建築士事務所　UHEC</v>
      </c>
      <c r="Q32" s="1464"/>
      <c r="R32" s="1464"/>
      <c r="S32" s="1464"/>
      <c r="T32" s="1464"/>
      <c r="U32" s="1464"/>
      <c r="V32" s="1464"/>
      <c r="W32" s="1464"/>
      <c r="X32" s="1464"/>
      <c r="Y32" s="1464"/>
      <c r="Z32" s="1464"/>
      <c r="AA32" s="1464"/>
      <c r="AB32" s="1464"/>
      <c r="AC32" s="1464"/>
      <c r="AD32" s="1464"/>
      <c r="AE32" s="1464"/>
      <c r="AF32" s="1464"/>
      <c r="AG32" s="1464"/>
      <c r="AH32" s="1464"/>
      <c r="AI32" s="1464"/>
      <c r="AJ32" s="1465"/>
      <c r="AK32" s="299"/>
      <c r="AL32" s="300"/>
    </row>
    <row r="33" spans="1:38" ht="20.100000000000001" customHeight="1">
      <c r="A33" s="298"/>
      <c r="B33" s="299"/>
      <c r="C33" s="299"/>
      <c r="D33" s="1462" t="s">
        <v>8</v>
      </c>
      <c r="E33" s="1462"/>
      <c r="F33" s="1462"/>
      <c r="G33" s="1462"/>
      <c r="H33" s="1462"/>
      <c r="I33" s="1463" t="str">
        <f>cst_wskakunin_kanri1_ZIP</f>
        <v>105-0001</v>
      </c>
      <c r="J33" s="1464"/>
      <c r="K33" s="1464"/>
      <c r="L33" s="1464"/>
      <c r="M33" s="1464"/>
      <c r="N33" s="1476"/>
      <c r="O33" s="1476"/>
      <c r="P33" s="1476"/>
      <c r="Q33" s="1476"/>
      <c r="R33" s="1476"/>
      <c r="S33" s="1476"/>
      <c r="T33" s="1477"/>
      <c r="U33" s="301"/>
      <c r="V33" s="301"/>
      <c r="W33" s="301"/>
      <c r="X33" s="301"/>
      <c r="Y33" s="301"/>
      <c r="Z33" s="301"/>
      <c r="AA33" s="301"/>
      <c r="AB33" s="301"/>
      <c r="AC33" s="301"/>
      <c r="AD33" s="301"/>
      <c r="AE33" s="301"/>
      <c r="AF33" s="301"/>
      <c r="AG33" s="301"/>
      <c r="AH33" s="299"/>
      <c r="AI33" s="299"/>
      <c r="AJ33" s="299"/>
      <c r="AK33" s="299"/>
      <c r="AL33" s="300"/>
    </row>
    <row r="34" spans="1:38" ht="20.100000000000001" customHeight="1">
      <c r="A34" s="298"/>
      <c r="B34" s="299"/>
      <c r="C34" s="299"/>
      <c r="D34" s="1472" t="s">
        <v>12</v>
      </c>
      <c r="E34" s="1473"/>
      <c r="F34" s="1473"/>
      <c r="G34" s="1473"/>
      <c r="H34" s="1484"/>
      <c r="I34" s="1463" t="str">
        <f>cst_wskakunin_kanri1__address</f>
        <v>東京都港区虎ノ門1-1-21</v>
      </c>
      <c r="J34" s="1464"/>
      <c r="K34" s="1464"/>
      <c r="L34" s="1464"/>
      <c r="M34" s="1464"/>
      <c r="N34" s="1464"/>
      <c r="O34" s="1464"/>
      <c r="P34" s="1464"/>
      <c r="Q34" s="1464"/>
      <c r="R34" s="1464"/>
      <c r="S34" s="1464"/>
      <c r="T34" s="1464"/>
      <c r="U34" s="1464"/>
      <c r="V34" s="1464"/>
      <c r="W34" s="1464"/>
      <c r="X34" s="1464"/>
      <c r="Y34" s="1464"/>
      <c r="Z34" s="1464"/>
      <c r="AA34" s="1464"/>
      <c r="AB34" s="1464"/>
      <c r="AC34" s="1464"/>
      <c r="AD34" s="1464"/>
      <c r="AE34" s="1464"/>
      <c r="AF34" s="1464"/>
      <c r="AG34" s="1464"/>
      <c r="AH34" s="1464"/>
      <c r="AI34" s="1464"/>
      <c r="AJ34" s="1465"/>
      <c r="AK34" s="299"/>
      <c r="AL34" s="300"/>
    </row>
    <row r="35" spans="1:38" ht="20.100000000000001" customHeight="1">
      <c r="A35" s="298"/>
      <c r="B35" s="299"/>
      <c r="C35" s="299"/>
      <c r="D35" s="1462" t="s">
        <v>10</v>
      </c>
      <c r="E35" s="1462"/>
      <c r="F35" s="1462"/>
      <c r="G35" s="1462"/>
      <c r="H35" s="1462"/>
      <c r="I35" s="1480" t="str">
        <f>cst_wskakunin_kanri1_TEL</f>
        <v>03-3504-2386</v>
      </c>
      <c r="J35" s="1481"/>
      <c r="K35" s="1481"/>
      <c r="L35" s="1481"/>
      <c r="M35" s="1481"/>
      <c r="N35" s="1488"/>
      <c r="O35" s="1488"/>
      <c r="P35" s="1488"/>
      <c r="Q35" s="1488"/>
      <c r="R35" s="1488"/>
      <c r="S35" s="1488"/>
      <c r="T35" s="1488"/>
      <c r="U35" s="1488"/>
      <c r="V35" s="1488"/>
      <c r="W35" s="1488"/>
      <c r="X35" s="1488"/>
      <c r="Y35" s="1488"/>
      <c r="Z35" s="1489"/>
      <c r="AA35" s="301"/>
      <c r="AB35" s="301"/>
      <c r="AC35" s="301"/>
      <c r="AD35" s="301"/>
      <c r="AE35" s="301"/>
      <c r="AF35" s="301"/>
      <c r="AG35" s="301"/>
      <c r="AH35" s="299"/>
      <c r="AI35" s="299"/>
      <c r="AJ35" s="299"/>
      <c r="AK35" s="299"/>
      <c r="AL35" s="300"/>
    </row>
    <row r="36" spans="1:38" ht="3.75" customHeight="1">
      <c r="A36" s="298"/>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300"/>
    </row>
    <row r="37" spans="1:38" ht="18" customHeight="1">
      <c r="A37" s="1493" t="s">
        <v>3064</v>
      </c>
      <c r="B37" s="1459"/>
      <c r="C37" s="1459"/>
      <c r="D37" s="1459"/>
      <c r="E37" s="1459"/>
      <c r="F37" s="1459"/>
      <c r="G37" s="1459"/>
      <c r="H37" s="1459"/>
      <c r="I37" s="1459"/>
      <c r="J37" s="1459"/>
      <c r="K37" s="1459"/>
      <c r="L37" s="1459"/>
      <c r="M37" s="145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300"/>
    </row>
    <row r="38" spans="1:38" ht="24.6" customHeight="1">
      <c r="A38" s="298"/>
      <c r="B38" s="299"/>
      <c r="C38" s="300"/>
      <c r="D38" s="1472" t="s">
        <v>43</v>
      </c>
      <c r="E38" s="1473"/>
      <c r="F38" s="1473"/>
      <c r="G38" s="1473"/>
      <c r="H38" s="1473"/>
      <c r="I38" s="1473"/>
      <c r="J38" s="1473"/>
      <c r="K38" s="1484"/>
      <c r="L38" s="1494"/>
      <c r="M38" s="1495"/>
      <c r="N38" s="1495"/>
      <c r="O38" s="1496" t="str">
        <f>cst_shinsei_ISSUE_NO</f>
        <v/>
      </c>
      <c r="P38" s="1496"/>
      <c r="Q38" s="1496"/>
      <c r="R38" s="1496"/>
      <c r="S38" s="1496"/>
      <c r="T38" s="1496"/>
      <c r="U38" s="1496"/>
      <c r="V38" s="1496"/>
      <c r="W38" s="1496"/>
      <c r="X38" s="1496"/>
      <c r="Y38" s="1496"/>
      <c r="Z38" s="1496"/>
      <c r="AA38" s="1496"/>
      <c r="AB38" s="1496"/>
      <c r="AC38" s="1496"/>
      <c r="AD38" s="1496"/>
      <c r="AE38" s="1497"/>
      <c r="AF38" s="299"/>
      <c r="AG38" s="299"/>
      <c r="AH38" s="299"/>
      <c r="AI38" s="299"/>
      <c r="AJ38" s="299"/>
      <c r="AK38" s="299"/>
      <c r="AL38" s="300"/>
    </row>
    <row r="39" spans="1:38" ht="20.100000000000001" customHeight="1">
      <c r="A39" s="298"/>
      <c r="B39" s="299"/>
      <c r="C39" s="300"/>
      <c r="D39" s="1501" t="s">
        <v>3066</v>
      </c>
      <c r="E39" s="1502"/>
      <c r="F39" s="1502"/>
      <c r="G39" s="1502"/>
      <c r="H39" s="1502"/>
      <c r="I39" s="1502"/>
      <c r="J39" s="1502"/>
      <c r="K39" s="1503"/>
      <c r="L39" s="1504"/>
      <c r="M39" s="1505"/>
      <c r="N39" s="1506" t="str">
        <f>cst_shinsei_ISSUE_DATE</f>
        <v/>
      </c>
      <c r="O39" s="1507"/>
      <c r="P39" s="1507"/>
      <c r="Q39" s="1507"/>
      <c r="R39" s="299" t="s">
        <v>380</v>
      </c>
      <c r="S39" s="1508" t="str">
        <f>cst_shinsei_ISSUE_DATE</f>
        <v/>
      </c>
      <c r="T39" s="1508"/>
      <c r="U39" s="1508"/>
      <c r="V39" s="1508"/>
      <c r="W39" s="299" t="s">
        <v>0</v>
      </c>
      <c r="X39" s="1509" t="str">
        <f>cst_shinsei_ISSUE_DATE</f>
        <v/>
      </c>
      <c r="Y39" s="1509"/>
      <c r="Z39" s="1509"/>
      <c r="AA39" s="1509"/>
      <c r="AB39" s="299" t="s">
        <v>3057</v>
      </c>
      <c r="AC39" s="311"/>
      <c r="AD39" s="311"/>
      <c r="AE39" s="312"/>
      <c r="AF39" s="299"/>
      <c r="AG39" s="299"/>
      <c r="AH39" s="299"/>
      <c r="AI39" s="299"/>
      <c r="AJ39" s="299"/>
      <c r="AK39" s="299"/>
      <c r="AL39" s="300"/>
    </row>
    <row r="40" spans="1:38" ht="20.100000000000001" customHeight="1">
      <c r="A40" s="298"/>
      <c r="B40" s="299"/>
      <c r="C40" s="300"/>
      <c r="D40" s="1472" t="s">
        <v>410</v>
      </c>
      <c r="E40" s="1473"/>
      <c r="F40" s="1473"/>
      <c r="G40" s="1473"/>
      <c r="H40" s="1473"/>
      <c r="I40" s="1473"/>
      <c r="J40" s="1473"/>
      <c r="K40" s="1484"/>
      <c r="L40" s="1463" t="str">
        <f ca="1">cst_Pre_Corp__SHINSEI&amp;"　"&amp;cst_Pre_Daihyou__SHINSEI</f>
        <v>株式会社　都市居住評価センター　代表取締役社長　野崎　豊</v>
      </c>
      <c r="M40" s="1464"/>
      <c r="N40" s="1464"/>
      <c r="O40" s="1464"/>
      <c r="P40" s="1464"/>
      <c r="Q40" s="1464"/>
      <c r="R40" s="1464"/>
      <c r="S40" s="1464"/>
      <c r="T40" s="1464"/>
      <c r="U40" s="1464"/>
      <c r="V40" s="1464"/>
      <c r="W40" s="1464"/>
      <c r="X40" s="1464"/>
      <c r="Y40" s="1464"/>
      <c r="Z40" s="1464"/>
      <c r="AA40" s="1464"/>
      <c r="AB40" s="1464"/>
      <c r="AC40" s="1464"/>
      <c r="AD40" s="1464"/>
      <c r="AE40" s="1465"/>
      <c r="AF40" s="301"/>
      <c r="AG40" s="301"/>
      <c r="AH40" s="299"/>
      <c r="AI40" s="299"/>
      <c r="AJ40" s="299"/>
      <c r="AK40" s="299"/>
      <c r="AL40" s="300"/>
    </row>
    <row r="41" spans="1:38" ht="3.75" customHeight="1">
      <c r="A41" s="298"/>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300"/>
    </row>
    <row r="42" spans="1:38" ht="18" customHeight="1">
      <c r="A42" s="1493" t="s">
        <v>3067</v>
      </c>
      <c r="B42" s="1459"/>
      <c r="C42" s="1459"/>
      <c r="D42" s="1459"/>
      <c r="E42" s="1459"/>
      <c r="F42" s="1459"/>
      <c r="G42" s="1459"/>
      <c r="H42" s="1459"/>
      <c r="I42" s="1459"/>
      <c r="J42" s="1459"/>
      <c r="K42" s="1459"/>
      <c r="L42" s="1459"/>
      <c r="M42" s="145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300"/>
    </row>
    <row r="43" spans="1:38" ht="20.100000000000001" customHeight="1">
      <c r="A43" s="298"/>
      <c r="B43" s="299"/>
      <c r="C43" s="299"/>
      <c r="D43" s="1462" t="s">
        <v>7</v>
      </c>
      <c r="E43" s="1462"/>
      <c r="F43" s="1462"/>
      <c r="G43" s="1462"/>
      <c r="H43" s="1462"/>
      <c r="I43" s="1498"/>
      <c r="J43" s="1499"/>
      <c r="K43" s="1499"/>
      <c r="L43" s="1499"/>
      <c r="M43" s="1499"/>
      <c r="N43" s="1499"/>
      <c r="O43" s="1499"/>
      <c r="P43" s="1499"/>
      <c r="Q43" s="1499"/>
      <c r="R43" s="1499"/>
      <c r="S43" s="1499"/>
      <c r="T43" s="1499"/>
      <c r="U43" s="1499"/>
      <c r="V43" s="1499"/>
      <c r="W43" s="1499"/>
      <c r="X43" s="1499"/>
      <c r="Y43" s="1499"/>
      <c r="Z43" s="1499"/>
      <c r="AA43" s="1499"/>
      <c r="AB43" s="1499"/>
      <c r="AC43" s="1499"/>
      <c r="AD43" s="1499"/>
      <c r="AE43" s="1499"/>
      <c r="AF43" s="1499"/>
      <c r="AG43" s="1499"/>
      <c r="AH43" s="1499"/>
      <c r="AI43" s="1499"/>
      <c r="AJ43" s="1500"/>
      <c r="AK43" s="299"/>
      <c r="AL43" s="300"/>
    </row>
    <row r="44" spans="1:38" ht="20.100000000000001" customHeight="1">
      <c r="A44" s="298"/>
      <c r="B44" s="299"/>
      <c r="C44" s="299"/>
      <c r="D44" s="1462" t="s">
        <v>49</v>
      </c>
      <c r="E44" s="1462"/>
      <c r="F44" s="1462"/>
      <c r="G44" s="1462"/>
      <c r="H44" s="1462"/>
      <c r="I44" s="1498"/>
      <c r="J44" s="1499"/>
      <c r="K44" s="1499"/>
      <c r="L44" s="1499"/>
      <c r="M44" s="1499"/>
      <c r="N44" s="1499"/>
      <c r="O44" s="1499"/>
      <c r="P44" s="1499"/>
      <c r="Q44" s="1499"/>
      <c r="R44" s="1499"/>
      <c r="S44" s="1499"/>
      <c r="T44" s="1499"/>
      <c r="U44" s="1499"/>
      <c r="V44" s="1499"/>
      <c r="W44" s="1499"/>
      <c r="X44" s="1499"/>
      <c r="Y44" s="1499"/>
      <c r="Z44" s="1499"/>
      <c r="AA44" s="1499"/>
      <c r="AB44" s="1499"/>
      <c r="AC44" s="1499"/>
      <c r="AD44" s="1499"/>
      <c r="AE44" s="1499"/>
      <c r="AF44" s="1499"/>
      <c r="AG44" s="1499"/>
      <c r="AH44" s="1499"/>
      <c r="AI44" s="1499"/>
      <c r="AJ44" s="1500"/>
      <c r="AK44" s="299"/>
      <c r="AL44" s="300"/>
    </row>
    <row r="45" spans="1:38" ht="20.100000000000001" customHeight="1">
      <c r="A45" s="298"/>
      <c r="B45" s="299"/>
      <c r="C45" s="299"/>
      <c r="D45" s="1462" t="s">
        <v>8</v>
      </c>
      <c r="E45" s="1462"/>
      <c r="F45" s="1462"/>
      <c r="G45" s="1462"/>
      <c r="H45" s="1462"/>
      <c r="I45" s="1513"/>
      <c r="J45" s="1514"/>
      <c r="K45" s="1514"/>
      <c r="L45" s="1514"/>
      <c r="M45" s="1514"/>
      <c r="N45" s="313" t="s">
        <v>3062</v>
      </c>
      <c r="O45" s="1514"/>
      <c r="P45" s="1514"/>
      <c r="Q45" s="1514"/>
      <c r="R45" s="1514"/>
      <c r="S45" s="1514"/>
      <c r="T45" s="1515"/>
      <c r="U45" s="301"/>
      <c r="V45" s="301"/>
      <c r="W45" s="301"/>
      <c r="X45" s="301"/>
      <c r="Y45" s="301"/>
      <c r="Z45" s="301"/>
      <c r="AA45" s="301"/>
      <c r="AB45" s="301"/>
      <c r="AC45" s="301"/>
      <c r="AD45" s="301"/>
      <c r="AE45" s="301"/>
      <c r="AF45" s="301"/>
      <c r="AG45" s="301"/>
      <c r="AH45" s="299"/>
      <c r="AI45" s="299"/>
      <c r="AJ45" s="299"/>
      <c r="AK45" s="299"/>
      <c r="AL45" s="300"/>
    </row>
    <row r="46" spans="1:38" ht="20.100000000000001" customHeight="1">
      <c r="A46" s="298"/>
      <c r="B46" s="299"/>
      <c r="C46" s="299"/>
      <c r="D46" s="1462" t="s">
        <v>12</v>
      </c>
      <c r="E46" s="1462"/>
      <c r="F46" s="1462"/>
      <c r="G46" s="1462"/>
      <c r="H46" s="1462"/>
      <c r="I46" s="1498"/>
      <c r="J46" s="1499"/>
      <c r="K46" s="1499"/>
      <c r="L46" s="1499"/>
      <c r="M46" s="1499"/>
      <c r="N46" s="1499"/>
      <c r="O46" s="1499"/>
      <c r="P46" s="1499"/>
      <c r="Q46" s="1499"/>
      <c r="R46" s="1499"/>
      <c r="S46" s="1499"/>
      <c r="T46" s="1499"/>
      <c r="U46" s="1499"/>
      <c r="V46" s="1499"/>
      <c r="W46" s="1499"/>
      <c r="X46" s="1499"/>
      <c r="Y46" s="1499"/>
      <c r="Z46" s="1499"/>
      <c r="AA46" s="1499"/>
      <c r="AB46" s="1499"/>
      <c r="AC46" s="1499"/>
      <c r="AD46" s="1499"/>
      <c r="AE46" s="1499"/>
      <c r="AF46" s="1499"/>
      <c r="AG46" s="1499"/>
      <c r="AH46" s="1499"/>
      <c r="AI46" s="1499"/>
      <c r="AJ46" s="1500"/>
      <c r="AK46" s="299"/>
      <c r="AL46" s="300"/>
    </row>
    <row r="47" spans="1:38" ht="20.100000000000001" customHeight="1">
      <c r="A47" s="298"/>
      <c r="B47" s="299"/>
      <c r="C47" s="299"/>
      <c r="D47" s="1462" t="s">
        <v>10</v>
      </c>
      <c r="E47" s="1462"/>
      <c r="F47" s="1462"/>
      <c r="G47" s="1462"/>
      <c r="H47" s="1462"/>
      <c r="I47" s="1485"/>
      <c r="J47" s="1486"/>
      <c r="K47" s="1486"/>
      <c r="L47" s="1486"/>
      <c r="M47" s="1486"/>
      <c r="N47" s="306" t="s">
        <v>3062</v>
      </c>
      <c r="O47" s="1516"/>
      <c r="P47" s="1516"/>
      <c r="Q47" s="1516"/>
      <c r="R47" s="1516"/>
      <c r="S47" s="1516"/>
      <c r="T47" s="306" t="s">
        <v>3062</v>
      </c>
      <c r="U47" s="1516"/>
      <c r="V47" s="1516"/>
      <c r="W47" s="1516"/>
      <c r="X47" s="1516"/>
      <c r="Y47" s="1516"/>
      <c r="Z47" s="1517"/>
      <c r="AA47" s="301"/>
      <c r="AB47" s="301"/>
      <c r="AC47" s="301"/>
      <c r="AD47" s="301"/>
      <c r="AE47" s="301"/>
      <c r="AF47" s="301"/>
      <c r="AG47" s="301"/>
      <c r="AH47" s="299"/>
      <c r="AI47" s="299"/>
      <c r="AJ47" s="299"/>
      <c r="AK47" s="299"/>
      <c r="AL47" s="300"/>
    </row>
    <row r="48" spans="1:38" ht="20.100000000000001" customHeight="1">
      <c r="A48" s="298"/>
      <c r="B48" s="299"/>
      <c r="C48" s="299"/>
      <c r="D48" s="1472" t="s">
        <v>3060</v>
      </c>
      <c r="E48" s="1473"/>
      <c r="F48" s="1473"/>
      <c r="G48" s="1473"/>
      <c r="H48" s="1473"/>
      <c r="I48" s="1473"/>
      <c r="J48" s="1473"/>
      <c r="K48" s="1510"/>
      <c r="L48" s="1511"/>
      <c r="M48" s="1511"/>
      <c r="N48" s="1511"/>
      <c r="O48" s="1511"/>
      <c r="P48" s="1511"/>
      <c r="Q48" s="1511"/>
      <c r="R48" s="1511"/>
      <c r="S48" s="1511"/>
      <c r="T48" s="1511"/>
      <c r="U48" s="1511"/>
      <c r="V48" s="1511"/>
      <c r="W48" s="1511"/>
      <c r="X48" s="1511"/>
      <c r="Y48" s="1511"/>
      <c r="Z48" s="1511"/>
      <c r="AA48" s="1511"/>
      <c r="AB48" s="1511"/>
      <c r="AC48" s="1511"/>
      <c r="AD48" s="1511"/>
      <c r="AE48" s="1511"/>
      <c r="AF48" s="1511"/>
      <c r="AG48" s="1511"/>
      <c r="AH48" s="1511"/>
      <c r="AI48" s="1511"/>
      <c r="AJ48" s="1512"/>
      <c r="AK48" s="299"/>
      <c r="AL48" s="300"/>
    </row>
    <row r="49" spans="1:38" ht="20.100000000000001" customHeight="1">
      <c r="A49" s="298"/>
      <c r="B49" s="299"/>
      <c r="C49" s="299"/>
      <c r="D49" s="1472" t="s">
        <v>3061</v>
      </c>
      <c r="E49" s="1473"/>
      <c r="F49" s="1473"/>
      <c r="G49" s="1473"/>
      <c r="H49" s="1473"/>
      <c r="I49" s="1473"/>
      <c r="J49" s="1484"/>
      <c r="K49" s="1485"/>
      <c r="L49" s="1486"/>
      <c r="M49" s="1486"/>
      <c r="N49" s="1486"/>
      <c r="O49" s="1486"/>
      <c r="P49" s="306" t="s">
        <v>3062</v>
      </c>
      <c r="Q49" s="1486"/>
      <c r="R49" s="1486"/>
      <c r="S49" s="1486"/>
      <c r="T49" s="1486"/>
      <c r="U49" s="1486"/>
      <c r="V49" s="306" t="s">
        <v>3062</v>
      </c>
      <c r="W49" s="1486"/>
      <c r="X49" s="1486"/>
      <c r="Y49" s="1486"/>
      <c r="Z49" s="1486"/>
      <c r="AA49" s="1486"/>
      <c r="AB49" s="1487"/>
      <c r="AC49" s="308"/>
      <c r="AD49" s="308"/>
      <c r="AE49" s="308"/>
      <c r="AF49" s="308"/>
      <c r="AG49" s="308"/>
      <c r="AH49" s="308"/>
      <c r="AI49" s="308"/>
      <c r="AJ49" s="308"/>
      <c r="AK49" s="299"/>
      <c r="AL49" s="300"/>
    </row>
    <row r="50" spans="1:38" ht="5.25" customHeight="1">
      <c r="A50" s="314"/>
      <c r="B50" s="315"/>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6"/>
    </row>
    <row r="51" spans="1:38" ht="5.25" customHeight="1">
      <c r="A51" s="299"/>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row>
    <row r="52" spans="1:38" ht="15" customHeight="1">
      <c r="A52" s="1459" t="s">
        <v>3068</v>
      </c>
      <c r="B52" s="1459"/>
      <c r="C52" s="1459"/>
      <c r="D52" s="1459"/>
      <c r="E52" s="1459"/>
      <c r="F52" s="1459"/>
      <c r="G52" s="1459"/>
      <c r="H52" s="1459"/>
      <c r="I52" s="1459"/>
      <c r="J52" s="1459"/>
      <c r="K52" s="1459"/>
      <c r="L52" s="1459"/>
      <c r="M52" s="145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row>
    <row r="53" spans="1:38" ht="15" customHeight="1">
      <c r="A53" s="1520"/>
      <c r="B53" s="1520"/>
      <c r="C53" s="1520"/>
      <c r="D53" s="1520"/>
      <c r="E53" s="1520"/>
      <c r="F53" s="1520"/>
      <c r="G53" s="1520"/>
      <c r="H53" s="1520"/>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c r="AG53" s="1520"/>
      <c r="AH53" s="1520"/>
      <c r="AI53" s="1520"/>
      <c r="AJ53" s="1520"/>
      <c r="AK53" s="308"/>
      <c r="AL53" s="308"/>
    </row>
    <row r="54" spans="1:38" ht="15" customHeight="1">
      <c r="A54" s="1520"/>
      <c r="B54" s="1520"/>
      <c r="C54" s="1520"/>
      <c r="D54" s="1520"/>
      <c r="E54" s="1520"/>
      <c r="F54" s="1520"/>
      <c r="G54" s="1520"/>
      <c r="H54" s="1520"/>
      <c r="I54" s="1520"/>
      <c r="J54" s="1520"/>
      <c r="K54" s="1520"/>
      <c r="L54" s="1520"/>
      <c r="M54" s="1520"/>
      <c r="N54" s="1520"/>
      <c r="O54" s="1520"/>
      <c r="P54" s="1520"/>
      <c r="Q54" s="1520"/>
      <c r="R54" s="1520"/>
      <c r="S54" s="1520"/>
      <c r="T54" s="1520"/>
      <c r="U54" s="1520"/>
      <c r="V54" s="1520"/>
      <c r="W54" s="1520"/>
      <c r="X54" s="1520"/>
      <c r="Y54" s="1520"/>
      <c r="Z54" s="1520"/>
      <c r="AA54" s="1520"/>
      <c r="AB54" s="1520"/>
      <c r="AC54" s="1520"/>
      <c r="AD54" s="1520"/>
      <c r="AE54" s="1520"/>
      <c r="AF54" s="1520"/>
      <c r="AG54" s="1520"/>
      <c r="AH54" s="1520"/>
      <c r="AI54" s="1520"/>
      <c r="AJ54" s="1520"/>
      <c r="AK54" s="308"/>
      <c r="AL54" s="308"/>
    </row>
    <row r="55" spans="1:38" ht="15" customHeight="1">
      <c r="A55" s="1520"/>
      <c r="B55" s="1520"/>
      <c r="C55" s="1520"/>
      <c r="D55" s="1520"/>
      <c r="E55" s="1520"/>
      <c r="F55" s="1520"/>
      <c r="G55" s="1520"/>
      <c r="H55" s="1520"/>
      <c r="I55" s="1520"/>
      <c r="J55" s="1520"/>
      <c r="K55" s="1520"/>
      <c r="L55" s="1520"/>
      <c r="M55" s="1520"/>
      <c r="N55" s="1520"/>
      <c r="O55" s="1520"/>
      <c r="P55" s="1520"/>
      <c r="Q55" s="1520"/>
      <c r="R55" s="1520"/>
      <c r="S55" s="1520"/>
      <c r="T55" s="1520"/>
      <c r="U55" s="1520"/>
      <c r="V55" s="1520"/>
      <c r="W55" s="1520"/>
      <c r="X55" s="1520"/>
      <c r="Y55" s="1520"/>
      <c r="Z55" s="1520"/>
      <c r="AA55" s="1520"/>
      <c r="AB55" s="1520"/>
      <c r="AC55" s="1520"/>
      <c r="AD55" s="1520"/>
      <c r="AE55" s="1520"/>
      <c r="AF55" s="1520"/>
      <c r="AG55" s="1520"/>
      <c r="AH55" s="1520"/>
      <c r="AI55" s="1520"/>
      <c r="AJ55" s="1520"/>
      <c r="AK55" s="308"/>
      <c r="AL55" s="308"/>
    </row>
    <row r="56" spans="1:38" ht="15" customHeight="1">
      <c r="A56" s="1521" t="s">
        <v>3069</v>
      </c>
      <c r="B56" s="1521"/>
      <c r="C56" s="1521"/>
      <c r="D56" s="1521"/>
      <c r="E56" s="1521"/>
      <c r="F56" s="1521"/>
      <c r="G56" s="1521"/>
      <c r="H56" s="1521"/>
      <c r="I56" s="1521"/>
      <c r="J56" s="1521"/>
      <c r="K56" s="1521"/>
      <c r="L56" s="1521"/>
      <c r="M56" s="1521"/>
      <c r="N56" s="1521"/>
      <c r="O56" s="1521"/>
      <c r="P56" s="1521"/>
      <c r="Q56" s="1521"/>
      <c r="R56" s="1521"/>
      <c r="S56" s="1521"/>
      <c r="T56" s="1521"/>
      <c r="U56" s="1521"/>
      <c r="V56" s="1521"/>
      <c r="W56" s="1521"/>
      <c r="X56" s="1521"/>
      <c r="Y56" s="1521"/>
      <c r="Z56" s="1521"/>
      <c r="AA56" s="1521"/>
      <c r="AB56" s="1521"/>
      <c r="AC56" s="1521"/>
      <c r="AD56" s="1521"/>
      <c r="AE56" s="1521"/>
      <c r="AF56" s="1521"/>
      <c r="AG56" s="1521"/>
      <c r="AH56" s="1521"/>
      <c r="AI56" s="1521"/>
      <c r="AJ56" s="1521"/>
      <c r="AK56" s="317"/>
      <c r="AL56" s="317"/>
    </row>
    <row r="57" spans="1:38" ht="3.9" customHeight="1">
      <c r="A57" s="318"/>
      <c r="B57" s="318"/>
      <c r="C57" s="318"/>
      <c r="D57" s="318"/>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7"/>
      <c r="AL57" s="317"/>
    </row>
    <row r="58" spans="1:38" ht="3.9" customHeight="1">
      <c r="A58" s="319"/>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1"/>
    </row>
    <row r="59" spans="1:38" ht="18" customHeight="1">
      <c r="A59" s="1493" t="s">
        <v>3070</v>
      </c>
      <c r="B59" s="1459"/>
      <c r="C59" s="1459"/>
      <c r="D59" s="1459"/>
      <c r="E59" s="1459"/>
      <c r="F59" s="1459"/>
      <c r="G59" s="1459"/>
      <c r="H59" s="1459"/>
      <c r="I59" s="1459"/>
      <c r="J59" s="1459"/>
      <c r="K59" s="1459"/>
      <c r="L59" s="1459"/>
      <c r="M59" s="1459"/>
      <c r="N59" s="1459"/>
      <c r="O59" s="145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300"/>
    </row>
    <row r="60" spans="1:38" ht="23.1" customHeight="1">
      <c r="A60" s="298"/>
      <c r="B60" s="1472" t="s">
        <v>3071</v>
      </c>
      <c r="C60" s="1473"/>
      <c r="D60" s="1473"/>
      <c r="E60" s="1473"/>
      <c r="F60" s="1473"/>
      <c r="G60" s="1473"/>
      <c r="H60" s="1473"/>
      <c r="I60" s="1473"/>
      <c r="J60" s="322"/>
      <c r="K60" s="1518"/>
      <c r="L60" s="1505"/>
      <c r="M60" s="1506" t="str">
        <f>cst_wskakunin_KOUJI_TYAKUSYU_YOTEI_DATE</f>
        <v/>
      </c>
      <c r="N60" s="1519"/>
      <c r="O60" s="1519"/>
      <c r="P60" s="311" t="s">
        <v>380</v>
      </c>
      <c r="Q60" s="1508" t="str">
        <f>cst_wskakunin_KOUJI_TYAKUSYU_YOTEI_DATE</f>
        <v/>
      </c>
      <c r="R60" s="1508"/>
      <c r="S60" s="1508"/>
      <c r="T60" s="311" t="s">
        <v>0</v>
      </c>
      <c r="U60" s="1509" t="str">
        <f>cst_wskakunin_KOUJI_TYAKUSYU_YOTEI_DATE</f>
        <v/>
      </c>
      <c r="V60" s="1509"/>
      <c r="W60" s="1509"/>
      <c r="X60" s="311" t="s">
        <v>3057</v>
      </c>
      <c r="Y60" s="312"/>
      <c r="Z60" s="299"/>
      <c r="AA60" s="299"/>
      <c r="AB60" s="299"/>
      <c r="AC60" s="299"/>
      <c r="AD60" s="299"/>
      <c r="AE60" s="299"/>
      <c r="AF60" s="299"/>
      <c r="AG60" s="299"/>
      <c r="AH60" s="299"/>
      <c r="AI60" s="299"/>
      <c r="AJ60" s="299"/>
      <c r="AK60" s="299"/>
      <c r="AL60" s="300"/>
    </row>
    <row r="61" spans="1:38" ht="23.1" customHeight="1">
      <c r="A61" s="298"/>
      <c r="B61" s="1501" t="s">
        <v>3072</v>
      </c>
      <c r="C61" s="1502"/>
      <c r="D61" s="1502"/>
      <c r="E61" s="1502"/>
      <c r="F61" s="1502"/>
      <c r="G61" s="1502"/>
      <c r="H61" s="1502"/>
      <c r="I61" s="1502"/>
      <c r="J61" s="323"/>
      <c r="K61" s="1518"/>
      <c r="L61" s="1505"/>
      <c r="M61" s="1506" t="str">
        <f>cst_wskakunin_KOUJI_KANRYOU_YOTEI_DATE</f>
        <v/>
      </c>
      <c r="N61" s="1519"/>
      <c r="O61" s="1519"/>
      <c r="P61" s="311" t="s">
        <v>380</v>
      </c>
      <c r="Q61" s="1508" t="str">
        <f>cst_wskakunin_KOUJI_KANRYOU_YOTEI_DATE</f>
        <v/>
      </c>
      <c r="R61" s="1508"/>
      <c r="S61" s="1508"/>
      <c r="T61" s="311" t="s">
        <v>0</v>
      </c>
      <c r="U61" s="1509" t="str">
        <f>cst_wskakunin_KOUJI_KANRYOU_YOTEI_DATE</f>
        <v/>
      </c>
      <c r="V61" s="1509"/>
      <c r="W61" s="1509"/>
      <c r="X61" s="311" t="s">
        <v>3057</v>
      </c>
      <c r="Y61" s="312"/>
      <c r="Z61" s="299"/>
      <c r="AA61" s="299"/>
      <c r="AB61" s="299"/>
      <c r="AC61" s="299"/>
      <c r="AD61" s="299"/>
      <c r="AE61" s="299"/>
      <c r="AF61" s="299"/>
      <c r="AG61" s="299"/>
      <c r="AH61" s="299"/>
      <c r="AI61" s="299"/>
      <c r="AJ61" s="299"/>
      <c r="AK61" s="299"/>
      <c r="AL61" s="300"/>
    </row>
    <row r="62" spans="1:38" ht="3.9" customHeight="1">
      <c r="A62" s="298"/>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c r="AG62" s="299"/>
      <c r="AH62" s="299"/>
      <c r="AI62" s="299"/>
      <c r="AJ62" s="299"/>
      <c r="AK62" s="299"/>
      <c r="AL62" s="300"/>
    </row>
    <row r="63" spans="1:38" ht="3.9" customHeight="1">
      <c r="A63" s="298"/>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c r="AL63" s="300"/>
    </row>
    <row r="64" spans="1:38" ht="18" customHeight="1">
      <c r="A64" s="1493" t="s">
        <v>3073</v>
      </c>
      <c r="B64" s="1459"/>
      <c r="C64" s="1459"/>
      <c r="D64" s="1459"/>
      <c r="E64" s="1459"/>
      <c r="F64" s="1459"/>
      <c r="G64" s="299"/>
      <c r="H64" s="299"/>
      <c r="I64" s="299"/>
      <c r="J64" s="299"/>
      <c r="K64" s="299"/>
      <c r="L64" s="299"/>
      <c r="M64" s="299"/>
      <c r="N64" s="299"/>
      <c r="O64" s="299"/>
      <c r="P64" s="299"/>
      <c r="Q64" s="299"/>
      <c r="R64" s="299"/>
      <c r="S64" s="299"/>
      <c r="T64" s="299"/>
      <c r="U64" s="299"/>
      <c r="V64" s="299"/>
      <c r="W64" s="299"/>
      <c r="X64" s="299"/>
      <c r="Y64" s="299"/>
      <c r="Z64" s="299"/>
      <c r="AA64" s="299"/>
      <c r="AB64" s="299"/>
      <c r="AC64" s="299"/>
      <c r="AD64" s="299"/>
      <c r="AE64" s="299"/>
      <c r="AF64" s="299"/>
      <c r="AG64" s="299"/>
      <c r="AH64" s="299"/>
      <c r="AI64" s="299"/>
      <c r="AJ64" s="299"/>
      <c r="AK64" s="299"/>
      <c r="AL64" s="300"/>
    </row>
    <row r="65" spans="1:58" ht="17.399999999999999" customHeight="1">
      <c r="A65" s="298"/>
      <c r="B65" s="1460" t="s">
        <v>3074</v>
      </c>
      <c r="C65" s="1461"/>
      <c r="D65" s="1461"/>
      <c r="E65" s="1461"/>
      <c r="F65" s="1461"/>
      <c r="G65" s="1461"/>
      <c r="H65" s="1461"/>
      <c r="I65" s="1532"/>
      <c r="J65" s="324" t="s">
        <v>40</v>
      </c>
      <c r="K65" s="296" t="s">
        <v>3075</v>
      </c>
      <c r="L65" s="325"/>
      <c r="M65" s="296"/>
      <c r="N65" s="296"/>
      <c r="O65" s="296"/>
      <c r="P65" s="296"/>
      <c r="Q65" s="296"/>
      <c r="R65" s="326" t="s">
        <v>40</v>
      </c>
      <c r="S65" s="296" t="s">
        <v>3076</v>
      </c>
      <c r="T65" s="325"/>
      <c r="U65" s="296"/>
      <c r="V65" s="296"/>
      <c r="W65" s="296"/>
      <c r="X65" s="296"/>
      <c r="Y65" s="296"/>
      <c r="Z65" s="325"/>
      <c r="AA65" s="296"/>
      <c r="AB65" s="326" t="s">
        <v>40</v>
      </c>
      <c r="AC65" s="296" t="s">
        <v>3077</v>
      </c>
      <c r="AD65" s="325"/>
      <c r="AE65" s="296"/>
      <c r="AF65" s="296"/>
      <c r="AG65" s="296"/>
      <c r="AH65" s="296"/>
      <c r="AI65" s="296"/>
      <c r="AJ65" s="297"/>
      <c r="AK65" s="299"/>
      <c r="AL65" s="300"/>
    </row>
    <row r="66" spans="1:58" ht="17.399999999999999" customHeight="1">
      <c r="A66" s="298"/>
      <c r="B66" s="1522"/>
      <c r="C66" s="1474"/>
      <c r="D66" s="1474"/>
      <c r="E66" s="1474"/>
      <c r="F66" s="1474"/>
      <c r="G66" s="1474"/>
      <c r="H66" s="1474"/>
      <c r="I66" s="1475"/>
      <c r="J66" s="328" t="s">
        <v>40</v>
      </c>
      <c r="K66" s="315" t="s">
        <v>3078</v>
      </c>
      <c r="L66" s="329"/>
      <c r="M66" s="315"/>
      <c r="N66" s="315"/>
      <c r="O66" s="315"/>
      <c r="P66" s="315"/>
      <c r="Q66" s="315"/>
      <c r="R66" s="330" t="s">
        <v>40</v>
      </c>
      <c r="S66" s="315" t="s">
        <v>3079</v>
      </c>
      <c r="T66" s="329"/>
      <c r="U66" s="331"/>
      <c r="V66" s="331"/>
      <c r="W66" s="331"/>
      <c r="X66" s="331"/>
      <c r="Y66" s="315"/>
      <c r="Z66" s="329"/>
      <c r="AA66" s="315"/>
      <c r="AB66" s="330" t="s">
        <v>40</v>
      </c>
      <c r="AC66" s="315" t="s">
        <v>3080</v>
      </c>
      <c r="AD66" s="329"/>
      <c r="AE66" s="315"/>
      <c r="AF66" s="315"/>
      <c r="AG66" s="315"/>
      <c r="AH66" s="315"/>
      <c r="AI66" s="315"/>
      <c r="AJ66" s="316"/>
      <c r="AK66" s="299"/>
      <c r="AL66" s="300"/>
    </row>
    <row r="67" spans="1:58" ht="17.399999999999999" customHeight="1">
      <c r="A67" s="298"/>
      <c r="B67" s="1533" t="s">
        <v>3081</v>
      </c>
      <c r="C67" s="1534"/>
      <c r="D67" s="1534"/>
      <c r="E67" s="1534"/>
      <c r="F67" s="1534"/>
      <c r="G67" s="1534"/>
      <c r="H67" s="1534"/>
      <c r="I67" s="1535"/>
      <c r="J67" s="324" t="s">
        <v>40</v>
      </c>
      <c r="K67" s="296" t="s">
        <v>2819</v>
      </c>
      <c r="L67" s="325"/>
      <c r="M67" s="332"/>
      <c r="N67" s="296"/>
      <c r="O67" s="296"/>
      <c r="P67" s="296"/>
      <c r="Q67" s="296"/>
      <c r="R67" s="296"/>
      <c r="T67" s="296"/>
      <c r="U67" s="326" t="s">
        <v>40</v>
      </c>
      <c r="V67" s="296" t="s">
        <v>2820</v>
      </c>
      <c r="X67" s="325"/>
      <c r="Y67" s="296"/>
      <c r="Z67" s="296"/>
      <c r="AA67" s="296"/>
      <c r="AB67" s="296"/>
      <c r="AC67" s="296"/>
      <c r="AD67" s="296"/>
      <c r="AE67" s="296"/>
      <c r="AF67" s="296"/>
      <c r="AG67" s="296"/>
      <c r="AH67" s="296"/>
      <c r="AI67" s="296"/>
      <c r="AJ67" s="297"/>
      <c r="AK67" s="299"/>
      <c r="AL67" s="300"/>
      <c r="AO67" s="299"/>
      <c r="AP67" s="299"/>
      <c r="AQ67" s="299"/>
      <c r="AR67" s="299"/>
      <c r="AS67" s="299"/>
      <c r="AT67" s="299"/>
      <c r="AU67" s="299"/>
      <c r="AV67" s="299"/>
      <c r="AW67" s="299"/>
      <c r="AX67" s="299"/>
      <c r="AY67" s="299"/>
      <c r="AZ67" s="299"/>
      <c r="BA67" s="299"/>
      <c r="BB67" s="299"/>
      <c r="BC67" s="299"/>
      <c r="BD67" s="299"/>
      <c r="BE67" s="299"/>
      <c r="BF67" s="299"/>
    </row>
    <row r="68" spans="1:58" ht="17.399999999999999" customHeight="1">
      <c r="A68" s="298"/>
      <c r="B68" s="1536"/>
      <c r="C68" s="1537"/>
      <c r="D68" s="1537"/>
      <c r="E68" s="1537"/>
      <c r="F68" s="1537"/>
      <c r="G68" s="1537"/>
      <c r="H68" s="1537"/>
      <c r="I68" s="1538"/>
      <c r="J68" s="328" t="s">
        <v>40</v>
      </c>
      <c r="K68" s="315" t="s">
        <v>2821</v>
      </c>
      <c r="L68" s="329"/>
      <c r="M68" s="314"/>
      <c r="N68" s="315"/>
      <c r="O68" s="329"/>
      <c r="P68" s="315"/>
      <c r="Q68" s="315"/>
      <c r="R68" s="315"/>
      <c r="S68" s="315"/>
      <c r="T68" s="315"/>
      <c r="U68" s="330" t="s">
        <v>40</v>
      </c>
      <c r="V68" s="315" t="s">
        <v>2822</v>
      </c>
      <c r="W68" s="315"/>
      <c r="X68" s="315"/>
      <c r="Y68" s="315"/>
      <c r="Z68" s="315"/>
      <c r="AA68" s="315"/>
      <c r="AB68" s="315"/>
      <c r="AC68" s="315"/>
      <c r="AD68" s="315"/>
      <c r="AE68" s="330" t="s">
        <v>40</v>
      </c>
      <c r="AF68" s="315" t="s">
        <v>2823</v>
      </c>
      <c r="AG68" s="329"/>
      <c r="AH68" s="315"/>
      <c r="AI68" s="315"/>
      <c r="AJ68" s="316"/>
      <c r="AK68" s="299"/>
      <c r="AL68" s="300"/>
      <c r="AO68" s="299"/>
      <c r="AP68" s="299"/>
      <c r="AQ68" s="299"/>
      <c r="AR68" s="299"/>
      <c r="AS68" s="299"/>
      <c r="AT68" s="299"/>
      <c r="AU68" s="299"/>
      <c r="AV68" s="299"/>
      <c r="AW68" s="299"/>
      <c r="AX68" s="299"/>
      <c r="AY68" s="299"/>
      <c r="AZ68" s="299"/>
      <c r="BA68" s="299"/>
      <c r="BB68" s="299"/>
      <c r="BC68" s="299"/>
      <c r="BD68" s="299"/>
      <c r="BE68" s="299"/>
      <c r="BF68" s="299"/>
    </row>
    <row r="69" spans="1:58" ht="2.25" customHeight="1">
      <c r="A69" s="298"/>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299"/>
      <c r="AL69" s="300"/>
    </row>
    <row r="70" spans="1:58" ht="1.5" customHeight="1">
      <c r="A70" s="298"/>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299"/>
      <c r="AD70" s="299"/>
      <c r="AE70" s="299"/>
      <c r="AF70" s="299"/>
      <c r="AG70" s="299"/>
      <c r="AH70" s="299"/>
      <c r="AI70" s="299"/>
      <c r="AJ70" s="299"/>
      <c r="AK70" s="299"/>
      <c r="AL70" s="300"/>
    </row>
    <row r="71" spans="1:58" ht="18" customHeight="1">
      <c r="A71" s="298" t="s">
        <v>3082</v>
      </c>
      <c r="B71" s="299"/>
      <c r="C71" s="299"/>
      <c r="D71" s="299"/>
      <c r="E71" s="299"/>
      <c r="F71" s="299"/>
      <c r="G71" s="299"/>
      <c r="H71" s="299"/>
      <c r="I71" s="1521"/>
      <c r="J71" s="1521"/>
      <c r="K71" s="1521"/>
      <c r="L71" s="1521"/>
      <c r="M71" s="1521"/>
      <c r="N71" s="1521"/>
      <c r="O71" s="299"/>
      <c r="P71" s="299"/>
      <c r="Q71" s="299"/>
      <c r="R71" s="1521"/>
      <c r="S71" s="1521"/>
      <c r="T71" s="1521"/>
      <c r="U71" s="1521"/>
      <c r="V71" s="1521"/>
      <c r="W71" s="1521"/>
      <c r="X71" s="299"/>
      <c r="Y71" s="299"/>
      <c r="Z71" s="299"/>
      <c r="AA71" s="299"/>
      <c r="AB71" s="299"/>
      <c r="AC71" s="299"/>
      <c r="AD71" s="299"/>
      <c r="AE71" s="299"/>
      <c r="AF71" s="299"/>
      <c r="AG71" s="299"/>
      <c r="AH71" s="299"/>
      <c r="AI71" s="299"/>
      <c r="AJ71" s="299"/>
      <c r="AK71" s="299"/>
      <c r="AL71" s="300"/>
    </row>
    <row r="72" spans="1:58" ht="39" customHeight="1">
      <c r="A72" s="298"/>
      <c r="B72" s="1472" t="s">
        <v>3083</v>
      </c>
      <c r="C72" s="1473"/>
      <c r="D72" s="1473"/>
      <c r="E72" s="1473"/>
      <c r="F72" s="1473"/>
      <c r="G72" s="1473"/>
      <c r="H72" s="1473"/>
      <c r="I72" s="1484"/>
      <c r="J72" s="1539" t="str">
        <f>cst_wskakunin_BUILD__address</f>
        <v>東京都港区虎ノ門１－１－１</v>
      </c>
      <c r="K72" s="1540"/>
      <c r="L72" s="1540"/>
      <c r="M72" s="1540"/>
      <c r="N72" s="1540"/>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1"/>
      <c r="AJ72" s="1542"/>
      <c r="AK72" s="299"/>
      <c r="AL72" s="300"/>
    </row>
    <row r="73" spans="1:58" ht="17.399999999999999" customHeight="1">
      <c r="A73" s="298"/>
      <c r="B73" s="1460" t="s">
        <v>3084</v>
      </c>
      <c r="C73" s="1461"/>
      <c r="D73" s="1461"/>
      <c r="E73" s="1461"/>
      <c r="F73" s="1461"/>
      <c r="G73" s="1461"/>
      <c r="H73" s="1461"/>
      <c r="I73" s="1461"/>
      <c r="J73" s="334" t="str">
        <f>IF(cst_wskakunin_KUIKI_SIGAIKA="■","☑","□")</f>
        <v>□</v>
      </c>
      <c r="K73" s="295" t="s">
        <v>3085</v>
      </c>
      <c r="L73" s="295"/>
      <c r="M73" s="295"/>
      <c r="N73" s="295"/>
      <c r="O73" s="295"/>
      <c r="P73" s="295"/>
      <c r="Q73" s="296"/>
      <c r="R73" s="296"/>
      <c r="T73" s="295"/>
      <c r="U73" s="295"/>
      <c r="V73" s="295"/>
      <c r="W73" s="295"/>
      <c r="X73" s="295"/>
      <c r="Y73" s="295"/>
      <c r="Z73" s="335" t="str">
        <f>IF(cst_wskakunin_KUIKI_TYOSEI="■","☑","□")</f>
        <v>□</v>
      </c>
      <c r="AA73" s="295" t="s">
        <v>3086</v>
      </c>
      <c r="AB73" s="296"/>
      <c r="AC73" s="296"/>
      <c r="AD73" s="296"/>
      <c r="AE73" s="296"/>
      <c r="AF73" s="296"/>
      <c r="AG73" s="325"/>
      <c r="AH73" s="296"/>
      <c r="AI73" s="296"/>
      <c r="AJ73" s="297"/>
      <c r="AK73" s="299"/>
      <c r="AL73" s="300"/>
    </row>
    <row r="74" spans="1:58" ht="17.399999999999999" customHeight="1">
      <c r="A74" s="298"/>
      <c r="B74" s="1493"/>
      <c r="C74" s="1459"/>
      <c r="D74" s="1459"/>
      <c r="E74" s="1459"/>
      <c r="F74" s="1459"/>
      <c r="G74" s="1459"/>
      <c r="H74" s="1459"/>
      <c r="I74" s="1459"/>
      <c r="J74" s="336" t="str">
        <f>IF(cst_wskakunin_KUIKI_HISETTEI="■","☑","□")</f>
        <v>□</v>
      </c>
      <c r="K74" s="299" t="s">
        <v>3087</v>
      </c>
      <c r="L74" s="299"/>
      <c r="M74" s="299"/>
      <c r="O74" s="299"/>
      <c r="P74" s="299"/>
      <c r="Q74" s="299"/>
      <c r="R74" s="299"/>
      <c r="S74" s="299"/>
      <c r="T74" s="299"/>
      <c r="U74" s="299"/>
      <c r="V74" s="299"/>
      <c r="W74" s="299"/>
      <c r="X74" s="299"/>
      <c r="Z74" s="337" t="str">
        <f>IF(cst_wskakunin_KUIKI_JYUN_TOSHI="■","☑","□")</f>
        <v>□</v>
      </c>
      <c r="AA74" s="294" t="s">
        <v>3088</v>
      </c>
      <c r="AB74" s="294"/>
      <c r="AC74" s="294"/>
      <c r="AD74" s="294"/>
      <c r="AE74" s="294"/>
      <c r="AF74" s="294"/>
      <c r="AH74" s="299"/>
      <c r="AI74" s="299"/>
      <c r="AJ74" s="300"/>
      <c r="AK74" s="299"/>
      <c r="AL74" s="300"/>
    </row>
    <row r="75" spans="1:58" ht="17.399999999999999" customHeight="1">
      <c r="A75" s="298"/>
      <c r="B75" s="1522"/>
      <c r="C75" s="1474"/>
      <c r="D75" s="1474"/>
      <c r="E75" s="1474"/>
      <c r="F75" s="1474"/>
      <c r="G75" s="1474"/>
      <c r="H75" s="1474"/>
      <c r="I75" s="1474"/>
      <c r="J75" s="338" t="str">
        <f>IF(cst_wskakunin_KUIKI_KUIKIGAI="■","☑","□")</f>
        <v>□</v>
      </c>
      <c r="K75" s="303" t="s">
        <v>3089</v>
      </c>
      <c r="L75" s="303"/>
      <c r="M75" s="303"/>
      <c r="N75" s="303"/>
      <c r="O75" s="303"/>
      <c r="P75" s="303"/>
      <c r="Q75" s="303"/>
      <c r="R75" s="303"/>
      <c r="S75" s="303"/>
      <c r="T75" s="303"/>
      <c r="U75" s="303"/>
      <c r="V75" s="303"/>
      <c r="W75" s="303"/>
      <c r="X75" s="303"/>
      <c r="Y75" s="303"/>
      <c r="Z75" s="303"/>
      <c r="AA75" s="303"/>
      <c r="AB75" s="303"/>
      <c r="AC75" s="303"/>
      <c r="AD75" s="315"/>
      <c r="AE75" s="315"/>
      <c r="AF75" s="315"/>
      <c r="AG75" s="329"/>
      <c r="AH75" s="315"/>
      <c r="AI75" s="315"/>
      <c r="AJ75" s="316"/>
      <c r="AK75" s="299"/>
      <c r="AL75" s="300"/>
    </row>
    <row r="76" spans="1:58" ht="3.9" customHeight="1">
      <c r="A76" s="298"/>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c r="AE76" s="299"/>
      <c r="AF76" s="299"/>
      <c r="AG76" s="299"/>
      <c r="AH76" s="299"/>
      <c r="AI76" s="299"/>
      <c r="AJ76" s="299"/>
      <c r="AK76" s="299"/>
      <c r="AL76" s="300"/>
    </row>
    <row r="77" spans="1:58" ht="3.9" customHeight="1">
      <c r="A77" s="298"/>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299"/>
      <c r="AD77" s="299"/>
      <c r="AE77" s="299"/>
      <c r="AF77" s="299"/>
      <c r="AG77" s="299"/>
      <c r="AH77" s="299"/>
      <c r="AI77" s="299"/>
      <c r="AJ77" s="299"/>
      <c r="AK77" s="299"/>
      <c r="AL77" s="300"/>
    </row>
    <row r="78" spans="1:58" ht="17.399999999999999" customHeight="1">
      <c r="A78" s="298" t="s">
        <v>3090</v>
      </c>
      <c r="B78" s="299"/>
      <c r="C78" s="299"/>
      <c r="D78" s="299"/>
      <c r="E78" s="299"/>
      <c r="F78" s="299"/>
      <c r="G78" s="299"/>
      <c r="H78" s="299"/>
      <c r="I78" s="339"/>
      <c r="J78" s="340" t="str">
        <f>IF(cst_wskakunin_KOUJI_SINTIKU_box="■","☑","□")</f>
        <v>☑</v>
      </c>
      <c r="K78" s="302" t="s">
        <v>3091</v>
      </c>
      <c r="L78" s="302"/>
      <c r="M78" s="302"/>
      <c r="N78" s="302"/>
      <c r="O78" s="341" t="str">
        <f>IF(cst_wskakunin_KOUJI_ZOUTIKU_box="■","☑","□")</f>
        <v>□</v>
      </c>
      <c r="P78" s="302" t="s">
        <v>3092</v>
      </c>
      <c r="Q78" s="302"/>
      <c r="R78" s="302"/>
      <c r="S78" s="302"/>
      <c r="T78" s="341" t="str">
        <f>IF(cst_wskakunin_KOUJI_KAITIKU_box="■","☑","□")</f>
        <v>□</v>
      </c>
      <c r="U78" s="302" t="s">
        <v>3093</v>
      </c>
      <c r="V78" s="302"/>
      <c r="W78" s="302"/>
      <c r="X78" s="302"/>
      <c r="Y78" s="341" t="str">
        <f>IF(cst_wskakunin_KOUJI_ITEN_box="■","☑","□")</f>
        <v>□</v>
      </c>
      <c r="Z78" s="302" t="s">
        <v>3094</v>
      </c>
      <c r="AA78" s="302"/>
      <c r="AB78" s="302"/>
      <c r="AC78" s="302"/>
      <c r="AD78" s="312"/>
      <c r="AE78" s="299"/>
      <c r="AF78" s="299"/>
      <c r="AL78" s="339"/>
    </row>
    <row r="79" spans="1:58" ht="3.9" customHeight="1">
      <c r="A79" s="298"/>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c r="AL79" s="300"/>
    </row>
    <row r="80" spans="1:58" ht="3.6" customHeight="1">
      <c r="A80" s="298"/>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299"/>
      <c r="AD80" s="299"/>
      <c r="AE80" s="299"/>
      <c r="AF80" s="299"/>
      <c r="AG80" s="299"/>
      <c r="AH80" s="299"/>
      <c r="AI80" s="299"/>
      <c r="AJ80" s="299"/>
      <c r="AK80" s="299"/>
      <c r="AL80" s="300"/>
    </row>
    <row r="81" spans="1:38" ht="23.1" customHeight="1">
      <c r="A81" s="1493" t="s">
        <v>3095</v>
      </c>
      <c r="B81" s="1459"/>
      <c r="C81" s="1459"/>
      <c r="D81" s="1459"/>
      <c r="E81" s="1459"/>
      <c r="F81" s="1459"/>
      <c r="G81" s="1459"/>
      <c r="H81" s="1459"/>
      <c r="I81" s="1523"/>
      <c r="J81" s="1524"/>
      <c r="K81" s="1525"/>
      <c r="L81" s="1525"/>
      <c r="M81" s="1525"/>
      <c r="N81" s="1525"/>
      <c r="O81" s="1525"/>
      <c r="P81" s="1525"/>
      <c r="Q81" s="1525"/>
      <c r="R81" s="1526"/>
      <c r="S81" s="299" t="s">
        <v>3096</v>
      </c>
      <c r="T81" s="299"/>
      <c r="U81" s="299"/>
      <c r="V81" s="299"/>
      <c r="W81" s="299"/>
      <c r="X81" s="299"/>
      <c r="Y81" s="299"/>
      <c r="Z81" s="299"/>
      <c r="AA81" s="299"/>
      <c r="AB81" s="299"/>
      <c r="AC81" s="299"/>
      <c r="AD81" s="299"/>
      <c r="AE81" s="299"/>
      <c r="AF81" s="299"/>
      <c r="AG81" s="299"/>
      <c r="AH81" s="299"/>
      <c r="AI81" s="299"/>
      <c r="AJ81" s="299"/>
      <c r="AK81" s="299"/>
      <c r="AL81" s="300"/>
    </row>
    <row r="82" spans="1:38" ht="5.0999999999999996" customHeight="1">
      <c r="A82" s="298"/>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299"/>
      <c r="AL82" s="300"/>
    </row>
    <row r="83" spans="1:38" ht="18" customHeight="1">
      <c r="A83" s="1493" t="s">
        <v>3097</v>
      </c>
      <c r="B83" s="1459"/>
      <c r="C83" s="1459"/>
      <c r="D83" s="1459"/>
      <c r="E83" s="1459"/>
      <c r="F83" s="1459"/>
      <c r="G83" s="1459"/>
      <c r="H83" s="1459"/>
      <c r="I83" s="1459"/>
      <c r="J83" s="1459"/>
      <c r="K83" s="145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300"/>
    </row>
    <row r="84" spans="1:38" ht="23.1" customHeight="1">
      <c r="A84" s="298"/>
      <c r="B84" s="1527" t="s">
        <v>3098</v>
      </c>
      <c r="C84" s="1528"/>
      <c r="D84" s="1528"/>
      <c r="E84" s="1528"/>
      <c r="F84" s="1528"/>
      <c r="G84" s="1528"/>
      <c r="H84" s="1528"/>
      <c r="I84" s="1528"/>
      <c r="J84" s="1529" t="str">
        <f>IF(AND(K104="",M106=""),"",1)</f>
        <v/>
      </c>
      <c r="K84" s="1530"/>
      <c r="L84" s="1530"/>
      <c r="M84" s="1530"/>
      <c r="N84" s="1530"/>
      <c r="O84" s="1530"/>
      <c r="P84" s="1530"/>
      <c r="Q84" s="1530"/>
      <c r="R84" s="1531"/>
      <c r="S84" s="1551" t="str">
        <f>IF(AND(T104="",V106=""),"",2)</f>
        <v/>
      </c>
      <c r="T84" s="1530"/>
      <c r="U84" s="1530"/>
      <c r="V84" s="1530"/>
      <c r="W84" s="1530"/>
      <c r="X84" s="1530"/>
      <c r="Y84" s="1530"/>
      <c r="Z84" s="1530"/>
      <c r="AA84" s="1531"/>
      <c r="AB84" s="1551" t="str">
        <f>IF(AND(AC104="",AE106=""),"",3)</f>
        <v/>
      </c>
      <c r="AC84" s="1530"/>
      <c r="AD84" s="1530"/>
      <c r="AE84" s="1530"/>
      <c r="AF84" s="1530"/>
      <c r="AG84" s="1530"/>
      <c r="AH84" s="1530"/>
      <c r="AI84" s="1530"/>
      <c r="AJ84" s="1552"/>
      <c r="AK84" s="345"/>
      <c r="AL84" s="346"/>
    </row>
    <row r="85" spans="1:38" ht="39" customHeight="1">
      <c r="A85" s="298"/>
      <c r="B85" s="1472" t="s">
        <v>3099</v>
      </c>
      <c r="C85" s="1473"/>
      <c r="D85" s="1473"/>
      <c r="E85" s="1473"/>
      <c r="F85" s="1473"/>
      <c r="G85" s="1473"/>
      <c r="H85" s="1473"/>
      <c r="I85" s="1473"/>
      <c r="J85" s="1529" t="str">
        <f>IF(AND(K104="",M106=""),"",cst_wskakunin_BUILD_NAME)</f>
        <v/>
      </c>
      <c r="K85" s="1530"/>
      <c r="L85" s="1530"/>
      <c r="M85" s="1530"/>
      <c r="N85" s="1530"/>
      <c r="O85" s="1530"/>
      <c r="P85" s="1530"/>
      <c r="Q85" s="1530"/>
      <c r="R85" s="1531"/>
      <c r="S85" s="1551"/>
      <c r="T85" s="1530"/>
      <c r="U85" s="1530"/>
      <c r="V85" s="1530"/>
      <c r="W85" s="1530"/>
      <c r="X85" s="1530"/>
      <c r="Y85" s="1530"/>
      <c r="Z85" s="1530"/>
      <c r="AA85" s="1531"/>
      <c r="AB85" s="1551"/>
      <c r="AC85" s="1530"/>
      <c r="AD85" s="1530"/>
      <c r="AE85" s="1530"/>
      <c r="AF85" s="1530"/>
      <c r="AG85" s="1530"/>
      <c r="AH85" s="1530"/>
      <c r="AI85" s="1530"/>
      <c r="AJ85" s="1552"/>
      <c r="AK85" s="345"/>
      <c r="AL85" s="346"/>
    </row>
    <row r="86" spans="1:38" ht="23.1" customHeight="1">
      <c r="A86" s="298"/>
      <c r="B86" s="1533" t="s">
        <v>3100</v>
      </c>
      <c r="C86" s="1461"/>
      <c r="D86" s="1461"/>
      <c r="E86" s="1461"/>
      <c r="F86" s="1461"/>
      <c r="G86" s="1461"/>
      <c r="H86" s="1461"/>
      <c r="I86" s="1461"/>
      <c r="J86" s="1543"/>
      <c r="K86" s="1544"/>
      <c r="L86" s="1544"/>
      <c r="M86" s="1544"/>
      <c r="N86" s="1544"/>
      <c r="O86" s="1544"/>
      <c r="P86" s="1544"/>
      <c r="Q86" s="1544"/>
      <c r="R86" s="1545"/>
      <c r="S86" s="1546"/>
      <c r="T86" s="1544"/>
      <c r="U86" s="1544"/>
      <c r="V86" s="1544"/>
      <c r="W86" s="1544"/>
      <c r="X86" s="1544"/>
      <c r="Y86" s="1544"/>
      <c r="Z86" s="1544"/>
      <c r="AA86" s="1545"/>
      <c r="AB86" s="1546"/>
      <c r="AC86" s="1544"/>
      <c r="AD86" s="1544"/>
      <c r="AE86" s="1544"/>
      <c r="AF86" s="1544"/>
      <c r="AG86" s="1544"/>
      <c r="AH86" s="1544"/>
      <c r="AI86" s="1544"/>
      <c r="AJ86" s="1547"/>
      <c r="AK86" s="345"/>
      <c r="AL86" s="346"/>
    </row>
    <row r="87" spans="1:38" ht="17.100000000000001" customHeight="1">
      <c r="A87" s="298"/>
      <c r="B87" s="1522"/>
      <c r="C87" s="1474"/>
      <c r="D87" s="1474"/>
      <c r="E87" s="1474"/>
      <c r="F87" s="1474"/>
      <c r="G87" s="1474"/>
      <c r="H87" s="1474"/>
      <c r="I87" s="1474"/>
      <c r="J87" s="347" t="s">
        <v>40</v>
      </c>
      <c r="K87" s="1548" t="s">
        <v>2824</v>
      </c>
      <c r="L87" s="1549"/>
      <c r="M87" s="1549"/>
      <c r="N87" s="1549"/>
      <c r="O87" s="1549"/>
      <c r="P87" s="1549"/>
      <c r="Q87" s="1549"/>
      <c r="R87" s="1550"/>
      <c r="S87" s="347" t="s">
        <v>40</v>
      </c>
      <c r="T87" s="1548" t="s">
        <v>2824</v>
      </c>
      <c r="U87" s="1549"/>
      <c r="V87" s="1549"/>
      <c r="W87" s="1549"/>
      <c r="X87" s="1549"/>
      <c r="Y87" s="1549"/>
      <c r="Z87" s="1549"/>
      <c r="AA87" s="1550"/>
      <c r="AB87" s="347" t="s">
        <v>40</v>
      </c>
      <c r="AC87" s="1548" t="s">
        <v>2824</v>
      </c>
      <c r="AD87" s="1549"/>
      <c r="AE87" s="1549"/>
      <c r="AF87" s="1549"/>
      <c r="AG87" s="1549"/>
      <c r="AH87" s="1549"/>
      <c r="AI87" s="1549"/>
      <c r="AJ87" s="1550"/>
      <c r="AK87" s="348"/>
      <c r="AL87" s="346"/>
    </row>
    <row r="88" spans="1:38" ht="20.100000000000001" customHeight="1">
      <c r="A88" s="298"/>
      <c r="B88" s="1553" t="s">
        <v>3101</v>
      </c>
      <c r="C88" s="1554"/>
      <c r="D88" s="1554"/>
      <c r="E88" s="1554"/>
      <c r="F88" s="1554"/>
      <c r="G88" s="1554"/>
      <c r="H88" s="1554"/>
      <c r="I88" s="1554"/>
      <c r="J88" s="1557"/>
      <c r="K88" s="1558"/>
      <c r="L88" s="1558"/>
      <c r="M88" s="1558"/>
      <c r="N88" s="1558"/>
      <c r="O88" s="1558"/>
      <c r="P88" s="1558"/>
      <c r="Q88" s="1558"/>
      <c r="R88" s="1559"/>
      <c r="S88" s="1563"/>
      <c r="T88" s="1558"/>
      <c r="U88" s="1558"/>
      <c r="V88" s="1558"/>
      <c r="W88" s="1558"/>
      <c r="X88" s="1558"/>
      <c r="Y88" s="1558"/>
      <c r="Z88" s="1558"/>
      <c r="AA88" s="1559"/>
      <c r="AB88" s="1563"/>
      <c r="AC88" s="1558"/>
      <c r="AD88" s="1558"/>
      <c r="AE88" s="1558"/>
      <c r="AF88" s="1558"/>
      <c r="AG88" s="1558"/>
      <c r="AH88" s="1558"/>
      <c r="AI88" s="1558"/>
      <c r="AJ88" s="1565"/>
      <c r="AK88" s="294"/>
      <c r="AL88" s="342"/>
    </row>
    <row r="89" spans="1:38" ht="15.9" customHeight="1">
      <c r="A89" s="298"/>
      <c r="B89" s="1555"/>
      <c r="C89" s="1556"/>
      <c r="D89" s="1556"/>
      <c r="E89" s="1556"/>
      <c r="F89" s="1556"/>
      <c r="G89" s="1556"/>
      <c r="H89" s="1556"/>
      <c r="I89" s="1556"/>
      <c r="J89" s="1560"/>
      <c r="K89" s="1561"/>
      <c r="L89" s="1561"/>
      <c r="M89" s="1561"/>
      <c r="N89" s="1561"/>
      <c r="O89" s="1561"/>
      <c r="P89" s="1561"/>
      <c r="Q89" s="1561"/>
      <c r="R89" s="1562"/>
      <c r="S89" s="1564"/>
      <c r="T89" s="1561"/>
      <c r="U89" s="1561"/>
      <c r="V89" s="1561"/>
      <c r="W89" s="1561"/>
      <c r="X89" s="1561"/>
      <c r="Y89" s="1561"/>
      <c r="Z89" s="1561"/>
      <c r="AA89" s="1562"/>
      <c r="AB89" s="1564"/>
      <c r="AC89" s="1561"/>
      <c r="AD89" s="1561"/>
      <c r="AE89" s="1561"/>
      <c r="AF89" s="1561"/>
      <c r="AG89" s="1561"/>
      <c r="AH89" s="1561"/>
      <c r="AI89" s="1561"/>
      <c r="AJ89" s="1566"/>
      <c r="AK89" s="349"/>
      <c r="AL89" s="350"/>
    </row>
    <row r="90" spans="1:38" ht="23.1" customHeight="1">
      <c r="A90" s="298"/>
      <c r="B90" s="1501" t="s">
        <v>3102</v>
      </c>
      <c r="C90" s="1502"/>
      <c r="D90" s="1502"/>
      <c r="E90" s="1502"/>
      <c r="F90" s="1502"/>
      <c r="G90" s="1502"/>
      <c r="H90" s="1502"/>
      <c r="I90" s="1502"/>
      <c r="J90" s="322"/>
      <c r="K90" s="1567"/>
      <c r="L90" s="1567"/>
      <c r="M90" s="1567"/>
      <c r="N90" s="1567"/>
      <c r="O90" s="1567"/>
      <c r="P90" s="1495" t="s">
        <v>3103</v>
      </c>
      <c r="Q90" s="1495"/>
      <c r="R90" s="351"/>
      <c r="S90" s="352"/>
      <c r="T90" s="1567"/>
      <c r="U90" s="1567"/>
      <c r="V90" s="1567"/>
      <c r="W90" s="1567"/>
      <c r="X90" s="1567"/>
      <c r="Y90" s="1495" t="s">
        <v>3103</v>
      </c>
      <c r="Z90" s="1495"/>
      <c r="AA90" s="351"/>
      <c r="AB90" s="352"/>
      <c r="AC90" s="1567"/>
      <c r="AD90" s="1567"/>
      <c r="AE90" s="1567"/>
      <c r="AF90" s="1567"/>
      <c r="AG90" s="1567"/>
      <c r="AH90" s="1495" t="s">
        <v>3103</v>
      </c>
      <c r="AI90" s="1495"/>
      <c r="AJ90" s="312"/>
      <c r="AK90" s="299"/>
      <c r="AL90" s="300"/>
    </row>
    <row r="91" spans="1:38" ht="12" customHeight="1">
      <c r="A91" s="298"/>
      <c r="B91" s="1533" t="s">
        <v>3104</v>
      </c>
      <c r="C91" s="1534"/>
      <c r="D91" s="1534"/>
      <c r="E91" s="1534"/>
      <c r="F91" s="1534"/>
      <c r="G91" s="1534"/>
      <c r="H91" s="1534"/>
      <c r="I91" s="1534"/>
      <c r="J91" s="332"/>
      <c r="K91" s="296"/>
      <c r="L91" s="296"/>
      <c r="M91" s="296"/>
      <c r="N91" s="296"/>
      <c r="O91" s="296"/>
      <c r="P91" s="296"/>
      <c r="Q91" s="296"/>
      <c r="R91" s="353"/>
      <c r="S91" s="354"/>
      <c r="T91" s="1568"/>
      <c r="U91" s="1568"/>
      <c r="V91" s="1568"/>
      <c r="W91" s="1568"/>
      <c r="X91" s="1568"/>
      <c r="Y91" s="296"/>
      <c r="Z91" s="296"/>
      <c r="AA91" s="353"/>
      <c r="AB91" s="354"/>
      <c r="AC91" s="296"/>
      <c r="AD91" s="296"/>
      <c r="AE91" s="296"/>
      <c r="AF91" s="296"/>
      <c r="AG91" s="296"/>
      <c r="AH91" s="296"/>
      <c r="AI91" s="296"/>
      <c r="AJ91" s="297"/>
      <c r="AK91" s="299"/>
      <c r="AL91" s="300"/>
    </row>
    <row r="92" spans="1:38" ht="18.899999999999999" customHeight="1">
      <c r="A92" s="298"/>
      <c r="B92" s="1536"/>
      <c r="C92" s="1537"/>
      <c r="D92" s="1537"/>
      <c r="E92" s="1537"/>
      <c r="F92" s="1537"/>
      <c r="G92" s="1537"/>
      <c r="H92" s="1537"/>
      <c r="I92" s="1537"/>
      <c r="J92" s="314"/>
      <c r="K92" s="1569" t="str">
        <f>cst_wskakunin_p4_1_YUKA_MENSEKI_SHINSEI</f>
        <v/>
      </c>
      <c r="L92" s="1569"/>
      <c r="M92" s="1569"/>
      <c r="N92" s="1569"/>
      <c r="O92" s="1569"/>
      <c r="P92" s="1570" t="s">
        <v>24</v>
      </c>
      <c r="Q92" s="1570"/>
      <c r="R92" s="356"/>
      <c r="S92" s="357"/>
      <c r="T92" s="1571"/>
      <c r="U92" s="1571"/>
      <c r="V92" s="1571"/>
      <c r="W92" s="1571"/>
      <c r="X92" s="1571"/>
      <c r="Y92" s="1570" t="s">
        <v>24</v>
      </c>
      <c r="Z92" s="1570"/>
      <c r="AA92" s="356"/>
      <c r="AB92" s="357"/>
      <c r="AC92" s="1572"/>
      <c r="AD92" s="1572"/>
      <c r="AE92" s="1572"/>
      <c r="AF92" s="1572"/>
      <c r="AG92" s="1572"/>
      <c r="AH92" s="1570" t="s">
        <v>24</v>
      </c>
      <c r="AI92" s="1570"/>
      <c r="AJ92" s="316"/>
      <c r="AK92" s="299"/>
      <c r="AL92" s="300"/>
    </row>
    <row r="93" spans="1:38" ht="8.4" hidden="1" customHeight="1">
      <c r="A93" s="298"/>
      <c r="B93" s="358"/>
      <c r="C93" s="358"/>
      <c r="D93" s="358"/>
      <c r="E93" s="358"/>
      <c r="F93" s="358"/>
      <c r="G93" s="358"/>
      <c r="H93" s="358"/>
      <c r="I93" s="343"/>
      <c r="J93" s="298"/>
      <c r="K93" s="359"/>
      <c r="L93" s="359"/>
      <c r="M93" s="359"/>
      <c r="N93" s="359"/>
      <c r="O93" s="317"/>
      <c r="P93" s="317"/>
      <c r="Q93" s="299"/>
      <c r="R93" s="360"/>
      <c r="S93" s="361"/>
      <c r="T93" s="359"/>
      <c r="U93" s="359"/>
      <c r="V93" s="359"/>
      <c r="W93" s="359"/>
      <c r="X93" s="317"/>
      <c r="Y93" s="317"/>
      <c r="Z93" s="299"/>
      <c r="AA93" s="360"/>
      <c r="AB93" s="361"/>
      <c r="AC93" s="359"/>
      <c r="AD93" s="359"/>
      <c r="AE93" s="359"/>
      <c r="AF93" s="359"/>
      <c r="AG93" s="317"/>
      <c r="AH93" s="317"/>
      <c r="AI93" s="299"/>
      <c r="AJ93" s="300"/>
      <c r="AK93" s="299"/>
      <c r="AL93" s="300"/>
    </row>
    <row r="94" spans="1:38" ht="23.1" customHeight="1">
      <c r="A94" s="298"/>
      <c r="B94" s="1533" t="s">
        <v>3105</v>
      </c>
      <c r="C94" s="1534"/>
      <c r="D94" s="1534"/>
      <c r="E94" s="1534"/>
      <c r="F94" s="1534"/>
      <c r="G94" s="1534"/>
      <c r="H94" s="1534"/>
      <c r="I94" s="1535"/>
      <c r="J94" s="362" t="s">
        <v>2677</v>
      </c>
      <c r="K94" s="1576" t="s">
        <v>2438</v>
      </c>
      <c r="L94" s="1577"/>
      <c r="M94" s="1578"/>
      <c r="N94" s="1579"/>
      <c r="O94" s="1579"/>
      <c r="P94" s="1579"/>
      <c r="Q94" s="1579"/>
      <c r="R94" s="1580"/>
      <c r="S94" s="297" t="s">
        <v>2677</v>
      </c>
      <c r="T94" s="1576" t="s">
        <v>2438</v>
      </c>
      <c r="U94" s="1577"/>
      <c r="V94" s="1578"/>
      <c r="W94" s="1581"/>
      <c r="X94" s="1579"/>
      <c r="Y94" s="1579"/>
      <c r="Z94" s="1579"/>
      <c r="AA94" s="1580"/>
      <c r="AB94" s="297" t="s">
        <v>2677</v>
      </c>
      <c r="AC94" s="1576" t="s">
        <v>2438</v>
      </c>
      <c r="AD94" s="1577"/>
      <c r="AE94" s="1578"/>
      <c r="AF94" s="1581"/>
      <c r="AG94" s="1579"/>
      <c r="AH94" s="1579"/>
      <c r="AI94" s="1579"/>
      <c r="AJ94" s="1582"/>
      <c r="AK94" s="299"/>
      <c r="AL94" s="300"/>
    </row>
    <row r="95" spans="1:38" ht="23.1" customHeight="1">
      <c r="A95" s="298"/>
      <c r="B95" s="1573"/>
      <c r="C95" s="1574"/>
      <c r="D95" s="1574"/>
      <c r="E95" s="1574"/>
      <c r="F95" s="1574"/>
      <c r="G95" s="1574"/>
      <c r="H95" s="1574"/>
      <c r="I95" s="1575"/>
      <c r="J95" s="363"/>
      <c r="K95" s="1576" t="s">
        <v>3106</v>
      </c>
      <c r="L95" s="1577"/>
      <c r="M95" s="1578"/>
      <c r="N95" s="1567"/>
      <c r="O95" s="1567"/>
      <c r="P95" s="1567"/>
      <c r="Q95" s="1567"/>
      <c r="R95" s="351" t="s">
        <v>24</v>
      </c>
      <c r="S95" s="316"/>
      <c r="T95" s="1576" t="s">
        <v>3106</v>
      </c>
      <c r="U95" s="1577"/>
      <c r="V95" s="1577"/>
      <c r="W95" s="1583"/>
      <c r="X95" s="1584"/>
      <c r="Y95" s="1584"/>
      <c r="Z95" s="1584"/>
      <c r="AA95" s="351" t="s">
        <v>24</v>
      </c>
      <c r="AB95" s="316"/>
      <c r="AC95" s="1576" t="s">
        <v>3106</v>
      </c>
      <c r="AD95" s="1577"/>
      <c r="AE95" s="1577"/>
      <c r="AF95" s="1583"/>
      <c r="AG95" s="1584"/>
      <c r="AH95" s="1584"/>
      <c r="AI95" s="1584"/>
      <c r="AJ95" s="312" t="s">
        <v>24</v>
      </c>
      <c r="AK95" s="299"/>
      <c r="AL95" s="300"/>
    </row>
    <row r="96" spans="1:38" ht="23.1" customHeight="1">
      <c r="A96" s="298"/>
      <c r="B96" s="1573"/>
      <c r="C96" s="1574"/>
      <c r="D96" s="1574"/>
      <c r="E96" s="1574"/>
      <c r="F96" s="1574"/>
      <c r="G96" s="1574"/>
      <c r="H96" s="1574"/>
      <c r="I96" s="1575"/>
      <c r="J96" s="362" t="s">
        <v>2678</v>
      </c>
      <c r="K96" s="1576" t="s">
        <v>2438</v>
      </c>
      <c r="L96" s="1577"/>
      <c r="M96" s="1578"/>
      <c r="N96" s="1579"/>
      <c r="O96" s="1579"/>
      <c r="P96" s="1579"/>
      <c r="Q96" s="1579"/>
      <c r="R96" s="1580"/>
      <c r="S96" s="297" t="s">
        <v>2678</v>
      </c>
      <c r="T96" s="1576" t="s">
        <v>2438</v>
      </c>
      <c r="U96" s="1577"/>
      <c r="V96" s="1578"/>
      <c r="W96" s="1581"/>
      <c r="X96" s="1579"/>
      <c r="Y96" s="1579"/>
      <c r="Z96" s="1579"/>
      <c r="AA96" s="1580"/>
      <c r="AB96" s="297" t="s">
        <v>2678</v>
      </c>
      <c r="AC96" s="1576" t="s">
        <v>2438</v>
      </c>
      <c r="AD96" s="1577"/>
      <c r="AE96" s="1578"/>
      <c r="AF96" s="1581"/>
      <c r="AG96" s="1579"/>
      <c r="AH96" s="1579"/>
      <c r="AI96" s="1579"/>
      <c r="AJ96" s="1582"/>
      <c r="AK96" s="299"/>
      <c r="AL96" s="300"/>
    </row>
    <row r="97" spans="1:38" ht="23.1" customHeight="1">
      <c r="A97" s="298"/>
      <c r="B97" s="1573"/>
      <c r="C97" s="1574"/>
      <c r="D97" s="1574"/>
      <c r="E97" s="1574"/>
      <c r="F97" s="1574"/>
      <c r="G97" s="1574"/>
      <c r="H97" s="1574"/>
      <c r="I97" s="1575"/>
      <c r="J97" s="363"/>
      <c r="K97" s="1576" t="s">
        <v>3106</v>
      </c>
      <c r="L97" s="1577"/>
      <c r="M97" s="1578"/>
      <c r="N97" s="1567"/>
      <c r="O97" s="1567"/>
      <c r="P97" s="1567"/>
      <c r="Q97" s="1567"/>
      <c r="R97" s="351" t="s">
        <v>24</v>
      </c>
      <c r="S97" s="316"/>
      <c r="T97" s="1576" t="s">
        <v>3106</v>
      </c>
      <c r="U97" s="1577"/>
      <c r="V97" s="1577"/>
      <c r="W97" s="1583"/>
      <c r="X97" s="1584"/>
      <c r="Y97" s="1584"/>
      <c r="Z97" s="1584"/>
      <c r="AA97" s="351" t="s">
        <v>24</v>
      </c>
      <c r="AB97" s="316"/>
      <c r="AC97" s="1576" t="s">
        <v>3106</v>
      </c>
      <c r="AD97" s="1577"/>
      <c r="AE97" s="1577"/>
      <c r="AF97" s="1583"/>
      <c r="AG97" s="1584"/>
      <c r="AH97" s="1584"/>
      <c r="AI97" s="1584"/>
      <c r="AJ97" s="312" t="s">
        <v>24</v>
      </c>
      <c r="AK97" s="299"/>
      <c r="AL97" s="300"/>
    </row>
    <row r="98" spans="1:38" ht="23.1" customHeight="1">
      <c r="A98" s="298"/>
      <c r="B98" s="1573"/>
      <c r="C98" s="1574"/>
      <c r="D98" s="1574"/>
      <c r="E98" s="1574"/>
      <c r="F98" s="1574"/>
      <c r="G98" s="1574"/>
      <c r="H98" s="1574"/>
      <c r="I98" s="1575"/>
      <c r="J98" s="332" t="s">
        <v>3107</v>
      </c>
      <c r="K98" s="1576" t="s">
        <v>2438</v>
      </c>
      <c r="L98" s="1577"/>
      <c r="M98" s="1578"/>
      <c r="N98" s="1579"/>
      <c r="O98" s="1579"/>
      <c r="P98" s="1579"/>
      <c r="Q98" s="1579"/>
      <c r="R98" s="1580"/>
      <c r="S98" s="296" t="s">
        <v>3107</v>
      </c>
      <c r="T98" s="1576" t="s">
        <v>2438</v>
      </c>
      <c r="U98" s="1577"/>
      <c r="V98" s="1578"/>
      <c r="W98" s="1581"/>
      <c r="X98" s="1579"/>
      <c r="Y98" s="1579"/>
      <c r="Z98" s="1579"/>
      <c r="AA98" s="1580"/>
      <c r="AB98" s="296" t="s">
        <v>3107</v>
      </c>
      <c r="AC98" s="1576" t="s">
        <v>2438</v>
      </c>
      <c r="AD98" s="1577"/>
      <c r="AE98" s="1578"/>
      <c r="AF98" s="1581"/>
      <c r="AG98" s="1579"/>
      <c r="AH98" s="1579"/>
      <c r="AI98" s="1579"/>
      <c r="AJ98" s="1582"/>
      <c r="AK98" s="299"/>
      <c r="AL98" s="300"/>
    </row>
    <row r="99" spans="1:38" ht="23.1" customHeight="1">
      <c r="A99" s="298"/>
      <c r="B99" s="1536"/>
      <c r="C99" s="1537"/>
      <c r="D99" s="1537"/>
      <c r="E99" s="1537"/>
      <c r="F99" s="1537"/>
      <c r="G99" s="1537"/>
      <c r="H99" s="1537"/>
      <c r="I99" s="1538"/>
      <c r="J99" s="314"/>
      <c r="K99" s="1576" t="s">
        <v>3106</v>
      </c>
      <c r="L99" s="1577"/>
      <c r="M99" s="1578"/>
      <c r="N99" s="1584"/>
      <c r="O99" s="1584"/>
      <c r="P99" s="1584"/>
      <c r="Q99" s="1584"/>
      <c r="R99" s="351" t="s">
        <v>24</v>
      </c>
      <c r="S99" s="315"/>
      <c r="T99" s="1576" t="s">
        <v>3106</v>
      </c>
      <c r="U99" s="1577"/>
      <c r="V99" s="1577"/>
      <c r="W99" s="1583"/>
      <c r="X99" s="1584"/>
      <c r="Y99" s="1584"/>
      <c r="Z99" s="1584"/>
      <c r="AA99" s="351" t="s">
        <v>24</v>
      </c>
      <c r="AB99" s="315"/>
      <c r="AC99" s="1576" t="s">
        <v>3106</v>
      </c>
      <c r="AD99" s="1577"/>
      <c r="AE99" s="1577"/>
      <c r="AF99" s="1583"/>
      <c r="AG99" s="1584"/>
      <c r="AH99" s="1584"/>
      <c r="AI99" s="1584"/>
      <c r="AJ99" s="312" t="s">
        <v>24</v>
      </c>
      <c r="AK99" s="299"/>
      <c r="AL99" s="300"/>
    </row>
    <row r="100" spans="1:38" ht="23.1" customHeight="1">
      <c r="A100" s="298"/>
      <c r="B100" s="1586" t="s">
        <v>3108</v>
      </c>
      <c r="C100" s="1554"/>
      <c r="D100" s="1554"/>
      <c r="E100" s="1554"/>
      <c r="F100" s="1554"/>
      <c r="G100" s="1554"/>
      <c r="H100" s="1554"/>
      <c r="I100" s="1554"/>
      <c r="J100" s="322"/>
      <c r="K100" s="1567"/>
      <c r="L100" s="1567"/>
      <c r="M100" s="1567"/>
      <c r="N100" s="1567"/>
      <c r="O100" s="1567"/>
      <c r="P100" s="1495" t="s">
        <v>3109</v>
      </c>
      <c r="Q100" s="1495"/>
      <c r="R100" s="351"/>
      <c r="S100" s="352"/>
      <c r="T100" s="1567"/>
      <c r="U100" s="1567"/>
      <c r="V100" s="1567"/>
      <c r="W100" s="1567"/>
      <c r="X100" s="1567"/>
      <c r="Y100" s="1495" t="s">
        <v>3109</v>
      </c>
      <c r="Z100" s="1495"/>
      <c r="AA100" s="351"/>
      <c r="AB100" s="352"/>
      <c r="AC100" s="1567"/>
      <c r="AD100" s="1567"/>
      <c r="AE100" s="1567"/>
      <c r="AF100" s="1567"/>
      <c r="AG100" s="1567"/>
      <c r="AH100" s="1495" t="s">
        <v>3109</v>
      </c>
      <c r="AI100" s="1495"/>
      <c r="AJ100" s="312"/>
      <c r="AK100" s="299"/>
      <c r="AL100" s="300"/>
    </row>
    <row r="101" spans="1:38" ht="8.4" hidden="1" customHeight="1">
      <c r="A101" s="298"/>
      <c r="B101" s="1555"/>
      <c r="C101" s="1556"/>
      <c r="D101" s="1556"/>
      <c r="E101" s="1556"/>
      <c r="F101" s="1556"/>
      <c r="G101" s="1556"/>
      <c r="H101" s="1556"/>
      <c r="I101" s="1556"/>
      <c r="J101" s="298"/>
      <c r="K101" s="355"/>
      <c r="L101" s="355"/>
      <c r="M101" s="355"/>
      <c r="N101" s="355"/>
      <c r="O101" s="317"/>
      <c r="P101" s="317"/>
      <c r="Q101" s="299"/>
      <c r="R101" s="360"/>
      <c r="S101" s="361"/>
      <c r="T101" s="355"/>
      <c r="U101" s="355"/>
      <c r="V101" s="355"/>
      <c r="W101" s="355"/>
      <c r="X101" s="317"/>
      <c r="Y101" s="317"/>
      <c r="Z101" s="299"/>
      <c r="AA101" s="360"/>
      <c r="AB101" s="361"/>
      <c r="AC101" s="355"/>
      <c r="AD101" s="355"/>
      <c r="AE101" s="355"/>
      <c r="AF101" s="355"/>
      <c r="AG101" s="317"/>
      <c r="AH101" s="317"/>
      <c r="AI101" s="299"/>
      <c r="AJ101" s="300"/>
      <c r="AK101" s="299"/>
      <c r="AL101" s="300"/>
    </row>
    <row r="102" spans="1:38" ht="17.399999999999999" customHeight="1">
      <c r="A102" s="298"/>
      <c r="B102" s="1587"/>
      <c r="C102" s="1588"/>
      <c r="D102" s="1588"/>
      <c r="E102" s="1588"/>
      <c r="F102" s="1588"/>
      <c r="G102" s="1588"/>
      <c r="H102" s="1588"/>
      <c r="I102" s="1588"/>
      <c r="J102" s="364" t="s">
        <v>40</v>
      </c>
      <c r="K102" s="365"/>
      <c r="M102" s="365"/>
      <c r="N102" s="366" t="s">
        <v>3110</v>
      </c>
      <c r="O102" s="318"/>
      <c r="P102" s="318"/>
      <c r="Q102" s="315"/>
      <c r="R102" s="356"/>
      <c r="S102" s="367" t="s">
        <v>40</v>
      </c>
      <c r="T102" s="365"/>
      <c r="V102" s="365"/>
      <c r="W102" s="366" t="s">
        <v>3110</v>
      </c>
      <c r="X102" s="318"/>
      <c r="Y102" s="318"/>
      <c r="Z102" s="315"/>
      <c r="AA102" s="356"/>
      <c r="AB102" s="367" t="s">
        <v>40</v>
      </c>
      <c r="AC102" s="365"/>
      <c r="AE102" s="365"/>
      <c r="AF102" s="366" t="s">
        <v>3110</v>
      </c>
      <c r="AG102" s="318"/>
      <c r="AH102" s="318"/>
      <c r="AI102" s="315"/>
      <c r="AJ102" s="316"/>
      <c r="AK102" s="299"/>
      <c r="AL102" s="300"/>
    </row>
    <row r="103" spans="1:38" ht="11.4" customHeight="1">
      <c r="A103" s="298"/>
      <c r="B103" s="1533" t="s">
        <v>3111</v>
      </c>
      <c r="C103" s="1534"/>
      <c r="D103" s="1534"/>
      <c r="E103" s="1534"/>
      <c r="F103" s="1534"/>
      <c r="G103" s="1534"/>
      <c r="H103" s="1534"/>
      <c r="I103" s="1534"/>
      <c r="J103" s="332"/>
      <c r="K103" s="368"/>
      <c r="L103" s="368"/>
      <c r="M103" s="368"/>
      <c r="N103" s="368"/>
      <c r="O103" s="368"/>
      <c r="P103" s="368"/>
      <c r="Q103" s="296"/>
      <c r="R103" s="353"/>
      <c r="S103" s="354"/>
      <c r="T103" s="368"/>
      <c r="U103" s="368"/>
      <c r="V103" s="368"/>
      <c r="W103" s="368"/>
      <c r="X103" s="368"/>
      <c r="Y103" s="368"/>
      <c r="Z103" s="296"/>
      <c r="AA103" s="353"/>
      <c r="AB103" s="354"/>
      <c r="AC103" s="368"/>
      <c r="AD103" s="368"/>
      <c r="AE103" s="368"/>
      <c r="AF103" s="368"/>
      <c r="AG103" s="368"/>
      <c r="AH103" s="368"/>
      <c r="AI103" s="296"/>
      <c r="AJ103" s="297"/>
      <c r="AK103" s="299"/>
      <c r="AL103" s="300"/>
    </row>
    <row r="104" spans="1:38" ht="18.899999999999999" customHeight="1">
      <c r="A104" s="298"/>
      <c r="B104" s="1536"/>
      <c r="C104" s="1537"/>
      <c r="D104" s="1537"/>
      <c r="E104" s="1537"/>
      <c r="F104" s="1537"/>
      <c r="G104" s="1537"/>
      <c r="H104" s="1537"/>
      <c r="I104" s="1537"/>
      <c r="J104" s="314"/>
      <c r="K104" s="1569" t="str">
        <f>cst_wskakunin_p4_1_KAISU_TIKAI_NOZOKU_SINTIKU</f>
        <v/>
      </c>
      <c r="L104" s="1569"/>
      <c r="M104" s="1569"/>
      <c r="N104" s="1569"/>
      <c r="O104" s="1569"/>
      <c r="P104" s="1585" t="s">
        <v>382</v>
      </c>
      <c r="Q104" s="1585"/>
      <c r="R104" s="356"/>
      <c r="S104" s="357"/>
      <c r="T104" s="1572"/>
      <c r="U104" s="1572"/>
      <c r="V104" s="1572"/>
      <c r="W104" s="1572"/>
      <c r="X104" s="1572"/>
      <c r="Y104" s="1585" t="s">
        <v>382</v>
      </c>
      <c r="Z104" s="1585"/>
      <c r="AA104" s="356"/>
      <c r="AB104" s="357"/>
      <c r="AC104" s="1572"/>
      <c r="AD104" s="1572"/>
      <c r="AE104" s="1572"/>
      <c r="AF104" s="1572"/>
      <c r="AG104" s="1572"/>
      <c r="AH104" s="1585" t="s">
        <v>382</v>
      </c>
      <c r="AI104" s="1585"/>
      <c r="AJ104" s="316"/>
      <c r="AK104" s="299"/>
      <c r="AL104" s="300"/>
    </row>
    <row r="105" spans="1:38" ht="12" customHeight="1">
      <c r="A105" s="298"/>
      <c r="B105" s="1533" t="s">
        <v>3112</v>
      </c>
      <c r="C105" s="1534"/>
      <c r="D105" s="1534"/>
      <c r="E105" s="1534"/>
      <c r="F105" s="1534"/>
      <c r="G105" s="1534"/>
      <c r="H105" s="1534"/>
      <c r="I105" s="1534"/>
      <c r="J105" s="332"/>
      <c r="K105" s="1595"/>
      <c r="L105" s="1595"/>
      <c r="M105" s="1595"/>
      <c r="N105" s="1595"/>
      <c r="O105" s="1595"/>
      <c r="P105" s="1595"/>
      <c r="Q105" s="296"/>
      <c r="R105" s="353"/>
      <c r="S105" s="354"/>
      <c r="T105" s="1595"/>
      <c r="U105" s="1595"/>
      <c r="V105" s="1595"/>
      <c r="W105" s="1595"/>
      <c r="X105" s="1595"/>
      <c r="Y105" s="1595"/>
      <c r="Z105" s="296"/>
      <c r="AA105" s="353"/>
      <c r="AB105" s="354"/>
      <c r="AC105" s="1595"/>
      <c r="AD105" s="1595"/>
      <c r="AE105" s="1595"/>
      <c r="AF105" s="1595"/>
      <c r="AG105" s="1595"/>
      <c r="AH105" s="1595"/>
      <c r="AI105" s="296"/>
      <c r="AJ105" s="297"/>
      <c r="AK105" s="299"/>
      <c r="AL105" s="300"/>
    </row>
    <row r="106" spans="1:38" ht="18.899999999999999" customHeight="1">
      <c r="A106" s="298"/>
      <c r="B106" s="1536"/>
      <c r="C106" s="1537"/>
      <c r="D106" s="1537"/>
      <c r="E106" s="1537"/>
      <c r="F106" s="1537"/>
      <c r="G106" s="1537"/>
      <c r="H106" s="1537"/>
      <c r="I106" s="1537"/>
      <c r="J106" s="314"/>
      <c r="K106" s="315" t="s">
        <v>3113</v>
      </c>
      <c r="L106" s="315"/>
      <c r="M106" s="1569" t="str">
        <f>cst_wskakunin_p4_1_KAISU_TIKAI_SINTIKU</f>
        <v/>
      </c>
      <c r="N106" s="1569"/>
      <c r="O106" s="1569"/>
      <c r="P106" s="1585" t="s">
        <v>382</v>
      </c>
      <c r="Q106" s="1585"/>
      <c r="R106" s="356"/>
      <c r="S106" s="357"/>
      <c r="T106" s="315" t="s">
        <v>3113</v>
      </c>
      <c r="U106" s="315"/>
      <c r="V106" s="1572"/>
      <c r="W106" s="1572"/>
      <c r="X106" s="1572"/>
      <c r="Y106" s="1585" t="s">
        <v>382</v>
      </c>
      <c r="Z106" s="1585"/>
      <c r="AA106" s="356"/>
      <c r="AB106" s="357"/>
      <c r="AC106" s="315" t="s">
        <v>3113</v>
      </c>
      <c r="AD106" s="315"/>
      <c r="AE106" s="1572"/>
      <c r="AF106" s="1572"/>
      <c r="AG106" s="1572"/>
      <c r="AH106" s="1585" t="s">
        <v>382</v>
      </c>
      <c r="AI106" s="1585"/>
      <c r="AJ106" s="316"/>
      <c r="AK106" s="299"/>
      <c r="AL106" s="300"/>
    </row>
    <row r="107" spans="1:38" ht="3.9" customHeight="1">
      <c r="A107" s="298"/>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299"/>
      <c r="AD107" s="299"/>
      <c r="AE107" s="299"/>
      <c r="AF107" s="299"/>
      <c r="AG107" s="299"/>
      <c r="AH107" s="299"/>
      <c r="AI107" s="299"/>
      <c r="AJ107" s="299"/>
      <c r="AK107" s="299"/>
      <c r="AL107" s="300"/>
    </row>
    <row r="108" spans="1:38" ht="3.9" customHeight="1">
      <c r="A108" s="298"/>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299"/>
      <c r="AD108" s="299"/>
      <c r="AE108" s="299"/>
      <c r="AF108" s="299"/>
      <c r="AG108" s="299"/>
      <c r="AH108" s="299"/>
      <c r="AI108" s="299"/>
      <c r="AJ108" s="299"/>
      <c r="AK108" s="299"/>
      <c r="AL108" s="300"/>
    </row>
    <row r="109" spans="1:38" ht="23.1" customHeight="1">
      <c r="A109" s="1589" t="s">
        <v>15</v>
      </c>
      <c r="B109" s="1521"/>
      <c r="C109" s="1521"/>
      <c r="D109" s="1521"/>
      <c r="E109" s="1521"/>
      <c r="F109" s="1521"/>
      <c r="G109" s="1521"/>
      <c r="H109" s="1521"/>
      <c r="I109" s="1521"/>
      <c r="J109" s="1521"/>
      <c r="K109" s="1521"/>
      <c r="L109" s="1521"/>
      <c r="M109" s="1521"/>
      <c r="N109" s="1521"/>
      <c r="O109" s="1521"/>
      <c r="R109" s="369"/>
      <c r="S109" s="1590" t="str">
        <f>cst_wskakunin_SHIKITI_MENSEKI_1_TOTAL_SINTIKU</f>
        <v/>
      </c>
      <c r="T109" s="1591"/>
      <c r="U109" s="1591"/>
      <c r="V109" s="1591"/>
      <c r="W109" s="1591"/>
      <c r="X109" s="1591"/>
      <c r="Y109" s="1591"/>
      <c r="Z109" s="1591"/>
      <c r="AA109" s="309" t="s">
        <v>24</v>
      </c>
      <c r="AB109" s="310"/>
      <c r="AC109" s="370"/>
      <c r="AD109" s="370"/>
      <c r="AG109" s="299"/>
      <c r="AH109" s="299"/>
      <c r="AI109" s="299"/>
      <c r="AJ109" s="299"/>
      <c r="AK109" s="299"/>
      <c r="AL109" s="300"/>
    </row>
    <row r="110" spans="1:38" ht="2.4" customHeight="1">
      <c r="A110" s="314"/>
      <c r="B110" s="315"/>
      <c r="C110" s="315"/>
      <c r="D110" s="315"/>
      <c r="E110" s="315"/>
      <c r="F110" s="315"/>
      <c r="G110" s="315"/>
      <c r="H110" s="315"/>
      <c r="I110" s="315"/>
      <c r="J110" s="315"/>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315"/>
      <c r="AI110" s="315"/>
      <c r="AJ110" s="315"/>
      <c r="AK110" s="315"/>
      <c r="AL110" s="316"/>
    </row>
    <row r="111" spans="1:38" ht="3.9" customHeight="1">
      <c r="A111" s="299"/>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c r="AL111" s="299"/>
    </row>
    <row r="112" spans="1:38" ht="15" customHeight="1">
      <c r="A112" s="1521" t="s">
        <v>16</v>
      </c>
      <c r="B112" s="1521"/>
      <c r="C112" s="1521"/>
      <c r="D112" s="1521"/>
      <c r="E112" s="1521"/>
      <c r="F112" s="1521"/>
      <c r="G112" s="1521"/>
      <c r="H112" s="1521"/>
      <c r="I112" s="1521"/>
      <c r="J112" s="1521"/>
      <c r="K112" s="1521"/>
      <c r="L112" s="1521"/>
      <c r="M112" s="1521"/>
      <c r="N112" s="1521"/>
      <c r="O112" s="1521"/>
      <c r="P112" s="1521"/>
      <c r="Q112" s="1521"/>
      <c r="R112" s="1521"/>
      <c r="S112" s="1521"/>
      <c r="T112" s="1521"/>
      <c r="U112" s="1521"/>
      <c r="V112" s="1521"/>
      <c r="W112" s="1521"/>
      <c r="X112" s="1521"/>
      <c r="Y112" s="1521"/>
      <c r="Z112" s="1521"/>
      <c r="AA112" s="1521"/>
      <c r="AB112" s="1521"/>
      <c r="AC112" s="1521"/>
      <c r="AD112" s="1521"/>
      <c r="AE112" s="1521"/>
      <c r="AF112" s="1521"/>
      <c r="AG112" s="1521"/>
      <c r="AH112" s="1521"/>
      <c r="AI112" s="1521"/>
      <c r="AJ112" s="1521"/>
      <c r="AK112" s="317"/>
      <c r="AL112" s="317"/>
    </row>
    <row r="113" spans="1:38" ht="2.25" customHeight="1">
      <c r="A113" s="299"/>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299"/>
      <c r="AD113" s="299"/>
      <c r="AE113" s="299"/>
      <c r="AF113" s="299"/>
      <c r="AG113" s="299"/>
      <c r="AH113" s="299"/>
      <c r="AI113" s="299"/>
      <c r="AJ113" s="299"/>
      <c r="AK113" s="299"/>
      <c r="AL113" s="299"/>
    </row>
    <row r="114" spans="1:38" ht="2.25" customHeight="1">
      <c r="A114" s="332"/>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7"/>
    </row>
    <row r="115" spans="1:38" ht="14.4" customHeight="1">
      <c r="A115" s="298" t="s">
        <v>3114</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c r="AL115" s="300"/>
    </row>
    <row r="116" spans="1:38" ht="18" customHeight="1">
      <c r="A116" s="298"/>
      <c r="B116" s="1472" t="s">
        <v>3098</v>
      </c>
      <c r="C116" s="1473"/>
      <c r="D116" s="1473"/>
      <c r="E116" s="1473"/>
      <c r="F116" s="1473"/>
      <c r="G116" s="1473"/>
      <c r="H116" s="1473"/>
      <c r="I116" s="1473"/>
      <c r="J116" s="1592"/>
      <c r="K116" s="1593"/>
      <c r="L116" s="1593"/>
      <c r="M116" s="1593"/>
      <c r="N116" s="1593"/>
      <c r="O116" s="1593"/>
      <c r="P116" s="1594"/>
      <c r="Q116" s="371"/>
      <c r="R116" s="371"/>
      <c r="S116" s="371"/>
      <c r="T116" s="371"/>
      <c r="U116" s="371"/>
      <c r="V116" s="371"/>
      <c r="W116" s="371"/>
      <c r="X116" s="371"/>
      <c r="Y116" s="371"/>
      <c r="Z116" s="371"/>
      <c r="AA116" s="371"/>
      <c r="AB116" s="371"/>
      <c r="AC116" s="371"/>
      <c r="AD116" s="371"/>
      <c r="AE116" s="371"/>
      <c r="AF116" s="371"/>
      <c r="AG116" s="371"/>
      <c r="AH116" s="371"/>
      <c r="AI116" s="371"/>
      <c r="AJ116" s="299"/>
      <c r="AK116" s="299"/>
      <c r="AL116" s="300"/>
    </row>
    <row r="117" spans="1:38" ht="30.9" customHeight="1">
      <c r="A117" s="298"/>
      <c r="B117" s="1533" t="s">
        <v>3115</v>
      </c>
      <c r="C117" s="1534"/>
      <c r="D117" s="1534"/>
      <c r="E117" s="1534"/>
      <c r="F117" s="1534"/>
      <c r="G117" s="1534"/>
      <c r="H117" s="1534"/>
      <c r="I117" s="1535"/>
      <c r="J117" s="372" t="s">
        <v>40</v>
      </c>
      <c r="K117" s="295" t="s">
        <v>2825</v>
      </c>
      <c r="L117" s="295"/>
      <c r="M117" s="295"/>
      <c r="N117" s="295"/>
      <c r="O117" s="296"/>
      <c r="P117" s="373" t="s">
        <v>40</v>
      </c>
      <c r="Q117" s="374" t="s">
        <v>2826</v>
      </c>
      <c r="R117" s="320"/>
      <c r="S117" s="320"/>
      <c r="T117" s="296"/>
      <c r="U117" s="320"/>
      <c r="V117" s="320"/>
      <c r="W117" s="296"/>
      <c r="X117" s="320"/>
      <c r="Y117" s="320"/>
      <c r="Z117" s="297"/>
      <c r="AB117" s="299"/>
      <c r="AC117" s="299"/>
      <c r="AD117" s="299"/>
      <c r="AE117" s="299"/>
      <c r="AF117" s="299"/>
      <c r="AG117" s="299"/>
      <c r="AH117" s="299"/>
      <c r="AI117" s="299"/>
      <c r="AJ117" s="299"/>
      <c r="AK117" s="299"/>
      <c r="AL117" s="300"/>
    </row>
    <row r="118" spans="1:38" ht="17.100000000000001" customHeight="1">
      <c r="A118" s="298"/>
      <c r="B118" s="1586" t="s">
        <v>3116</v>
      </c>
      <c r="C118" s="1554"/>
      <c r="D118" s="1554"/>
      <c r="E118" s="1554"/>
      <c r="F118" s="1554"/>
      <c r="G118" s="1554"/>
      <c r="H118" s="1554"/>
      <c r="I118" s="1596"/>
      <c r="J118" s="372" t="s">
        <v>40</v>
      </c>
      <c r="K118" s="296" t="s">
        <v>3117</v>
      </c>
      <c r="L118" s="296"/>
      <c r="M118" s="296"/>
      <c r="N118" s="296"/>
      <c r="O118" s="296"/>
      <c r="P118" s="296"/>
      <c r="Q118" s="296"/>
      <c r="R118" s="373" t="s">
        <v>40</v>
      </c>
      <c r="S118" s="1461" t="s">
        <v>2827</v>
      </c>
      <c r="T118" s="1461"/>
      <c r="U118" s="1461"/>
      <c r="V118" s="1461"/>
      <c r="W118" s="1461"/>
      <c r="X118" s="296"/>
      <c r="Y118" s="373" t="s">
        <v>40</v>
      </c>
      <c r="Z118" s="1461" t="s">
        <v>2828</v>
      </c>
      <c r="AA118" s="1461"/>
      <c r="AB118" s="1461"/>
      <c r="AC118" s="1461"/>
      <c r="AD118" s="1461"/>
      <c r="AE118" s="1461"/>
      <c r="AF118" s="1461"/>
      <c r="AG118" s="1461"/>
      <c r="AH118" s="1461"/>
      <c r="AI118" s="1532"/>
      <c r="AJ118" s="299"/>
      <c r="AK118" s="299"/>
      <c r="AL118" s="300"/>
    </row>
    <row r="119" spans="1:38" ht="17.100000000000001" customHeight="1">
      <c r="A119" s="298"/>
      <c r="B119" s="1587"/>
      <c r="C119" s="1588"/>
      <c r="D119" s="1588"/>
      <c r="E119" s="1588"/>
      <c r="F119" s="1588"/>
      <c r="G119" s="1588"/>
      <c r="H119" s="1588"/>
      <c r="I119" s="1597"/>
      <c r="J119" s="364" t="s">
        <v>40</v>
      </c>
      <c r="K119" s="1474" t="s">
        <v>2829</v>
      </c>
      <c r="L119" s="1474"/>
      <c r="M119" s="1474"/>
      <c r="N119" s="1474"/>
      <c r="O119" s="1474"/>
      <c r="P119" s="1474"/>
      <c r="Q119" s="1474"/>
      <c r="R119" s="1474"/>
      <c r="S119" s="315"/>
      <c r="T119" s="367" t="s">
        <v>40</v>
      </c>
      <c r="U119" s="1474" t="s">
        <v>2830</v>
      </c>
      <c r="V119" s="1474"/>
      <c r="W119" s="1474"/>
      <c r="X119" s="1474"/>
      <c r="Y119" s="315"/>
      <c r="Z119" s="315"/>
      <c r="AA119" s="315"/>
      <c r="AB119" s="315"/>
      <c r="AC119" s="315"/>
      <c r="AD119" s="315"/>
      <c r="AE119" s="315"/>
      <c r="AF119" s="315"/>
      <c r="AG119" s="315"/>
      <c r="AH119" s="315"/>
      <c r="AI119" s="316"/>
      <c r="AJ119" s="299"/>
      <c r="AK119" s="299"/>
      <c r="AL119" s="300"/>
    </row>
    <row r="120" spans="1:38" ht="17.100000000000001" customHeight="1">
      <c r="A120" s="298"/>
      <c r="B120" s="1501" t="s">
        <v>3118</v>
      </c>
      <c r="C120" s="1502"/>
      <c r="D120" s="1502"/>
      <c r="E120" s="1502"/>
      <c r="F120" s="1502"/>
      <c r="G120" s="1502"/>
      <c r="H120" s="1502"/>
      <c r="I120" s="1503"/>
      <c r="J120" s="364" t="s">
        <v>40</v>
      </c>
      <c r="K120" s="1473" t="s">
        <v>3119</v>
      </c>
      <c r="L120" s="1473"/>
      <c r="M120" s="1473"/>
      <c r="N120" s="1473"/>
      <c r="O120" s="1473"/>
      <c r="P120" s="375"/>
      <c r="Q120" s="364" t="s">
        <v>40</v>
      </c>
      <c r="R120" s="1502" t="s">
        <v>3120</v>
      </c>
      <c r="S120" s="1502"/>
      <c r="T120" s="1502"/>
      <c r="U120" s="1502"/>
      <c r="V120" s="1502"/>
      <c r="W120" s="1502"/>
      <c r="X120" s="364" t="s">
        <v>40</v>
      </c>
      <c r="Y120" s="1473" t="s">
        <v>3121</v>
      </c>
      <c r="Z120" s="1473"/>
      <c r="AA120" s="1473"/>
      <c r="AB120" s="1473"/>
      <c r="AC120" s="1473"/>
      <c r="AD120" s="1484"/>
      <c r="AE120" s="299"/>
      <c r="AF120" s="299"/>
      <c r="AG120" s="299"/>
      <c r="AH120" s="299"/>
      <c r="AJ120" s="299"/>
      <c r="AK120" s="299"/>
      <c r="AL120" s="300"/>
    </row>
    <row r="121" spans="1:38" ht="17.100000000000001" customHeight="1">
      <c r="A121" s="298"/>
      <c r="B121" s="1472" t="s">
        <v>3122</v>
      </c>
      <c r="C121" s="1473"/>
      <c r="D121" s="1473"/>
      <c r="E121" s="1473"/>
      <c r="F121" s="1473"/>
      <c r="G121" s="1473"/>
      <c r="H121" s="1473"/>
      <c r="I121" s="1484"/>
      <c r="J121" s="364" t="s">
        <v>40</v>
      </c>
      <c r="K121" s="1473" t="s">
        <v>3123</v>
      </c>
      <c r="L121" s="1473"/>
      <c r="M121" s="1473"/>
      <c r="N121" s="1473"/>
      <c r="O121" s="1473"/>
      <c r="P121" s="375"/>
      <c r="Q121" s="364" t="s">
        <v>40</v>
      </c>
      <c r="R121" s="1473" t="s">
        <v>3124</v>
      </c>
      <c r="S121" s="1473"/>
      <c r="T121" s="1473"/>
      <c r="U121" s="1473"/>
      <c r="V121" s="1473"/>
      <c r="W121" s="1473"/>
      <c r="X121" s="364" t="s">
        <v>40</v>
      </c>
      <c r="Y121" s="1502" t="s">
        <v>3125</v>
      </c>
      <c r="Z121" s="1502"/>
      <c r="AA121" s="1502"/>
      <c r="AB121" s="1502"/>
      <c r="AC121" s="1502"/>
      <c r="AD121" s="1503"/>
      <c r="AE121" s="299"/>
      <c r="AF121" s="299"/>
      <c r="AG121" s="299"/>
      <c r="AH121" s="299"/>
      <c r="AJ121" s="299"/>
      <c r="AK121" s="299"/>
      <c r="AL121" s="300"/>
    </row>
    <row r="122" spans="1:38" ht="17.100000000000001" customHeight="1">
      <c r="A122" s="298"/>
      <c r="B122" s="1472" t="s">
        <v>3126</v>
      </c>
      <c r="C122" s="1473"/>
      <c r="D122" s="1473"/>
      <c r="E122" s="1473"/>
      <c r="F122" s="1473"/>
      <c r="G122" s="1473"/>
      <c r="H122" s="1473"/>
      <c r="I122" s="1484"/>
      <c r="J122" s="364" t="s">
        <v>40</v>
      </c>
      <c r="K122" s="1502" t="s">
        <v>17</v>
      </c>
      <c r="L122" s="1502"/>
      <c r="M122" s="1502"/>
      <c r="N122" s="1502"/>
      <c r="O122" s="1502"/>
      <c r="P122" s="1502"/>
      <c r="Q122" s="364" t="s">
        <v>40</v>
      </c>
      <c r="R122" s="1461" t="s">
        <v>18</v>
      </c>
      <c r="S122" s="1461"/>
      <c r="T122" s="1461"/>
      <c r="U122" s="1461"/>
      <c r="V122" s="1461"/>
      <c r="W122" s="1461"/>
      <c r="X122" s="364" t="s">
        <v>40</v>
      </c>
      <c r="Y122" s="1461" t="s">
        <v>2831</v>
      </c>
      <c r="Z122" s="1461"/>
      <c r="AA122" s="1461"/>
      <c r="AB122" s="1461"/>
      <c r="AC122" s="1461"/>
      <c r="AD122" s="297"/>
      <c r="AE122" s="1521"/>
      <c r="AF122" s="1521"/>
      <c r="AG122" s="1521"/>
      <c r="AH122" s="1521"/>
      <c r="AI122" s="1521"/>
      <c r="AJ122" s="299"/>
      <c r="AK122" s="299"/>
      <c r="AL122" s="300"/>
    </row>
    <row r="123" spans="1:38" ht="17.100000000000001" customHeight="1">
      <c r="A123" s="298"/>
      <c r="B123" s="1472" t="s">
        <v>3127</v>
      </c>
      <c r="C123" s="1473"/>
      <c r="D123" s="1473"/>
      <c r="E123" s="1473"/>
      <c r="F123" s="1473"/>
      <c r="G123" s="1473"/>
      <c r="H123" s="1473"/>
      <c r="I123" s="1484"/>
      <c r="J123" s="364" t="s">
        <v>40</v>
      </c>
      <c r="K123" s="1473" t="s">
        <v>3128</v>
      </c>
      <c r="L123" s="1473"/>
      <c r="M123" s="1473"/>
      <c r="N123" s="1473"/>
      <c r="O123" s="1473"/>
      <c r="P123" s="1598"/>
      <c r="Q123" s="364" t="s">
        <v>40</v>
      </c>
      <c r="R123" s="1473" t="s">
        <v>3129</v>
      </c>
      <c r="S123" s="1473"/>
      <c r="T123" s="1473"/>
      <c r="U123" s="1473"/>
      <c r="V123" s="1473"/>
      <c r="W123" s="311"/>
      <c r="X123" s="376" t="s">
        <v>40</v>
      </c>
      <c r="Y123" s="1473" t="s">
        <v>21</v>
      </c>
      <c r="Z123" s="1473"/>
      <c r="AA123" s="1473"/>
      <c r="AB123" s="1473"/>
      <c r="AC123" s="1473"/>
      <c r="AD123" s="311"/>
      <c r="AE123" s="376" t="s">
        <v>40</v>
      </c>
      <c r="AF123" s="1461" t="s">
        <v>22</v>
      </c>
      <c r="AG123" s="1461"/>
      <c r="AH123" s="1461"/>
      <c r="AI123" s="1461"/>
      <c r="AJ123" s="1461"/>
      <c r="AK123" s="295"/>
      <c r="AL123" s="377"/>
    </row>
    <row r="124" spans="1:38" ht="20.100000000000001" customHeight="1">
      <c r="A124" s="298"/>
      <c r="B124" s="1472" t="s">
        <v>3130</v>
      </c>
      <c r="C124" s="1473"/>
      <c r="D124" s="1473"/>
      <c r="E124" s="1473"/>
      <c r="F124" s="1473"/>
      <c r="G124" s="1473"/>
      <c r="H124" s="1473"/>
      <c r="I124" s="1484"/>
      <c r="J124" s="322"/>
      <c r="K124" s="1599" t="str">
        <f>IF(J123="☑",1,"")</f>
        <v/>
      </c>
      <c r="L124" s="1599"/>
      <c r="M124" s="1599"/>
      <c r="N124" s="311"/>
      <c r="O124" s="311" t="s">
        <v>23</v>
      </c>
      <c r="P124" s="311"/>
      <c r="Q124" s="352"/>
      <c r="R124" s="1599"/>
      <c r="S124" s="1599"/>
      <c r="T124" s="1599"/>
      <c r="U124" s="311"/>
      <c r="V124" s="311" t="s">
        <v>23</v>
      </c>
      <c r="W124" s="311"/>
      <c r="X124" s="352"/>
      <c r="Y124" s="1599"/>
      <c r="Z124" s="1599"/>
      <c r="AA124" s="1599"/>
      <c r="AB124" s="311"/>
      <c r="AC124" s="311" t="s">
        <v>23</v>
      </c>
      <c r="AD124" s="311"/>
      <c r="AE124" s="354"/>
      <c r="AF124" s="1599" t="str">
        <f>IF(AE123="☑",1,"")</f>
        <v/>
      </c>
      <c r="AG124" s="1599"/>
      <c r="AH124" s="1599"/>
      <c r="AI124" s="296"/>
      <c r="AJ124" s="296" t="s">
        <v>23</v>
      </c>
      <c r="AK124" s="296"/>
      <c r="AL124" s="377"/>
    </row>
    <row r="125" spans="1:38" ht="27" customHeight="1">
      <c r="A125" s="298"/>
      <c r="B125" s="1600" t="s">
        <v>3131</v>
      </c>
      <c r="C125" s="1600"/>
      <c r="D125" s="1600"/>
      <c r="E125" s="1600"/>
      <c r="F125" s="1600"/>
      <c r="G125" s="1600"/>
      <c r="H125" s="1600"/>
      <c r="I125" s="1600"/>
      <c r="J125" s="1583" t="str">
        <f>IF(J123="☑",cst_wskakunin_NOBE_MENSEKI_JYUTAKU_SHINSEI,"")</f>
        <v/>
      </c>
      <c r="K125" s="1584"/>
      <c r="L125" s="1584"/>
      <c r="M125" s="1584"/>
      <c r="N125" s="311"/>
      <c r="O125" s="311" t="s">
        <v>24</v>
      </c>
      <c r="P125" s="311"/>
      <c r="Q125" s="1601"/>
      <c r="R125" s="1584"/>
      <c r="S125" s="1584"/>
      <c r="T125" s="1584"/>
      <c r="U125" s="311"/>
      <c r="V125" s="311" t="s">
        <v>24</v>
      </c>
      <c r="W125" s="311"/>
      <c r="X125" s="1601"/>
      <c r="Y125" s="1584"/>
      <c r="Z125" s="1584"/>
      <c r="AA125" s="1584"/>
      <c r="AB125" s="311"/>
      <c r="AC125" s="311" t="s">
        <v>24</v>
      </c>
      <c r="AD125" s="311"/>
      <c r="AE125" s="1601" t="str">
        <f>IF(AE123="☑",cst_wskakunin_NOBE_MENSEKI_JYUTAKU_SHINSEI,"")</f>
        <v/>
      </c>
      <c r="AF125" s="1584"/>
      <c r="AG125" s="1584"/>
      <c r="AH125" s="1584"/>
      <c r="AI125" s="311"/>
      <c r="AJ125" s="311" t="s">
        <v>24</v>
      </c>
      <c r="AK125" s="311"/>
      <c r="AL125" s="377"/>
    </row>
    <row r="126" spans="1:38" ht="3.9" customHeight="1">
      <c r="A126" s="298"/>
      <c r="B126" s="294"/>
      <c r="C126" s="294"/>
      <c r="D126" s="294"/>
      <c r="E126" s="294"/>
      <c r="F126" s="294"/>
      <c r="G126" s="294"/>
      <c r="H126" s="294"/>
      <c r="I126" s="294"/>
      <c r="AJ126" s="299"/>
      <c r="AK126" s="299"/>
      <c r="AL126" s="300"/>
    </row>
    <row r="127" spans="1:38" ht="3.9" customHeight="1">
      <c r="A127" s="298"/>
      <c r="B127" s="294"/>
      <c r="C127" s="294"/>
      <c r="D127" s="294"/>
      <c r="E127" s="294"/>
      <c r="F127" s="294"/>
      <c r="G127" s="294"/>
      <c r="H127" s="294"/>
      <c r="I127" s="294"/>
      <c r="AJ127" s="299"/>
      <c r="AK127" s="299"/>
      <c r="AL127" s="300"/>
    </row>
    <row r="128" spans="1:38" ht="18" customHeight="1">
      <c r="A128" s="298"/>
      <c r="B128" s="1472" t="s">
        <v>3098</v>
      </c>
      <c r="C128" s="1473"/>
      <c r="D128" s="1473"/>
      <c r="E128" s="1473"/>
      <c r="F128" s="1473"/>
      <c r="G128" s="1473"/>
      <c r="H128" s="1473"/>
      <c r="I128" s="1473"/>
      <c r="J128" s="1592"/>
      <c r="K128" s="1593"/>
      <c r="L128" s="1593"/>
      <c r="M128" s="1593"/>
      <c r="N128" s="1593"/>
      <c r="O128" s="1593"/>
      <c r="P128" s="1594"/>
      <c r="Q128" s="371"/>
      <c r="R128" s="371"/>
      <c r="S128" s="371"/>
      <c r="T128" s="371"/>
      <c r="U128" s="371"/>
      <c r="V128" s="371"/>
      <c r="W128" s="371"/>
      <c r="X128" s="371"/>
      <c r="Y128" s="371"/>
      <c r="Z128" s="371"/>
      <c r="AA128" s="371"/>
      <c r="AB128" s="371"/>
      <c r="AC128" s="371"/>
      <c r="AD128" s="371"/>
      <c r="AE128" s="371"/>
      <c r="AF128" s="371"/>
      <c r="AG128" s="371"/>
      <c r="AH128" s="371"/>
      <c r="AI128" s="371"/>
      <c r="AJ128" s="299"/>
      <c r="AK128" s="299"/>
      <c r="AL128" s="300"/>
    </row>
    <row r="129" spans="1:38" ht="30.9" customHeight="1">
      <c r="A129" s="298"/>
      <c r="B129" s="1533" t="s">
        <v>3115</v>
      </c>
      <c r="C129" s="1534"/>
      <c r="D129" s="1534"/>
      <c r="E129" s="1534"/>
      <c r="F129" s="1534"/>
      <c r="G129" s="1534"/>
      <c r="H129" s="1534"/>
      <c r="I129" s="1535"/>
      <c r="J129" s="372" t="s">
        <v>40</v>
      </c>
      <c r="K129" s="295" t="s">
        <v>2825</v>
      </c>
      <c r="L129" s="295"/>
      <c r="M129" s="295"/>
      <c r="N129" s="295"/>
      <c r="O129" s="296"/>
      <c r="P129" s="373" t="s">
        <v>40</v>
      </c>
      <c r="Q129" s="374" t="s">
        <v>2826</v>
      </c>
      <c r="R129" s="320"/>
      <c r="S129" s="320"/>
      <c r="T129" s="296"/>
      <c r="U129" s="320"/>
      <c r="V129" s="320"/>
      <c r="W129" s="296"/>
      <c r="X129" s="320"/>
      <c r="Y129" s="320"/>
      <c r="Z129" s="297"/>
      <c r="AB129" s="299"/>
      <c r="AC129" s="299"/>
      <c r="AD129" s="299"/>
      <c r="AE129" s="299"/>
      <c r="AF129" s="299"/>
      <c r="AG129" s="299"/>
      <c r="AH129" s="299"/>
      <c r="AI129" s="299"/>
      <c r="AJ129" s="299"/>
      <c r="AK129" s="299"/>
      <c r="AL129" s="300"/>
    </row>
    <row r="130" spans="1:38" ht="17.100000000000001" customHeight="1">
      <c r="A130" s="298"/>
      <c r="B130" s="1586" t="s">
        <v>3116</v>
      </c>
      <c r="C130" s="1554"/>
      <c r="D130" s="1554"/>
      <c r="E130" s="1554"/>
      <c r="F130" s="1554"/>
      <c r="G130" s="1554"/>
      <c r="H130" s="1554"/>
      <c r="I130" s="1596"/>
      <c r="J130" s="372" t="s">
        <v>40</v>
      </c>
      <c r="K130" s="296" t="s">
        <v>3117</v>
      </c>
      <c r="L130" s="296"/>
      <c r="M130" s="296"/>
      <c r="N130" s="296"/>
      <c r="O130" s="296"/>
      <c r="P130" s="296"/>
      <c r="Q130" s="296"/>
      <c r="R130" s="373" t="s">
        <v>40</v>
      </c>
      <c r="S130" s="1461" t="s">
        <v>2827</v>
      </c>
      <c r="T130" s="1461"/>
      <c r="U130" s="1461"/>
      <c r="V130" s="1461"/>
      <c r="W130" s="1461"/>
      <c r="X130" s="296"/>
      <c r="Y130" s="373" t="s">
        <v>40</v>
      </c>
      <c r="Z130" s="1461" t="s">
        <v>2828</v>
      </c>
      <c r="AA130" s="1461"/>
      <c r="AB130" s="1461"/>
      <c r="AC130" s="1461"/>
      <c r="AD130" s="1461"/>
      <c r="AE130" s="1461"/>
      <c r="AF130" s="1461"/>
      <c r="AG130" s="1461"/>
      <c r="AH130" s="1461"/>
      <c r="AI130" s="1532"/>
      <c r="AJ130" s="299"/>
      <c r="AK130" s="299"/>
      <c r="AL130" s="300"/>
    </row>
    <row r="131" spans="1:38" ht="17.100000000000001" customHeight="1">
      <c r="A131" s="298"/>
      <c r="B131" s="1587"/>
      <c r="C131" s="1588"/>
      <c r="D131" s="1588"/>
      <c r="E131" s="1588"/>
      <c r="F131" s="1588"/>
      <c r="G131" s="1588"/>
      <c r="H131" s="1588"/>
      <c r="I131" s="1597"/>
      <c r="J131" s="364" t="s">
        <v>40</v>
      </c>
      <c r="K131" s="1474" t="s">
        <v>2829</v>
      </c>
      <c r="L131" s="1474"/>
      <c r="M131" s="1474"/>
      <c r="N131" s="1474"/>
      <c r="O131" s="1474"/>
      <c r="P131" s="1474"/>
      <c r="Q131" s="1474"/>
      <c r="R131" s="1474"/>
      <c r="S131" s="315"/>
      <c r="T131" s="367" t="s">
        <v>40</v>
      </c>
      <c r="U131" s="1474" t="s">
        <v>2830</v>
      </c>
      <c r="V131" s="1474"/>
      <c r="W131" s="1474"/>
      <c r="X131" s="1474"/>
      <c r="Y131" s="315"/>
      <c r="Z131" s="315"/>
      <c r="AA131" s="315"/>
      <c r="AB131" s="315"/>
      <c r="AC131" s="315"/>
      <c r="AD131" s="315"/>
      <c r="AE131" s="315"/>
      <c r="AF131" s="315"/>
      <c r="AG131" s="315"/>
      <c r="AH131" s="315"/>
      <c r="AI131" s="316"/>
      <c r="AJ131" s="299"/>
      <c r="AK131" s="299"/>
      <c r="AL131" s="300"/>
    </row>
    <row r="132" spans="1:38" ht="17.100000000000001" customHeight="1">
      <c r="A132" s="298"/>
      <c r="B132" s="1501" t="s">
        <v>3118</v>
      </c>
      <c r="C132" s="1502"/>
      <c r="D132" s="1502"/>
      <c r="E132" s="1502"/>
      <c r="F132" s="1502"/>
      <c r="G132" s="1502"/>
      <c r="H132" s="1502"/>
      <c r="I132" s="1503"/>
      <c r="J132" s="364" t="s">
        <v>40</v>
      </c>
      <c r="K132" s="1473" t="s">
        <v>3119</v>
      </c>
      <c r="L132" s="1473"/>
      <c r="M132" s="1473"/>
      <c r="N132" s="1473"/>
      <c r="O132" s="1473"/>
      <c r="P132" s="375"/>
      <c r="Q132" s="364" t="s">
        <v>40</v>
      </c>
      <c r="R132" s="1502" t="s">
        <v>3120</v>
      </c>
      <c r="S132" s="1502"/>
      <c r="T132" s="1502"/>
      <c r="U132" s="1502"/>
      <c r="V132" s="1502"/>
      <c r="W132" s="1502"/>
      <c r="X132" s="364" t="s">
        <v>40</v>
      </c>
      <c r="Y132" s="1473" t="s">
        <v>3121</v>
      </c>
      <c r="Z132" s="1473"/>
      <c r="AA132" s="1473"/>
      <c r="AB132" s="1473"/>
      <c r="AC132" s="1473"/>
      <c r="AD132" s="1484"/>
      <c r="AE132" s="299"/>
      <c r="AF132" s="299"/>
      <c r="AG132" s="299"/>
      <c r="AH132" s="299"/>
      <c r="AJ132" s="299"/>
      <c r="AK132" s="299"/>
      <c r="AL132" s="300"/>
    </row>
    <row r="133" spans="1:38" ht="17.100000000000001" customHeight="1">
      <c r="A133" s="298"/>
      <c r="B133" s="1472" t="s">
        <v>3122</v>
      </c>
      <c r="C133" s="1473"/>
      <c r="D133" s="1473"/>
      <c r="E133" s="1473"/>
      <c r="F133" s="1473"/>
      <c r="G133" s="1473"/>
      <c r="H133" s="1473"/>
      <c r="I133" s="1484"/>
      <c r="J133" s="364" t="s">
        <v>40</v>
      </c>
      <c r="K133" s="1473" t="s">
        <v>3123</v>
      </c>
      <c r="L133" s="1473"/>
      <c r="M133" s="1473"/>
      <c r="N133" s="1473"/>
      <c r="O133" s="1473"/>
      <c r="P133" s="375"/>
      <c r="Q133" s="364" t="s">
        <v>40</v>
      </c>
      <c r="R133" s="1473" t="s">
        <v>3124</v>
      </c>
      <c r="S133" s="1473"/>
      <c r="T133" s="1473"/>
      <c r="U133" s="1473"/>
      <c r="V133" s="1473"/>
      <c r="W133" s="1473"/>
      <c r="X133" s="364" t="s">
        <v>40</v>
      </c>
      <c r="Y133" s="1502" t="s">
        <v>3125</v>
      </c>
      <c r="Z133" s="1502"/>
      <c r="AA133" s="1502"/>
      <c r="AB133" s="1502"/>
      <c r="AC133" s="1502"/>
      <c r="AD133" s="1503"/>
      <c r="AE133" s="299"/>
      <c r="AF133" s="299"/>
      <c r="AG133" s="299"/>
      <c r="AH133" s="299"/>
      <c r="AJ133" s="299"/>
      <c r="AK133" s="299"/>
      <c r="AL133" s="300"/>
    </row>
    <row r="134" spans="1:38" ht="17.100000000000001" customHeight="1">
      <c r="A134" s="298"/>
      <c r="B134" s="1472" t="s">
        <v>3126</v>
      </c>
      <c r="C134" s="1473"/>
      <c r="D134" s="1473"/>
      <c r="E134" s="1473"/>
      <c r="F134" s="1473"/>
      <c r="G134" s="1473"/>
      <c r="H134" s="1473"/>
      <c r="I134" s="1484"/>
      <c r="J134" s="364" t="s">
        <v>40</v>
      </c>
      <c r="K134" s="1502" t="s">
        <v>17</v>
      </c>
      <c r="L134" s="1502"/>
      <c r="M134" s="1502"/>
      <c r="N134" s="1502"/>
      <c r="O134" s="1502"/>
      <c r="P134" s="1502"/>
      <c r="Q134" s="364" t="s">
        <v>40</v>
      </c>
      <c r="R134" s="1461" t="s">
        <v>18</v>
      </c>
      <c r="S134" s="1461"/>
      <c r="T134" s="1461"/>
      <c r="U134" s="1461"/>
      <c r="V134" s="1461"/>
      <c r="W134" s="1461"/>
      <c r="X134" s="364" t="s">
        <v>40</v>
      </c>
      <c r="Y134" s="1461" t="s">
        <v>2831</v>
      </c>
      <c r="Z134" s="1461"/>
      <c r="AA134" s="1461"/>
      <c r="AB134" s="1461"/>
      <c r="AC134" s="1461"/>
      <c r="AD134" s="297"/>
      <c r="AE134" s="1521"/>
      <c r="AF134" s="1521"/>
      <c r="AG134" s="1521"/>
      <c r="AH134" s="1521"/>
      <c r="AI134" s="1521"/>
      <c r="AJ134" s="299"/>
      <c r="AK134" s="299"/>
      <c r="AL134" s="300"/>
    </row>
    <row r="135" spans="1:38" ht="17.100000000000001" customHeight="1">
      <c r="A135" s="298"/>
      <c r="B135" s="1472" t="s">
        <v>3127</v>
      </c>
      <c r="C135" s="1473"/>
      <c r="D135" s="1473"/>
      <c r="E135" s="1473"/>
      <c r="F135" s="1473"/>
      <c r="G135" s="1473"/>
      <c r="H135" s="1473"/>
      <c r="I135" s="1484"/>
      <c r="J135" s="364" t="s">
        <v>40</v>
      </c>
      <c r="K135" s="1473" t="s">
        <v>3128</v>
      </c>
      <c r="L135" s="1473"/>
      <c r="M135" s="1473"/>
      <c r="N135" s="1473"/>
      <c r="O135" s="1473"/>
      <c r="P135" s="1598"/>
      <c r="Q135" s="364" t="s">
        <v>40</v>
      </c>
      <c r="R135" s="1473" t="s">
        <v>3129</v>
      </c>
      <c r="S135" s="1473"/>
      <c r="T135" s="1473"/>
      <c r="U135" s="1473"/>
      <c r="V135" s="1473"/>
      <c r="W135" s="311"/>
      <c r="X135" s="376" t="s">
        <v>40</v>
      </c>
      <c r="Y135" s="1473" t="s">
        <v>21</v>
      </c>
      <c r="Z135" s="1473"/>
      <c r="AA135" s="1473"/>
      <c r="AB135" s="1473"/>
      <c r="AC135" s="1473"/>
      <c r="AD135" s="311"/>
      <c r="AE135" s="376" t="s">
        <v>40</v>
      </c>
      <c r="AF135" s="1461" t="s">
        <v>22</v>
      </c>
      <c r="AG135" s="1461"/>
      <c r="AH135" s="1461"/>
      <c r="AI135" s="1461"/>
      <c r="AJ135" s="1461"/>
      <c r="AK135" s="295"/>
      <c r="AL135" s="377"/>
    </row>
    <row r="136" spans="1:38" ht="20.100000000000001" customHeight="1">
      <c r="A136" s="298"/>
      <c r="B136" s="1472" t="s">
        <v>3130</v>
      </c>
      <c r="C136" s="1473"/>
      <c r="D136" s="1473"/>
      <c r="E136" s="1473"/>
      <c r="F136" s="1473"/>
      <c r="G136" s="1473"/>
      <c r="H136" s="1473"/>
      <c r="I136" s="1484"/>
      <c r="J136" s="322"/>
      <c r="K136" s="1599"/>
      <c r="L136" s="1599"/>
      <c r="M136" s="1599"/>
      <c r="N136" s="311"/>
      <c r="O136" s="311" t="s">
        <v>23</v>
      </c>
      <c r="P136" s="311"/>
      <c r="Q136" s="352"/>
      <c r="R136" s="1599"/>
      <c r="S136" s="1599"/>
      <c r="T136" s="1599"/>
      <c r="U136" s="311"/>
      <c r="V136" s="311" t="s">
        <v>23</v>
      </c>
      <c r="W136" s="311"/>
      <c r="X136" s="352"/>
      <c r="Y136" s="1599"/>
      <c r="Z136" s="1599"/>
      <c r="AA136" s="1599"/>
      <c r="AB136" s="311"/>
      <c r="AC136" s="311" t="s">
        <v>23</v>
      </c>
      <c r="AD136" s="311"/>
      <c r="AE136" s="354"/>
      <c r="AF136" s="1599"/>
      <c r="AG136" s="1599"/>
      <c r="AH136" s="1599"/>
      <c r="AI136" s="296"/>
      <c r="AJ136" s="296" t="s">
        <v>23</v>
      </c>
      <c r="AK136" s="296"/>
      <c r="AL136" s="377"/>
    </row>
    <row r="137" spans="1:38" ht="27" customHeight="1">
      <c r="A137" s="298"/>
      <c r="B137" s="1536" t="s">
        <v>3131</v>
      </c>
      <c r="C137" s="1537"/>
      <c r="D137" s="1537"/>
      <c r="E137" s="1537"/>
      <c r="F137" s="1537"/>
      <c r="G137" s="1537"/>
      <c r="H137" s="1537"/>
      <c r="I137" s="1538"/>
      <c r="J137" s="1583"/>
      <c r="K137" s="1584"/>
      <c r="L137" s="1584"/>
      <c r="M137" s="1584"/>
      <c r="N137" s="311"/>
      <c r="O137" s="311" t="s">
        <v>24</v>
      </c>
      <c r="P137" s="311"/>
      <c r="Q137" s="1601"/>
      <c r="R137" s="1584"/>
      <c r="S137" s="1584"/>
      <c r="T137" s="1584"/>
      <c r="U137" s="311"/>
      <c r="V137" s="311" t="s">
        <v>24</v>
      </c>
      <c r="W137" s="311"/>
      <c r="X137" s="1601"/>
      <c r="Y137" s="1584"/>
      <c r="Z137" s="1584"/>
      <c r="AA137" s="1584"/>
      <c r="AB137" s="311"/>
      <c r="AC137" s="311" t="s">
        <v>24</v>
      </c>
      <c r="AD137" s="311"/>
      <c r="AE137" s="1601"/>
      <c r="AF137" s="1584"/>
      <c r="AG137" s="1584"/>
      <c r="AH137" s="1584"/>
      <c r="AI137" s="311"/>
      <c r="AJ137" s="311" t="s">
        <v>24</v>
      </c>
      <c r="AK137" s="311"/>
      <c r="AL137" s="377"/>
    </row>
    <row r="138" spans="1:38" ht="3.9" customHeight="1">
      <c r="A138" s="298"/>
      <c r="B138" s="345"/>
      <c r="C138" s="345"/>
      <c r="D138" s="345"/>
      <c r="E138" s="345"/>
      <c r="F138" s="345"/>
      <c r="G138" s="345"/>
      <c r="H138" s="345"/>
      <c r="I138" s="345"/>
      <c r="AJ138" s="299"/>
      <c r="AK138" s="299"/>
      <c r="AL138" s="300"/>
    </row>
    <row r="139" spans="1:38" ht="3.9" customHeight="1">
      <c r="A139" s="298"/>
      <c r="B139" s="345"/>
      <c r="C139" s="345"/>
      <c r="D139" s="345"/>
      <c r="E139" s="345"/>
      <c r="F139" s="345"/>
      <c r="G139" s="345"/>
      <c r="H139" s="345"/>
      <c r="I139" s="345"/>
      <c r="AJ139" s="299"/>
      <c r="AK139" s="299"/>
      <c r="AL139" s="300"/>
    </row>
    <row r="140" spans="1:38" ht="18" customHeight="1">
      <c r="A140" s="298"/>
      <c r="B140" s="1472" t="s">
        <v>3098</v>
      </c>
      <c r="C140" s="1473"/>
      <c r="D140" s="1473"/>
      <c r="E140" s="1473"/>
      <c r="F140" s="1473"/>
      <c r="G140" s="1473"/>
      <c r="H140" s="1473"/>
      <c r="I140" s="1473"/>
      <c r="J140" s="1592"/>
      <c r="K140" s="1593"/>
      <c r="L140" s="1593"/>
      <c r="M140" s="1593"/>
      <c r="N140" s="1593"/>
      <c r="O140" s="1593"/>
      <c r="P140" s="1594"/>
      <c r="Q140" s="371"/>
      <c r="R140" s="371"/>
      <c r="S140" s="371"/>
      <c r="T140" s="371"/>
      <c r="U140" s="371"/>
      <c r="V140" s="371"/>
      <c r="W140" s="371"/>
      <c r="X140" s="371"/>
      <c r="Y140" s="371"/>
      <c r="Z140" s="371"/>
      <c r="AA140" s="371"/>
      <c r="AB140" s="371"/>
      <c r="AC140" s="371"/>
      <c r="AD140" s="371"/>
      <c r="AE140" s="371"/>
      <c r="AF140" s="371"/>
      <c r="AG140" s="371"/>
      <c r="AH140" s="371"/>
      <c r="AI140" s="371"/>
      <c r="AJ140" s="299"/>
      <c r="AK140" s="299"/>
      <c r="AL140" s="300"/>
    </row>
    <row r="141" spans="1:38" ht="30.9" customHeight="1">
      <c r="A141" s="298"/>
      <c r="B141" s="1533" t="s">
        <v>3115</v>
      </c>
      <c r="C141" s="1534"/>
      <c r="D141" s="1534"/>
      <c r="E141" s="1534"/>
      <c r="F141" s="1534"/>
      <c r="G141" s="1534"/>
      <c r="H141" s="1534"/>
      <c r="I141" s="1535"/>
      <c r="J141" s="372" t="s">
        <v>40</v>
      </c>
      <c r="K141" s="295" t="s">
        <v>2825</v>
      </c>
      <c r="L141" s="295"/>
      <c r="M141" s="295"/>
      <c r="N141" s="295"/>
      <c r="O141" s="296"/>
      <c r="P141" s="373" t="s">
        <v>40</v>
      </c>
      <c r="Q141" s="374" t="s">
        <v>2826</v>
      </c>
      <c r="R141" s="320"/>
      <c r="S141" s="320"/>
      <c r="T141" s="296"/>
      <c r="U141" s="320"/>
      <c r="V141" s="320"/>
      <c r="W141" s="296"/>
      <c r="X141" s="320"/>
      <c r="Y141" s="320"/>
      <c r="Z141" s="297"/>
      <c r="AB141" s="299"/>
      <c r="AC141" s="299"/>
      <c r="AD141" s="299"/>
      <c r="AE141" s="299"/>
      <c r="AF141" s="299"/>
      <c r="AG141" s="299"/>
      <c r="AH141" s="299"/>
      <c r="AI141" s="299"/>
      <c r="AJ141" s="299"/>
      <c r="AK141" s="299"/>
      <c r="AL141" s="300"/>
    </row>
    <row r="142" spans="1:38" ht="17.100000000000001" customHeight="1">
      <c r="A142" s="298"/>
      <c r="B142" s="1586" t="s">
        <v>3116</v>
      </c>
      <c r="C142" s="1554"/>
      <c r="D142" s="1554"/>
      <c r="E142" s="1554"/>
      <c r="F142" s="1554"/>
      <c r="G142" s="1554"/>
      <c r="H142" s="1554"/>
      <c r="I142" s="1596"/>
      <c r="J142" s="372" t="s">
        <v>40</v>
      </c>
      <c r="K142" s="296" t="s">
        <v>3117</v>
      </c>
      <c r="L142" s="296"/>
      <c r="M142" s="296"/>
      <c r="N142" s="296"/>
      <c r="O142" s="296"/>
      <c r="P142" s="296"/>
      <c r="Q142" s="296"/>
      <c r="R142" s="373" t="s">
        <v>40</v>
      </c>
      <c r="S142" s="1461" t="s">
        <v>2827</v>
      </c>
      <c r="T142" s="1461"/>
      <c r="U142" s="1461"/>
      <c r="V142" s="1461"/>
      <c r="W142" s="1461"/>
      <c r="X142" s="296"/>
      <c r="Y142" s="373" t="s">
        <v>40</v>
      </c>
      <c r="Z142" s="1461" t="s">
        <v>2828</v>
      </c>
      <c r="AA142" s="1461"/>
      <c r="AB142" s="1461"/>
      <c r="AC142" s="1461"/>
      <c r="AD142" s="1461"/>
      <c r="AE142" s="1461"/>
      <c r="AF142" s="1461"/>
      <c r="AG142" s="1461"/>
      <c r="AH142" s="1461"/>
      <c r="AI142" s="1532"/>
      <c r="AJ142" s="299"/>
      <c r="AK142" s="299"/>
      <c r="AL142" s="300"/>
    </row>
    <row r="143" spans="1:38" ht="17.100000000000001" customHeight="1">
      <c r="A143" s="298"/>
      <c r="B143" s="1587"/>
      <c r="C143" s="1588"/>
      <c r="D143" s="1588"/>
      <c r="E143" s="1588"/>
      <c r="F143" s="1588"/>
      <c r="G143" s="1588"/>
      <c r="H143" s="1588"/>
      <c r="I143" s="1597"/>
      <c r="J143" s="364" t="s">
        <v>40</v>
      </c>
      <c r="K143" s="1474" t="s">
        <v>2829</v>
      </c>
      <c r="L143" s="1474"/>
      <c r="M143" s="1474"/>
      <c r="N143" s="1474"/>
      <c r="O143" s="1474"/>
      <c r="P143" s="1474"/>
      <c r="Q143" s="1474"/>
      <c r="R143" s="1474"/>
      <c r="S143" s="315"/>
      <c r="T143" s="367" t="s">
        <v>40</v>
      </c>
      <c r="U143" s="1474" t="s">
        <v>2830</v>
      </c>
      <c r="V143" s="1474"/>
      <c r="W143" s="1474"/>
      <c r="X143" s="1474"/>
      <c r="Y143" s="315"/>
      <c r="Z143" s="315"/>
      <c r="AA143" s="315"/>
      <c r="AB143" s="315"/>
      <c r="AC143" s="315"/>
      <c r="AD143" s="315"/>
      <c r="AE143" s="315"/>
      <c r="AF143" s="315"/>
      <c r="AG143" s="315"/>
      <c r="AH143" s="315"/>
      <c r="AI143" s="316"/>
      <c r="AJ143" s="299"/>
      <c r="AK143" s="299"/>
      <c r="AL143" s="300"/>
    </row>
    <row r="144" spans="1:38" ht="17.100000000000001" customHeight="1">
      <c r="A144" s="298"/>
      <c r="B144" s="1501" t="s">
        <v>3118</v>
      </c>
      <c r="C144" s="1502"/>
      <c r="D144" s="1502"/>
      <c r="E144" s="1502"/>
      <c r="F144" s="1502"/>
      <c r="G144" s="1502"/>
      <c r="H144" s="1502"/>
      <c r="I144" s="1503"/>
      <c r="J144" s="364" t="s">
        <v>40</v>
      </c>
      <c r="K144" s="1473" t="s">
        <v>3119</v>
      </c>
      <c r="L144" s="1473"/>
      <c r="M144" s="1473"/>
      <c r="N144" s="1473"/>
      <c r="O144" s="1473"/>
      <c r="P144" s="375"/>
      <c r="Q144" s="364" t="s">
        <v>40</v>
      </c>
      <c r="R144" s="1502" t="s">
        <v>3120</v>
      </c>
      <c r="S144" s="1502"/>
      <c r="T144" s="1502"/>
      <c r="U144" s="1502"/>
      <c r="V144" s="1502"/>
      <c r="W144" s="1502"/>
      <c r="X144" s="364" t="s">
        <v>40</v>
      </c>
      <c r="Y144" s="1473" t="s">
        <v>3121</v>
      </c>
      <c r="Z144" s="1473"/>
      <c r="AA144" s="1473"/>
      <c r="AB144" s="1473"/>
      <c r="AC144" s="1473"/>
      <c r="AD144" s="1484"/>
      <c r="AE144" s="299"/>
      <c r="AF144" s="299"/>
      <c r="AG144" s="299"/>
      <c r="AH144" s="299"/>
      <c r="AJ144" s="299"/>
      <c r="AK144" s="299"/>
      <c r="AL144" s="300"/>
    </row>
    <row r="145" spans="1:38" ht="17.100000000000001" customHeight="1">
      <c r="A145" s="298"/>
      <c r="B145" s="1472" t="s">
        <v>3122</v>
      </c>
      <c r="C145" s="1473"/>
      <c r="D145" s="1473"/>
      <c r="E145" s="1473"/>
      <c r="F145" s="1473"/>
      <c r="G145" s="1473"/>
      <c r="H145" s="1473"/>
      <c r="I145" s="1484"/>
      <c r="J145" s="364" t="s">
        <v>40</v>
      </c>
      <c r="K145" s="1473" t="s">
        <v>3123</v>
      </c>
      <c r="L145" s="1473"/>
      <c r="M145" s="1473"/>
      <c r="N145" s="1473"/>
      <c r="O145" s="1473"/>
      <c r="P145" s="375"/>
      <c r="Q145" s="364" t="s">
        <v>40</v>
      </c>
      <c r="R145" s="1473" t="s">
        <v>3124</v>
      </c>
      <c r="S145" s="1473"/>
      <c r="T145" s="1473"/>
      <c r="U145" s="1473"/>
      <c r="V145" s="1473"/>
      <c r="W145" s="1473"/>
      <c r="X145" s="364" t="s">
        <v>40</v>
      </c>
      <c r="Y145" s="1502" t="s">
        <v>3125</v>
      </c>
      <c r="Z145" s="1502"/>
      <c r="AA145" s="1502"/>
      <c r="AB145" s="1502"/>
      <c r="AC145" s="1502"/>
      <c r="AD145" s="1503"/>
      <c r="AE145" s="299"/>
      <c r="AF145" s="299"/>
      <c r="AG145" s="299"/>
      <c r="AH145" s="299"/>
      <c r="AJ145" s="299"/>
      <c r="AK145" s="299"/>
      <c r="AL145" s="300"/>
    </row>
    <row r="146" spans="1:38" ht="17.100000000000001" customHeight="1">
      <c r="A146" s="298"/>
      <c r="B146" s="1472" t="s">
        <v>3126</v>
      </c>
      <c r="C146" s="1473"/>
      <c r="D146" s="1473"/>
      <c r="E146" s="1473"/>
      <c r="F146" s="1473"/>
      <c r="G146" s="1473"/>
      <c r="H146" s="1473"/>
      <c r="I146" s="1484"/>
      <c r="J146" s="364" t="s">
        <v>40</v>
      </c>
      <c r="K146" s="1502" t="s">
        <v>17</v>
      </c>
      <c r="L146" s="1502"/>
      <c r="M146" s="1502"/>
      <c r="N146" s="1502"/>
      <c r="O146" s="1502"/>
      <c r="P146" s="1502"/>
      <c r="Q146" s="364" t="s">
        <v>40</v>
      </c>
      <c r="R146" s="1461" t="s">
        <v>18</v>
      </c>
      <c r="S146" s="1461"/>
      <c r="T146" s="1461"/>
      <c r="U146" s="1461"/>
      <c r="V146" s="1461"/>
      <c r="W146" s="1461"/>
      <c r="X146" s="364" t="s">
        <v>40</v>
      </c>
      <c r="Y146" s="1461" t="s">
        <v>2831</v>
      </c>
      <c r="Z146" s="1461"/>
      <c r="AA146" s="1461"/>
      <c r="AB146" s="1461"/>
      <c r="AC146" s="1461"/>
      <c r="AD146" s="297"/>
      <c r="AE146" s="1521"/>
      <c r="AF146" s="1521"/>
      <c r="AG146" s="1521"/>
      <c r="AH146" s="1521"/>
      <c r="AI146" s="1521"/>
      <c r="AJ146" s="299"/>
      <c r="AK146" s="299"/>
      <c r="AL146" s="300"/>
    </row>
    <row r="147" spans="1:38" ht="17.100000000000001" customHeight="1">
      <c r="A147" s="298"/>
      <c r="B147" s="1472" t="s">
        <v>3127</v>
      </c>
      <c r="C147" s="1473"/>
      <c r="D147" s="1473"/>
      <c r="E147" s="1473"/>
      <c r="F147" s="1473"/>
      <c r="G147" s="1473"/>
      <c r="H147" s="1473"/>
      <c r="I147" s="1484"/>
      <c r="J147" s="364" t="s">
        <v>40</v>
      </c>
      <c r="K147" s="1473" t="s">
        <v>3128</v>
      </c>
      <c r="L147" s="1473"/>
      <c r="M147" s="1473"/>
      <c r="N147" s="1473"/>
      <c r="O147" s="1473"/>
      <c r="P147" s="1598"/>
      <c r="Q147" s="364" t="s">
        <v>40</v>
      </c>
      <c r="R147" s="1473" t="s">
        <v>3129</v>
      </c>
      <c r="S147" s="1473"/>
      <c r="T147" s="1473"/>
      <c r="U147" s="1473"/>
      <c r="V147" s="1473"/>
      <c r="W147" s="311"/>
      <c r="X147" s="376" t="s">
        <v>40</v>
      </c>
      <c r="Y147" s="1473" t="s">
        <v>21</v>
      </c>
      <c r="Z147" s="1473"/>
      <c r="AA147" s="1473"/>
      <c r="AB147" s="1473"/>
      <c r="AC147" s="1473"/>
      <c r="AD147" s="311"/>
      <c r="AE147" s="376" t="s">
        <v>40</v>
      </c>
      <c r="AF147" s="1461" t="s">
        <v>22</v>
      </c>
      <c r="AG147" s="1461"/>
      <c r="AH147" s="1461"/>
      <c r="AI147" s="1461"/>
      <c r="AJ147" s="1461"/>
      <c r="AK147" s="295"/>
      <c r="AL147" s="377"/>
    </row>
    <row r="148" spans="1:38" ht="20.100000000000001" customHeight="1">
      <c r="A148" s="298"/>
      <c r="B148" s="1472" t="s">
        <v>3130</v>
      </c>
      <c r="C148" s="1473"/>
      <c r="D148" s="1473"/>
      <c r="E148" s="1473"/>
      <c r="F148" s="1473"/>
      <c r="G148" s="1473"/>
      <c r="H148" s="1473"/>
      <c r="I148" s="1484"/>
      <c r="J148" s="322"/>
      <c r="K148" s="1599"/>
      <c r="L148" s="1599"/>
      <c r="M148" s="1599"/>
      <c r="N148" s="311"/>
      <c r="O148" s="311" t="s">
        <v>23</v>
      </c>
      <c r="P148" s="311"/>
      <c r="Q148" s="352"/>
      <c r="R148" s="1599"/>
      <c r="S148" s="1599"/>
      <c r="T148" s="1599"/>
      <c r="U148" s="311"/>
      <c r="V148" s="311" t="s">
        <v>23</v>
      </c>
      <c r="W148" s="311"/>
      <c r="X148" s="352"/>
      <c r="Y148" s="1599"/>
      <c r="Z148" s="1599"/>
      <c r="AA148" s="1599"/>
      <c r="AB148" s="311"/>
      <c r="AC148" s="311" t="s">
        <v>23</v>
      </c>
      <c r="AD148" s="311"/>
      <c r="AE148" s="354"/>
      <c r="AF148" s="1599"/>
      <c r="AG148" s="1599"/>
      <c r="AH148" s="1599"/>
      <c r="AI148" s="296"/>
      <c r="AJ148" s="296" t="s">
        <v>23</v>
      </c>
      <c r="AK148" s="296"/>
      <c r="AL148" s="377"/>
    </row>
    <row r="149" spans="1:38" ht="27" customHeight="1">
      <c r="A149" s="298"/>
      <c r="B149" s="1527" t="s">
        <v>3131</v>
      </c>
      <c r="C149" s="1528"/>
      <c r="D149" s="1528"/>
      <c r="E149" s="1528"/>
      <c r="F149" s="1528"/>
      <c r="G149" s="1528"/>
      <c r="H149" s="1528"/>
      <c r="I149" s="1602"/>
      <c r="J149" s="1583"/>
      <c r="K149" s="1584"/>
      <c r="L149" s="1584"/>
      <c r="M149" s="1584"/>
      <c r="N149" s="311"/>
      <c r="O149" s="311" t="s">
        <v>24</v>
      </c>
      <c r="P149" s="311"/>
      <c r="Q149" s="1601"/>
      <c r="R149" s="1584"/>
      <c r="S149" s="1584"/>
      <c r="T149" s="1584"/>
      <c r="U149" s="311"/>
      <c r="V149" s="311" t="s">
        <v>24</v>
      </c>
      <c r="W149" s="311"/>
      <c r="X149" s="1601"/>
      <c r="Y149" s="1584"/>
      <c r="Z149" s="1584"/>
      <c r="AA149" s="1584"/>
      <c r="AB149" s="311"/>
      <c r="AC149" s="311" t="s">
        <v>24</v>
      </c>
      <c r="AD149" s="311"/>
      <c r="AE149" s="1601"/>
      <c r="AF149" s="1584"/>
      <c r="AG149" s="1584"/>
      <c r="AH149" s="1584"/>
      <c r="AI149" s="311"/>
      <c r="AJ149" s="311" t="s">
        <v>24</v>
      </c>
      <c r="AK149" s="311"/>
      <c r="AL149" s="377"/>
    </row>
    <row r="150" spans="1:38" ht="3.9" customHeight="1">
      <c r="A150" s="314"/>
      <c r="B150" s="333"/>
      <c r="C150" s="333"/>
      <c r="D150" s="333"/>
      <c r="E150" s="333"/>
      <c r="F150" s="333"/>
      <c r="G150" s="333"/>
      <c r="H150" s="333"/>
      <c r="I150" s="333"/>
      <c r="J150" s="329"/>
      <c r="K150" s="329"/>
      <c r="L150" s="329"/>
      <c r="M150" s="329"/>
      <c r="N150" s="329"/>
      <c r="O150" s="329"/>
      <c r="P150" s="329"/>
      <c r="Q150" s="329"/>
      <c r="R150" s="329"/>
      <c r="S150" s="329"/>
      <c r="T150" s="329"/>
      <c r="U150" s="329"/>
      <c r="V150" s="329"/>
      <c r="W150" s="329"/>
      <c r="X150" s="329"/>
      <c r="Y150" s="329"/>
      <c r="Z150" s="329"/>
      <c r="AA150" s="329"/>
      <c r="AB150" s="329"/>
      <c r="AC150" s="329"/>
      <c r="AD150" s="329"/>
      <c r="AE150" s="329"/>
      <c r="AF150" s="329"/>
      <c r="AG150" s="329"/>
      <c r="AH150" s="329"/>
      <c r="AI150" s="329"/>
      <c r="AJ150" s="315"/>
      <c r="AK150" s="315"/>
      <c r="AL150" s="316"/>
    </row>
    <row r="151" spans="1:38" ht="3.9" customHeight="1">
      <c r="A151" s="311"/>
      <c r="B151" s="344"/>
      <c r="C151" s="344"/>
      <c r="D151" s="344"/>
      <c r="E151" s="344"/>
      <c r="F151" s="344"/>
      <c r="G151" s="344"/>
      <c r="H151" s="344"/>
      <c r="I151" s="344"/>
      <c r="J151" s="375"/>
      <c r="K151" s="375"/>
      <c r="L151" s="375"/>
      <c r="M151" s="375"/>
      <c r="N151" s="375"/>
      <c r="O151" s="375"/>
      <c r="P151" s="375"/>
      <c r="Q151" s="375"/>
      <c r="R151" s="375"/>
      <c r="S151" s="375"/>
      <c r="T151" s="375"/>
      <c r="U151" s="375"/>
      <c r="V151" s="375"/>
      <c r="W151" s="375"/>
      <c r="X151" s="375"/>
      <c r="Y151" s="375"/>
      <c r="Z151" s="375"/>
      <c r="AA151" s="375"/>
      <c r="AB151" s="375"/>
      <c r="AC151" s="375"/>
      <c r="AD151" s="375"/>
      <c r="AE151" s="375"/>
      <c r="AF151" s="375"/>
      <c r="AG151" s="375"/>
      <c r="AH151" s="375"/>
      <c r="AI151" s="375"/>
      <c r="AJ151" s="311"/>
      <c r="AK151" s="311"/>
      <c r="AL151" s="311"/>
    </row>
    <row r="152" spans="1:38" ht="17.399999999999999" customHeight="1">
      <c r="A152" s="1533" t="s">
        <v>3132</v>
      </c>
      <c r="B152" s="1534"/>
      <c r="C152" s="1534"/>
      <c r="D152" s="1534"/>
      <c r="E152" s="1534"/>
      <c r="F152" s="1534"/>
      <c r="G152" s="1534"/>
      <c r="H152" s="1534"/>
      <c r="I152" s="1534"/>
      <c r="J152" s="1534"/>
      <c r="K152" s="1534"/>
      <c r="L152" s="1534"/>
      <c r="M152" s="1534"/>
      <c r="N152" s="325"/>
      <c r="O152" s="325"/>
      <c r="P152" s="325"/>
      <c r="Q152" s="325"/>
      <c r="R152" s="325"/>
      <c r="S152" s="325"/>
      <c r="T152" s="325"/>
      <c r="U152" s="325"/>
      <c r="V152" s="325"/>
      <c r="W152" s="325"/>
      <c r="X152" s="325"/>
      <c r="Y152" s="325"/>
      <c r="Z152" s="325"/>
      <c r="AA152" s="325"/>
      <c r="AB152" s="325"/>
      <c r="AC152" s="325"/>
      <c r="AD152" s="325"/>
      <c r="AE152" s="325"/>
      <c r="AF152" s="325"/>
      <c r="AG152" s="325"/>
      <c r="AH152" s="325"/>
      <c r="AI152" s="325"/>
      <c r="AJ152" s="296"/>
      <c r="AK152" s="296"/>
      <c r="AL152" s="297"/>
    </row>
    <row r="153" spans="1:38" ht="20.100000000000001" customHeight="1">
      <c r="A153" s="298" t="s">
        <v>3133</v>
      </c>
      <c r="B153" s="1472" t="s">
        <v>3134</v>
      </c>
      <c r="C153" s="1473"/>
      <c r="D153" s="1473"/>
      <c r="E153" s="1473"/>
      <c r="F153" s="1473"/>
      <c r="G153" s="1473"/>
      <c r="H153" s="1473"/>
      <c r="I153" s="1473"/>
      <c r="J153" s="1473"/>
      <c r="K153" s="1484"/>
      <c r="L153" s="1524"/>
      <c r="M153" s="1525"/>
      <c r="N153" s="1525"/>
      <c r="O153" s="1525"/>
      <c r="P153" s="1525"/>
      <c r="Q153" s="1525"/>
      <c r="R153" s="1525"/>
      <c r="S153" s="1525"/>
      <c r="T153" s="314" t="s">
        <v>3096</v>
      </c>
      <c r="U153" s="315"/>
      <c r="V153" s="315"/>
      <c r="W153" s="315"/>
      <c r="X153" s="315"/>
      <c r="Y153" s="315"/>
      <c r="Z153" s="315"/>
      <c r="AA153" s="315"/>
      <c r="AB153" s="315"/>
      <c r="AC153" s="299"/>
      <c r="AD153" s="299"/>
      <c r="AE153" s="299"/>
      <c r="AF153" s="299"/>
      <c r="AG153" s="299"/>
      <c r="AH153" s="299"/>
      <c r="AI153" s="299"/>
      <c r="AJ153" s="299"/>
      <c r="AK153" s="299"/>
      <c r="AL153" s="300"/>
    </row>
    <row r="154" spans="1:38" ht="17.100000000000001" customHeight="1">
      <c r="A154" s="298" t="s">
        <v>3135</v>
      </c>
      <c r="B154" s="1472" t="s">
        <v>3136</v>
      </c>
      <c r="C154" s="1473"/>
      <c r="D154" s="1473"/>
      <c r="E154" s="1473"/>
      <c r="F154" s="1473"/>
      <c r="G154" s="1473"/>
      <c r="H154" s="1473"/>
      <c r="I154" s="1473"/>
      <c r="J154" s="1473"/>
      <c r="K154" s="1484"/>
      <c r="L154" s="364" t="s">
        <v>40</v>
      </c>
      <c r="M154" s="311" t="s">
        <v>3137</v>
      </c>
      <c r="N154" s="311"/>
      <c r="O154" s="311"/>
      <c r="P154" s="311"/>
      <c r="Q154" s="311"/>
      <c r="R154" s="311"/>
      <c r="S154" s="311"/>
      <c r="T154" s="311"/>
      <c r="U154" s="311"/>
      <c r="V154" s="311"/>
      <c r="W154" s="311"/>
      <c r="X154" s="378" t="s">
        <v>40</v>
      </c>
      <c r="Y154" s="302" t="s">
        <v>2826</v>
      </c>
      <c r="Z154" s="302"/>
      <c r="AA154" s="302"/>
      <c r="AB154" s="305"/>
      <c r="AC154" s="299"/>
      <c r="AD154" s="299"/>
      <c r="AE154" s="299"/>
      <c r="AF154" s="299"/>
      <c r="AG154" s="299"/>
      <c r="AH154" s="299"/>
      <c r="AI154" s="299"/>
      <c r="AJ154" s="299"/>
      <c r="AK154" s="299"/>
      <c r="AL154" s="300"/>
    </row>
    <row r="155" spans="1:38" ht="17.100000000000001" customHeight="1">
      <c r="A155" s="298" t="s">
        <v>3138</v>
      </c>
      <c r="B155" s="1472" t="s">
        <v>3139</v>
      </c>
      <c r="C155" s="1473"/>
      <c r="D155" s="1473"/>
      <c r="E155" s="1473"/>
      <c r="F155" s="1473"/>
      <c r="G155" s="1473"/>
      <c r="H155" s="1473"/>
      <c r="I155" s="1473"/>
      <c r="J155" s="1473"/>
      <c r="K155" s="1484"/>
      <c r="L155" s="364" t="s">
        <v>40</v>
      </c>
      <c r="M155" s="302" t="s">
        <v>3140</v>
      </c>
      <c r="N155" s="302"/>
      <c r="O155" s="302"/>
      <c r="P155" s="302"/>
      <c r="Q155" s="311"/>
      <c r="R155" s="311"/>
      <c r="S155" s="311"/>
      <c r="T155" s="311"/>
      <c r="U155" s="311"/>
      <c r="V155" s="311"/>
      <c r="W155" s="311"/>
      <c r="X155" s="379" t="s">
        <v>40</v>
      </c>
      <c r="Y155" s="302" t="s">
        <v>2826</v>
      </c>
      <c r="Z155" s="302"/>
      <c r="AA155" s="302"/>
      <c r="AB155" s="305"/>
      <c r="AC155" s="299"/>
      <c r="AD155" s="299"/>
      <c r="AE155" s="299"/>
      <c r="AF155" s="299"/>
      <c r="AG155" s="299"/>
      <c r="AH155" s="299"/>
      <c r="AI155" s="299"/>
      <c r="AJ155" s="299"/>
      <c r="AK155" s="299"/>
      <c r="AL155" s="300"/>
    </row>
    <row r="156" spans="1:38" ht="20.100000000000001" customHeight="1">
      <c r="A156" s="298" t="s">
        <v>3141</v>
      </c>
      <c r="B156" s="1472" t="s">
        <v>3142</v>
      </c>
      <c r="C156" s="1473"/>
      <c r="D156" s="1473"/>
      <c r="E156" s="1473"/>
      <c r="F156" s="1473"/>
      <c r="G156" s="1473"/>
      <c r="H156" s="1473"/>
      <c r="I156" s="1473"/>
      <c r="J156" s="1473"/>
      <c r="K156" s="1484"/>
      <c r="L156" s="1603"/>
      <c r="M156" s="1567"/>
      <c r="N156" s="1567"/>
      <c r="O156" s="1567"/>
      <c r="P156" s="1567"/>
      <c r="Q156" s="1495" t="s">
        <v>3143</v>
      </c>
      <c r="R156" s="1495"/>
      <c r="S156" s="380"/>
      <c r="Z156" s="381"/>
      <c r="AA156" s="381"/>
      <c r="AB156" s="381"/>
      <c r="AC156" s="381"/>
      <c r="AD156" s="381"/>
      <c r="AE156" s="381"/>
      <c r="AF156" s="381"/>
      <c r="AG156" s="381"/>
      <c r="AH156" s="381"/>
      <c r="AI156" s="381"/>
      <c r="AJ156" s="299"/>
      <c r="AK156" s="299"/>
      <c r="AL156" s="300"/>
    </row>
    <row r="157" spans="1:38" ht="20.399999999999999" customHeight="1">
      <c r="A157" s="298" t="s">
        <v>3144</v>
      </c>
      <c r="B157" s="1472" t="s">
        <v>3145</v>
      </c>
      <c r="C157" s="1473"/>
      <c r="D157" s="1473"/>
      <c r="E157" s="1473"/>
      <c r="F157" s="1473"/>
      <c r="G157" s="1473"/>
      <c r="H157" s="1473"/>
      <c r="I157" s="1473"/>
      <c r="J157" s="1473"/>
      <c r="K157" s="1484"/>
      <c r="L157" s="1603"/>
      <c r="M157" s="1567"/>
      <c r="N157" s="1567"/>
      <c r="O157" s="1567"/>
      <c r="P157" s="1567"/>
      <c r="Q157" s="1495" t="s">
        <v>23</v>
      </c>
      <c r="R157" s="1495"/>
      <c r="S157" s="380"/>
      <c r="Z157" s="299"/>
      <c r="AA157" s="299"/>
      <c r="AB157" s="299"/>
      <c r="AC157" s="299"/>
      <c r="AD157" s="299"/>
      <c r="AE157" s="299"/>
      <c r="AF157" s="299"/>
      <c r="AG157" s="299"/>
      <c r="AH157" s="299"/>
      <c r="AI157" s="299"/>
      <c r="AJ157" s="299"/>
      <c r="AK157" s="299"/>
      <c r="AL157" s="300"/>
    </row>
    <row r="158" spans="1:38" ht="17.100000000000001" customHeight="1">
      <c r="A158" s="298" t="s">
        <v>3146</v>
      </c>
      <c r="B158" s="1472" t="s">
        <v>3147</v>
      </c>
      <c r="C158" s="1473"/>
      <c r="D158" s="1473"/>
      <c r="E158" s="1473"/>
      <c r="F158" s="1473"/>
      <c r="G158" s="1473"/>
      <c r="H158" s="1473"/>
      <c r="I158" s="1473"/>
      <c r="J158" s="1473"/>
      <c r="K158" s="1484"/>
      <c r="L158" s="364" t="s">
        <v>40</v>
      </c>
      <c r="M158" s="1473" t="s">
        <v>19</v>
      </c>
      <c r="N158" s="1473"/>
      <c r="O158" s="1473"/>
      <c r="P158" s="1473"/>
      <c r="Q158" s="378" t="s">
        <v>40</v>
      </c>
      <c r="R158" s="1473" t="s">
        <v>20</v>
      </c>
      <c r="S158" s="1473"/>
      <c r="T158" s="1473"/>
      <c r="U158" s="1473"/>
      <c r="V158" s="378" t="s">
        <v>40</v>
      </c>
      <c r="W158" s="1473" t="s">
        <v>21</v>
      </c>
      <c r="X158" s="1473"/>
      <c r="Y158" s="1473"/>
      <c r="Z158" s="1473"/>
      <c r="AA158" s="1473"/>
      <c r="AB158" s="312"/>
      <c r="AC158" s="299"/>
      <c r="AD158" s="299"/>
      <c r="AE158" s="299"/>
      <c r="AF158" s="299"/>
      <c r="AG158" s="299"/>
      <c r="AH158" s="299"/>
      <c r="AI158" s="299"/>
      <c r="AJ158" s="299"/>
      <c r="AK158" s="299"/>
      <c r="AL158" s="300"/>
    </row>
    <row r="159" spans="1:38" ht="20.100000000000001" customHeight="1">
      <c r="A159" s="382"/>
      <c r="B159" s="1501" t="s">
        <v>3148</v>
      </c>
      <c r="C159" s="1502"/>
      <c r="D159" s="1502"/>
      <c r="E159" s="1502"/>
      <c r="F159" s="1502"/>
      <c r="G159" s="1502"/>
      <c r="H159" s="1502"/>
      <c r="I159" s="1502"/>
      <c r="J159" s="1502"/>
      <c r="K159" s="1503"/>
      <c r="L159" s="1603"/>
      <c r="M159" s="1567"/>
      <c r="N159" s="1567"/>
      <c r="O159" s="1567"/>
      <c r="P159" s="1567"/>
      <c r="Q159" s="1495" t="s">
        <v>24</v>
      </c>
      <c r="R159" s="1495"/>
      <c r="S159" s="380"/>
      <c r="Z159" s="299"/>
      <c r="AA159" s="299"/>
      <c r="AB159" s="299"/>
      <c r="AC159" s="299"/>
      <c r="AD159" s="299"/>
      <c r="AE159" s="299"/>
      <c r="AF159" s="299"/>
      <c r="AG159" s="299"/>
      <c r="AH159" s="299"/>
      <c r="AI159" s="299"/>
      <c r="AJ159" s="299"/>
      <c r="AK159" s="299"/>
      <c r="AL159" s="300"/>
    </row>
    <row r="160" spans="1:38" ht="20.100000000000001" customHeight="1">
      <c r="A160" s="298" t="s">
        <v>3149</v>
      </c>
      <c r="B160" s="1472" t="s">
        <v>3150</v>
      </c>
      <c r="C160" s="1473"/>
      <c r="D160" s="1473"/>
      <c r="E160" s="1473"/>
      <c r="F160" s="1473"/>
      <c r="G160" s="1473"/>
      <c r="H160" s="1473"/>
      <c r="I160" s="1473"/>
      <c r="J160" s="1473"/>
      <c r="K160" s="1484"/>
      <c r="L160" s="1603"/>
      <c r="M160" s="1567"/>
      <c r="N160" s="1567"/>
      <c r="O160" s="1567"/>
      <c r="P160" s="1567"/>
      <c r="Q160" s="1495" t="s">
        <v>3109</v>
      </c>
      <c r="R160" s="1495"/>
      <c r="S160" s="380"/>
      <c r="Z160" s="299"/>
      <c r="AA160" s="299"/>
      <c r="AB160" s="299"/>
      <c r="AC160" s="299"/>
      <c r="AD160" s="299"/>
      <c r="AE160" s="299"/>
      <c r="AF160" s="299"/>
      <c r="AG160" s="299"/>
      <c r="AH160" s="299"/>
      <c r="AI160" s="299"/>
      <c r="AJ160" s="299"/>
      <c r="AK160" s="299"/>
      <c r="AL160" s="300"/>
    </row>
    <row r="161" spans="1:38" ht="3.6" customHeight="1">
      <c r="A161" s="327"/>
      <c r="B161" s="303"/>
      <c r="C161" s="303"/>
      <c r="D161" s="303"/>
      <c r="E161" s="303"/>
      <c r="F161" s="303"/>
      <c r="G161" s="303"/>
      <c r="H161" s="303"/>
      <c r="I161" s="303"/>
      <c r="J161" s="303"/>
      <c r="K161" s="303"/>
      <c r="L161" s="383"/>
      <c r="M161" s="383"/>
      <c r="N161" s="383"/>
      <c r="O161" s="383"/>
      <c r="P161" s="383"/>
      <c r="Q161" s="318"/>
      <c r="R161" s="318"/>
      <c r="S161" s="329"/>
      <c r="T161" s="329"/>
      <c r="U161" s="329"/>
      <c r="V161" s="329"/>
      <c r="W161" s="329"/>
      <c r="X161" s="329"/>
      <c r="Y161" s="329"/>
      <c r="Z161" s="315"/>
      <c r="AA161" s="315"/>
      <c r="AB161" s="315"/>
      <c r="AC161" s="315"/>
      <c r="AD161" s="315"/>
      <c r="AE161" s="315"/>
      <c r="AF161" s="315"/>
      <c r="AG161" s="315"/>
      <c r="AH161" s="315"/>
      <c r="AI161" s="315"/>
      <c r="AJ161" s="315"/>
      <c r="AK161" s="315"/>
      <c r="AL161" s="316"/>
    </row>
    <row r="162" spans="1:38" ht="3.9" customHeight="1">
      <c r="A162" s="296"/>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c r="AL162" s="296"/>
    </row>
    <row r="163" spans="1:38" ht="15" customHeight="1"/>
    <row r="164" spans="1:38" ht="15" customHeight="1"/>
    <row r="165" spans="1:38" ht="15" customHeight="1"/>
    <row r="166" spans="1:38" ht="15" customHeight="1"/>
    <row r="167" spans="1:38" ht="15" customHeight="1"/>
    <row r="168" spans="1:38" ht="15" customHeight="1"/>
    <row r="169" spans="1:38" ht="15" customHeight="1"/>
    <row r="170" spans="1:38" ht="15" customHeight="1"/>
    <row r="171" spans="1:38" ht="15" customHeight="1"/>
    <row r="172" spans="1:38" ht="15" customHeight="1"/>
    <row r="173" spans="1:38" ht="15" customHeight="1"/>
    <row r="174" spans="1:38" ht="15" customHeight="1"/>
    <row r="175" spans="1:38" ht="15" customHeight="1"/>
    <row r="176" spans="1:38"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sheetData>
  <sheetProtection selectLockedCells="1"/>
  <mergeCells count="331">
    <mergeCell ref="W158:AA158"/>
    <mergeCell ref="B159:K159"/>
    <mergeCell ref="L159:P159"/>
    <mergeCell ref="Q159:R159"/>
    <mergeCell ref="B160:K160"/>
    <mergeCell ref="L160:P160"/>
    <mergeCell ref="Q160:R160"/>
    <mergeCell ref="B157:K157"/>
    <mergeCell ref="L157:P157"/>
    <mergeCell ref="Q157:R157"/>
    <mergeCell ref="B158:K158"/>
    <mergeCell ref="M158:P158"/>
    <mergeCell ref="R158:U158"/>
    <mergeCell ref="A152:M152"/>
    <mergeCell ref="B153:K153"/>
    <mergeCell ref="L153:S153"/>
    <mergeCell ref="B154:K154"/>
    <mergeCell ref="B155:K155"/>
    <mergeCell ref="B156:K156"/>
    <mergeCell ref="L156:P156"/>
    <mergeCell ref="Q156:R156"/>
    <mergeCell ref="B148:I148"/>
    <mergeCell ref="K148:M148"/>
    <mergeCell ref="R148:T148"/>
    <mergeCell ref="Y148:AA148"/>
    <mergeCell ref="AF148:AH148"/>
    <mergeCell ref="B149:I149"/>
    <mergeCell ref="J149:M149"/>
    <mergeCell ref="Q149:T149"/>
    <mergeCell ref="X149:AA149"/>
    <mergeCell ref="AE149:AH149"/>
    <mergeCell ref="B146:I146"/>
    <mergeCell ref="K146:P146"/>
    <mergeCell ref="R146:W146"/>
    <mergeCell ref="Y146:AC146"/>
    <mergeCell ref="AE146:AI146"/>
    <mergeCell ref="B147:I147"/>
    <mergeCell ref="K147:P147"/>
    <mergeCell ref="R147:V147"/>
    <mergeCell ref="Y147:AC147"/>
    <mergeCell ref="AF147:AJ147"/>
    <mergeCell ref="B144:I144"/>
    <mergeCell ref="K144:O144"/>
    <mergeCell ref="R144:W144"/>
    <mergeCell ref="Y144:AD144"/>
    <mergeCell ref="B145:I145"/>
    <mergeCell ref="K145:O145"/>
    <mergeCell ref="R145:W145"/>
    <mergeCell ref="Y145:AD145"/>
    <mergeCell ref="B140:I140"/>
    <mergeCell ref="J140:P140"/>
    <mergeCell ref="B141:I141"/>
    <mergeCell ref="B142:I143"/>
    <mergeCell ref="S142:W142"/>
    <mergeCell ref="Z142:AI142"/>
    <mergeCell ref="K143:R143"/>
    <mergeCell ref="U143:X143"/>
    <mergeCell ref="B136:I136"/>
    <mergeCell ref="K136:M136"/>
    <mergeCell ref="R136:T136"/>
    <mergeCell ref="Y136:AA136"/>
    <mergeCell ref="AF136:AH136"/>
    <mergeCell ref="B137:I137"/>
    <mergeCell ref="J137:M137"/>
    <mergeCell ref="Q137:T137"/>
    <mergeCell ref="X137:AA137"/>
    <mergeCell ref="AE137:AH137"/>
    <mergeCell ref="B134:I134"/>
    <mergeCell ref="K134:P134"/>
    <mergeCell ref="R134:W134"/>
    <mergeCell ref="Y134:AC134"/>
    <mergeCell ref="AE134:AI134"/>
    <mergeCell ref="B135:I135"/>
    <mergeCell ref="K135:P135"/>
    <mergeCell ref="R135:V135"/>
    <mergeCell ref="Y135:AC135"/>
    <mergeCell ref="AF135:AJ135"/>
    <mergeCell ref="B132:I132"/>
    <mergeCell ref="K132:O132"/>
    <mergeCell ref="R132:W132"/>
    <mergeCell ref="Y132:AD132"/>
    <mergeCell ref="B133:I133"/>
    <mergeCell ref="K133:O133"/>
    <mergeCell ref="R133:W133"/>
    <mergeCell ref="Y133:AD133"/>
    <mergeCell ref="B128:I128"/>
    <mergeCell ref="J128:P128"/>
    <mergeCell ref="B129:I129"/>
    <mergeCell ref="B130:I131"/>
    <mergeCell ref="S130:W130"/>
    <mergeCell ref="Z130:AI130"/>
    <mergeCell ref="K131:R131"/>
    <mergeCell ref="U131:X131"/>
    <mergeCell ref="B124:I124"/>
    <mergeCell ref="K124:M124"/>
    <mergeCell ref="R124:T124"/>
    <mergeCell ref="Y124:AA124"/>
    <mergeCell ref="AF124:AH124"/>
    <mergeCell ref="B125:I125"/>
    <mergeCell ref="J125:M125"/>
    <mergeCell ref="Q125:T125"/>
    <mergeCell ref="X125:AA125"/>
    <mergeCell ref="AE125:AH125"/>
    <mergeCell ref="AE122:AI122"/>
    <mergeCell ref="B123:I123"/>
    <mergeCell ref="K123:P123"/>
    <mergeCell ref="R123:V123"/>
    <mergeCell ref="Y123:AC123"/>
    <mergeCell ref="AF123:AJ123"/>
    <mergeCell ref="B121:I121"/>
    <mergeCell ref="K121:O121"/>
    <mergeCell ref="R121:W121"/>
    <mergeCell ref="Y121:AD121"/>
    <mergeCell ref="B122:I122"/>
    <mergeCell ref="K122:P122"/>
    <mergeCell ref="R122:W122"/>
    <mergeCell ref="Y122:AC122"/>
    <mergeCell ref="B118:I119"/>
    <mergeCell ref="S118:W118"/>
    <mergeCell ref="Z118:AI118"/>
    <mergeCell ref="K119:R119"/>
    <mergeCell ref="U119:X119"/>
    <mergeCell ref="B120:I120"/>
    <mergeCell ref="K120:O120"/>
    <mergeCell ref="R120:W120"/>
    <mergeCell ref="Y120:AD120"/>
    <mergeCell ref="A109:O109"/>
    <mergeCell ref="S109:Z109"/>
    <mergeCell ref="A112:AJ112"/>
    <mergeCell ref="B116:I116"/>
    <mergeCell ref="J116:P116"/>
    <mergeCell ref="B117:I117"/>
    <mergeCell ref="B105:I106"/>
    <mergeCell ref="K105:P105"/>
    <mergeCell ref="T105:Y105"/>
    <mergeCell ref="AC105:AH105"/>
    <mergeCell ref="M106:O106"/>
    <mergeCell ref="P106:Q106"/>
    <mergeCell ref="V106:X106"/>
    <mergeCell ref="Y106:Z106"/>
    <mergeCell ref="AE106:AG106"/>
    <mergeCell ref="AH106:AI106"/>
    <mergeCell ref="AH100:AI100"/>
    <mergeCell ref="B103:I104"/>
    <mergeCell ref="K104:O104"/>
    <mergeCell ref="P104:Q104"/>
    <mergeCell ref="T104:X104"/>
    <mergeCell ref="Y104:Z104"/>
    <mergeCell ref="AC104:AG104"/>
    <mergeCell ref="AH104:AI104"/>
    <mergeCell ref="B100:I102"/>
    <mergeCell ref="K100:O100"/>
    <mergeCell ref="P100:Q100"/>
    <mergeCell ref="T100:X100"/>
    <mergeCell ref="Y100:Z100"/>
    <mergeCell ref="AC100:AG100"/>
    <mergeCell ref="K99:M99"/>
    <mergeCell ref="N99:Q99"/>
    <mergeCell ref="T99:V99"/>
    <mergeCell ref="W99:Z99"/>
    <mergeCell ref="AC99:AE99"/>
    <mergeCell ref="AF99:AI99"/>
    <mergeCell ref="K98:M98"/>
    <mergeCell ref="N98:R98"/>
    <mergeCell ref="T98:V98"/>
    <mergeCell ref="W98:AA98"/>
    <mergeCell ref="AC98:AE98"/>
    <mergeCell ref="AF98:AJ98"/>
    <mergeCell ref="AC97:AE97"/>
    <mergeCell ref="AF97:AI97"/>
    <mergeCell ref="AF94:AJ94"/>
    <mergeCell ref="K95:M95"/>
    <mergeCell ref="N95:Q95"/>
    <mergeCell ref="T95:V95"/>
    <mergeCell ref="W95:Z95"/>
    <mergeCell ref="AC95:AE95"/>
    <mergeCell ref="AF95:AI95"/>
    <mergeCell ref="B91:I92"/>
    <mergeCell ref="T91:X91"/>
    <mergeCell ref="K92:O92"/>
    <mergeCell ref="P92:Q92"/>
    <mergeCell ref="T92:X92"/>
    <mergeCell ref="Y92:Z92"/>
    <mergeCell ref="AC92:AG92"/>
    <mergeCell ref="AH92:AI92"/>
    <mergeCell ref="B94:I99"/>
    <mergeCell ref="K94:M94"/>
    <mergeCell ref="N94:R94"/>
    <mergeCell ref="T94:V94"/>
    <mergeCell ref="W94:AA94"/>
    <mergeCell ref="AC94:AE94"/>
    <mergeCell ref="K96:M96"/>
    <mergeCell ref="N96:R96"/>
    <mergeCell ref="T96:V96"/>
    <mergeCell ref="W96:AA96"/>
    <mergeCell ref="AC96:AE96"/>
    <mergeCell ref="AF96:AJ96"/>
    <mergeCell ref="K97:M97"/>
    <mergeCell ref="N97:Q97"/>
    <mergeCell ref="T97:V97"/>
    <mergeCell ref="W97:Z97"/>
    <mergeCell ref="B88:I89"/>
    <mergeCell ref="J88:R89"/>
    <mergeCell ref="S88:AA89"/>
    <mergeCell ref="AB88:AJ89"/>
    <mergeCell ref="B90:I90"/>
    <mergeCell ref="K90:O90"/>
    <mergeCell ref="P90:Q90"/>
    <mergeCell ref="T90:X90"/>
    <mergeCell ref="Y90:Z90"/>
    <mergeCell ref="AC90:AG90"/>
    <mergeCell ref="AH90:AI90"/>
    <mergeCell ref="B86:I87"/>
    <mergeCell ref="J86:R86"/>
    <mergeCell ref="S86:AA86"/>
    <mergeCell ref="AB86:AJ86"/>
    <mergeCell ref="K87:R87"/>
    <mergeCell ref="T87:AA87"/>
    <mergeCell ref="AC87:AJ87"/>
    <mergeCell ref="S84:AA84"/>
    <mergeCell ref="AB84:AJ84"/>
    <mergeCell ref="B85:I85"/>
    <mergeCell ref="J85:R85"/>
    <mergeCell ref="S85:AA85"/>
    <mergeCell ref="AB85:AJ85"/>
    <mergeCell ref="B73:I75"/>
    <mergeCell ref="A81:I81"/>
    <mergeCell ref="J81:R81"/>
    <mergeCell ref="A83:K83"/>
    <mergeCell ref="B84:I84"/>
    <mergeCell ref="J84:R84"/>
    <mergeCell ref="B65:I66"/>
    <mergeCell ref="B67:I68"/>
    <mergeCell ref="I71:N71"/>
    <mergeCell ref="R71:W71"/>
    <mergeCell ref="B72:I72"/>
    <mergeCell ref="J72:AJ72"/>
    <mergeCell ref="B61:I61"/>
    <mergeCell ref="K61:L61"/>
    <mergeCell ref="M61:O61"/>
    <mergeCell ref="Q61:S61"/>
    <mergeCell ref="U61:W61"/>
    <mergeCell ref="A64:F64"/>
    <mergeCell ref="A52:M52"/>
    <mergeCell ref="A53:AJ55"/>
    <mergeCell ref="A56:AJ56"/>
    <mergeCell ref="A59:O59"/>
    <mergeCell ref="B60:I60"/>
    <mergeCell ref="K60:L60"/>
    <mergeCell ref="M60:O60"/>
    <mergeCell ref="Q60:S60"/>
    <mergeCell ref="U60:W60"/>
    <mergeCell ref="D48:J48"/>
    <mergeCell ref="K48:AJ48"/>
    <mergeCell ref="D49:J49"/>
    <mergeCell ref="K49:O49"/>
    <mergeCell ref="Q49:U49"/>
    <mergeCell ref="W49:AB49"/>
    <mergeCell ref="D45:H45"/>
    <mergeCell ref="I45:M45"/>
    <mergeCell ref="O45:T45"/>
    <mergeCell ref="D46:H46"/>
    <mergeCell ref="I46:AJ46"/>
    <mergeCell ref="D47:H47"/>
    <mergeCell ref="I47:M47"/>
    <mergeCell ref="O47:S47"/>
    <mergeCell ref="U47:Z47"/>
    <mergeCell ref="D40:K40"/>
    <mergeCell ref="L40:AE40"/>
    <mergeCell ref="A42:M42"/>
    <mergeCell ref="D43:H43"/>
    <mergeCell ref="I43:AJ43"/>
    <mergeCell ref="D44:H44"/>
    <mergeCell ref="I44:AJ44"/>
    <mergeCell ref="D39:K39"/>
    <mergeCell ref="L39:M39"/>
    <mergeCell ref="N39:Q39"/>
    <mergeCell ref="S39:V39"/>
    <mergeCell ref="X39:AA39"/>
    <mergeCell ref="D35:H35"/>
    <mergeCell ref="I35:Z35"/>
    <mergeCell ref="A37:M37"/>
    <mergeCell ref="D38:K38"/>
    <mergeCell ref="L38:N38"/>
    <mergeCell ref="D32:O32"/>
    <mergeCell ref="P32:AJ32"/>
    <mergeCell ref="D33:H33"/>
    <mergeCell ref="I33:T33"/>
    <mergeCell ref="D34:H34"/>
    <mergeCell ref="I34:AJ34"/>
    <mergeCell ref="O38:AE38"/>
    <mergeCell ref="D28:J28"/>
    <mergeCell ref="K28:O28"/>
    <mergeCell ref="Q28:U28"/>
    <mergeCell ref="W28:AB28"/>
    <mergeCell ref="D31:H31"/>
    <mergeCell ref="I31:AJ31"/>
    <mergeCell ref="D25:H25"/>
    <mergeCell ref="I25:AJ25"/>
    <mergeCell ref="D26:H26"/>
    <mergeCell ref="I26:Z26"/>
    <mergeCell ref="D27:J27"/>
    <mergeCell ref="K27:AJ27"/>
    <mergeCell ref="D22:H22"/>
    <mergeCell ref="I22:AJ22"/>
    <mergeCell ref="D23:O23"/>
    <mergeCell ref="P23:AJ23"/>
    <mergeCell ref="D24:H24"/>
    <mergeCell ref="I24:T24"/>
    <mergeCell ref="D17:H17"/>
    <mergeCell ref="I17:T17"/>
    <mergeCell ref="D18:H18"/>
    <mergeCell ref="I18:AJ18"/>
    <mergeCell ref="D19:H19"/>
    <mergeCell ref="I19:Z19"/>
    <mergeCell ref="AI10:AI11"/>
    <mergeCell ref="A12:L13"/>
    <mergeCell ref="M12:P13"/>
    <mergeCell ref="D14:H14"/>
    <mergeCell ref="A15:M15"/>
    <mergeCell ref="D16:H16"/>
    <mergeCell ref="I16:AJ16"/>
    <mergeCell ref="A1:M2"/>
    <mergeCell ref="A4:AJ5"/>
    <mergeCell ref="A6:AJ7"/>
    <mergeCell ref="A8:AJ9"/>
    <mergeCell ref="AC10:AC11"/>
    <mergeCell ref="AD10:AE11"/>
    <mergeCell ref="AF10:AF11"/>
    <mergeCell ref="AG10:AH11"/>
    <mergeCell ref="Y10:AB11"/>
  </mergeCells>
  <phoneticPr fontId="122"/>
  <conditionalFormatting sqref="A152:A161">
    <cfRule type="expression" dxfId="20" priority="22">
      <formula>#REF!&lt;&gt;""</formula>
    </cfRule>
  </conditionalFormatting>
  <conditionalFormatting sqref="B86 B90:B91 B153:B160">
    <cfRule type="expression" dxfId="19" priority="23">
      <formula>#REF!&lt;&gt;""</formula>
    </cfRule>
  </conditionalFormatting>
  <conditionalFormatting sqref="B88">
    <cfRule type="expression" dxfId="18" priority="24">
      <formula>#REF!&lt;&gt;""</formula>
    </cfRule>
  </conditionalFormatting>
  <conditionalFormatting sqref="B103">
    <cfRule type="expression" dxfId="17" priority="26">
      <formula>#REF!&lt;&gt;""</formula>
    </cfRule>
  </conditionalFormatting>
  <conditionalFormatting sqref="B105">
    <cfRule type="expression" dxfId="16" priority="27">
      <formula>#REF!&lt;&gt;""</formula>
    </cfRule>
  </conditionalFormatting>
  <conditionalFormatting sqref="B117:B118">
    <cfRule type="expression" dxfId="15" priority="18">
      <formula>#REF!&lt;&gt;""</formula>
    </cfRule>
  </conditionalFormatting>
  <conditionalFormatting sqref="B123:B124">
    <cfRule type="expression" dxfId="14" priority="20">
      <formula>#REF!&lt;&gt;""</formula>
    </cfRule>
  </conditionalFormatting>
  <conditionalFormatting sqref="B129:B130">
    <cfRule type="expression" dxfId="13" priority="10">
      <formula>#REF!&lt;&gt;""</formula>
    </cfRule>
  </conditionalFormatting>
  <conditionalFormatting sqref="B135:B136">
    <cfRule type="expression" dxfId="12" priority="15">
      <formula>#REF!&lt;&gt;""</formula>
    </cfRule>
  </conditionalFormatting>
  <conditionalFormatting sqref="B141:B142">
    <cfRule type="expression" dxfId="11" priority="9">
      <formula>#REF!&lt;&gt;""</formula>
    </cfRule>
  </conditionalFormatting>
  <conditionalFormatting sqref="B147:B148">
    <cfRule type="expression" dxfId="10" priority="12">
      <formula>#REF!&lt;&gt;""</formula>
    </cfRule>
  </conditionalFormatting>
  <conditionalFormatting sqref="B93:I93 B94 B100">
    <cfRule type="expression" dxfId="9" priority="25">
      <formula>#REF!&lt;&gt;""</formula>
    </cfRule>
  </conditionalFormatting>
  <conditionalFormatting sqref="B120:I122">
    <cfRule type="expression" dxfId="8" priority="19">
      <formula>#REF!&lt;&gt;""</formula>
    </cfRule>
  </conditionalFormatting>
  <conditionalFormatting sqref="B125:I127">
    <cfRule type="expression" dxfId="7" priority="17">
      <formula>#REF!&lt;&gt;""</formula>
    </cfRule>
  </conditionalFormatting>
  <conditionalFormatting sqref="B132:I134">
    <cfRule type="expression" dxfId="6" priority="14">
      <formula>#REF!&lt;&gt;""</formula>
    </cfRule>
  </conditionalFormatting>
  <conditionalFormatting sqref="B137:I139">
    <cfRule type="expression" dxfId="5" priority="21">
      <formula>#REF!&lt;&gt;""</formula>
    </cfRule>
  </conditionalFormatting>
  <conditionalFormatting sqref="B144:I146">
    <cfRule type="expression" dxfId="4" priority="11">
      <formula>#REF!&lt;&gt;""</formula>
    </cfRule>
  </conditionalFormatting>
  <conditionalFormatting sqref="B149:I151">
    <cfRule type="expression" dxfId="3" priority="13">
      <formula>#REF!&lt;&gt;""</formula>
    </cfRule>
  </conditionalFormatting>
  <conditionalFormatting sqref="R132:W135 Y132:AD135">
    <cfRule type="expression" priority="3">
      <formula>$T$84&lt;&gt;""</formula>
    </cfRule>
  </conditionalFormatting>
  <conditionalFormatting sqref="R144:W147 Y144:AD147">
    <cfRule type="expression" priority="1">
      <formula>$T$84&lt;&gt;""</formula>
    </cfRule>
  </conditionalFormatting>
  <conditionalFormatting sqref="AF135:AJ135 Q136:AJ137">
    <cfRule type="expression" priority="4">
      <formula>$T$84&lt;&gt;""</formula>
    </cfRule>
  </conditionalFormatting>
  <conditionalFormatting sqref="AF147:AJ147 Q148:AJ149">
    <cfRule type="expression" priority="2">
      <formula>$T$84&lt;&gt;""</formula>
    </cfRule>
  </conditionalFormatting>
  <conditionalFormatting sqref="AF123:AL123 Q124:AL125">
    <cfRule type="expression" priority="8">
      <formula>$T$84&lt;&gt;""</formula>
    </cfRule>
  </conditionalFormatting>
  <conditionalFormatting sqref="AK135:AL137">
    <cfRule type="expression" priority="6">
      <formula>$T$84&lt;&gt;""</formula>
    </cfRule>
  </conditionalFormatting>
  <conditionalFormatting sqref="AK147:AL149">
    <cfRule type="expression" priority="5">
      <formula>$T$84&lt;&gt;""</formula>
    </cfRule>
  </conditionalFormatting>
  <conditionalFormatting sqref="AM115:XFD143 R120:W123 Y120:AD123 AM150:XFD162">
    <cfRule type="expression" priority="7">
      <formula>$T$84&lt;&gt;""</formula>
    </cfRule>
  </conditionalFormatting>
  <conditionalFormatting sqref="AV144:XFD146 BA147:XFD149">
    <cfRule type="expression" priority="16">
      <formula>$T$84&lt;&gt;""</formula>
    </cfRule>
  </conditionalFormatting>
  <dataValidations disablePrompts="1" count="10">
    <dataValidation type="list" operator="greaterThan" allowBlank="1" showInputMessage="1" showErrorMessage="1" sqref="N94:R94 N96:R96 N98:R98 W94:AA94 W96:AA96 W98:AA98 AF94:AJ94 AF96:AJ96 AF98:AJ98" xr:uid="{00000000-0002-0000-1300-000000000000}">
      <formula1>工事届用用途コード_2410</formula1>
    </dataValidation>
    <dataValidation type="list" allowBlank="1" showInputMessage="1" showErrorMessage="1" sqref="J88:AJ89" xr:uid="{00000000-0002-0000-1300-000001000000}">
      <formula1>工事届用構造コード_2410</formula1>
    </dataValidation>
    <dataValidation type="list" allowBlank="1" showInputMessage="1" showErrorMessage="1" sqref="J86:AJ86" xr:uid="{00000000-0002-0000-1300-000002000000}">
      <formula1>工事届用用途コード_2410</formula1>
    </dataValidation>
    <dataValidation type="list" allowBlank="1" showInputMessage="1" showErrorMessage="1" sqref="J81:R81 L153:S153" xr:uid="{00000000-0002-0000-1300-000003000000}">
      <formula1>工事届用主要用途_2410</formula1>
    </dataValidation>
    <dataValidation type="whole" allowBlank="1" showInputMessage="1" showErrorMessage="1" error="エラー07" sqref="K103:P103 T103:Y103 AC103:AH103" xr:uid="{00000000-0002-0000-1300-000004000000}">
      <formula1>1</formula1>
      <formula2>100</formula2>
    </dataValidation>
    <dataValidation type="whole" allowBlank="1" showInputMessage="1" showErrorMessage="1" error="エラー77_x000a_" sqref="K105:P105 T105:Y105 AC105:AH105" xr:uid="{00000000-0002-0000-1300-000005000000}">
      <formula1>0</formula1>
      <formula2>100</formula2>
    </dataValidation>
    <dataValidation type="decimal" operator="greaterThan" allowBlank="1" showInputMessage="1" showErrorMessage="1" sqref="K93:N93 L159:L161 T93:W93 AC93:AF93" xr:uid="{00000000-0002-0000-1300-000006000000}">
      <formula1>0</formula1>
    </dataValidation>
    <dataValidation type="decimal" operator="greaterThan" allowBlank="1" showInputMessage="1" showErrorMessage="1" error="エラー08" sqref="AA109:AD109" xr:uid="{00000000-0002-0000-1300-000007000000}">
      <formula1>0</formula1>
    </dataValidation>
    <dataValidation operator="greaterThan" allowBlank="1" showInputMessage="1" showErrorMessage="1" sqref="K94:K99 N95 N97 R95 R97 R99 T94:T99 AA95 AA97 AA99 AC94:AC99 AJ95 AJ97 AJ99" xr:uid="{00000000-0002-0000-1300-000008000000}"/>
    <dataValidation type="list" allowBlank="1" showInputMessage="1" sqref="J65:J68 J87 J102 J117:J123 J129:J135 J141:J147 L154:L155 L158 P117 P129 P141 Q120:Q123 Q132:Q135 Q144:Q147 Q158 R65:R66 R118 R130 R142 S87 S102 T119 T131 T143 U67:U68 V158 X120:X123 X132:X135 X144:X147 X154:X155 Y118 Y130 Y142 AB65:AB66 AB87 AB102 AE68 AE123 AE135 AE147" xr:uid="{00000000-0002-0000-1300-000009000000}">
      <formula1>"□,☑"</formula1>
    </dataValidation>
  </dataValidations>
  <printOptions horizontalCentered="1"/>
  <pageMargins left="0.70866141732283472" right="0.70866141732283472" top="0.74803149606299213" bottom="0.74803149606299213" header="0.31496062992125984" footer="0.31496062992125984"/>
  <pageSetup paperSize="9" scale="91" fitToHeight="0" orientation="portrait" blackAndWhite="1" r:id="rId1"/>
  <rowBreaks count="2" manualBreakCount="2">
    <brk id="55" max="16383" man="1"/>
    <brk id="111"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6:V1492"/>
  <sheetViews>
    <sheetView topLeftCell="A1240" workbookViewId="0">
      <selection activeCell="F1269" sqref="F1269"/>
    </sheetView>
  </sheetViews>
  <sheetFormatPr defaultColWidth="9" defaultRowHeight="15" customHeight="1"/>
  <cols>
    <col min="1" max="1" width="15.6640625" style="14" customWidth="1"/>
    <col min="2" max="2" width="31.33203125" style="14" customWidth="1"/>
    <col min="3" max="3" width="37.88671875" style="14" customWidth="1"/>
    <col min="4" max="4" width="15.6640625" style="14" customWidth="1"/>
    <col min="5" max="5" width="42.21875" style="14" customWidth="1"/>
    <col min="6" max="6" width="27.6640625" style="14" customWidth="1"/>
    <col min="7" max="7" width="35.6640625" style="14" customWidth="1"/>
    <col min="8" max="8" width="9" style="14" customWidth="1"/>
    <col min="9" max="16384" width="9" style="14"/>
  </cols>
  <sheetData>
    <row r="6" spans="1:8" ht="15" customHeight="1">
      <c r="A6" s="14" t="s">
        <v>59</v>
      </c>
      <c r="C6" s="14" t="s">
        <v>60</v>
      </c>
      <c r="D6" s="14" t="s">
        <v>61</v>
      </c>
      <c r="E6" s="14" t="s">
        <v>62</v>
      </c>
      <c r="F6" s="14" t="s">
        <v>63</v>
      </c>
      <c r="G6" s="117" t="s">
        <v>400</v>
      </c>
    </row>
    <row r="7" spans="1:8" ht="15" customHeight="1">
      <c r="A7" s="1" t="s">
        <v>28</v>
      </c>
      <c r="B7" s="26"/>
      <c r="C7" s="14" t="s">
        <v>29</v>
      </c>
      <c r="D7" s="151"/>
      <c r="E7" s="14" t="s">
        <v>30</v>
      </c>
      <c r="F7" s="151" t="str">
        <f>IF(_output_title="","",_output_title)</f>
        <v/>
      </c>
    </row>
    <row r="8" spans="1:8" ht="15" customHeight="1">
      <c r="A8" s="8"/>
      <c r="B8" s="116"/>
      <c r="D8" s="151"/>
      <c r="F8" s="151"/>
    </row>
    <row r="9" spans="1:8" ht="15" customHeight="1">
      <c r="A9" s="1" t="s">
        <v>25</v>
      </c>
      <c r="B9" s="26"/>
      <c r="C9" s="14" t="s">
        <v>26</v>
      </c>
      <c r="D9" s="151" t="s">
        <v>3704</v>
      </c>
      <c r="E9" s="14" t="s">
        <v>27</v>
      </c>
      <c r="F9" s="151" t="str">
        <f>IF(_output_sheetname="","",_output_sheetname)</f>
        <v>受付連絡票</v>
      </c>
    </row>
    <row r="10" spans="1:8" ht="15" customHeight="1">
      <c r="A10" s="8"/>
      <c r="B10" s="116"/>
      <c r="D10" s="151"/>
      <c r="F10" s="151"/>
    </row>
    <row r="11" spans="1:8" ht="15" customHeight="1">
      <c r="A11" s="44" t="s">
        <v>633</v>
      </c>
      <c r="B11" s="45"/>
      <c r="C11" s="14" t="s">
        <v>64</v>
      </c>
      <c r="D11" s="151" t="s">
        <v>1215</v>
      </c>
      <c r="E11" s="14" t="s">
        <v>111</v>
      </c>
      <c r="F11" s="151" t="str">
        <f>IF(wsjob_TARGET_KIND__label="","",wsjob_TARGET_KIND__label)</f>
        <v>建築物</v>
      </c>
      <c r="G11" s="15"/>
      <c r="H11" s="15"/>
    </row>
    <row r="12" spans="1:8" ht="62.1" customHeight="1">
      <c r="A12" s="81"/>
      <c r="B12" s="75" t="s">
        <v>1212</v>
      </c>
      <c r="C12" s="14" t="s">
        <v>1232</v>
      </c>
      <c r="D12" s="151">
        <v>100</v>
      </c>
      <c r="E12" s="14" t="s">
        <v>1231</v>
      </c>
      <c r="F12" s="151" t="str">
        <f ca="1">IF(wsjob_JOB_SET_KIND="","",IF(ISERROR(MATCH(wsjob_JOB_SET_KIND,cls_JOB_SET_KIND_erea,0)),"未設定コード",OFFSET(cls_JOB_SET_KIND_base_point,MATCH(wsjob_JOB_SET_KIND,cls_JOB_SET_KIND_erea,0),0)))</f>
        <v>基準法</v>
      </c>
      <c r="G12" s="55" t="s">
        <v>1213</v>
      </c>
      <c r="H12" s="15"/>
    </row>
    <row r="13" spans="1:8" ht="62.1" customHeight="1">
      <c r="A13" s="81"/>
      <c r="B13" s="75" t="s">
        <v>1211</v>
      </c>
      <c r="C13" s="14" t="s">
        <v>393</v>
      </c>
      <c r="D13" s="151">
        <v>1</v>
      </c>
      <c r="E13" s="14" t="s">
        <v>394</v>
      </c>
      <c r="F13" s="151" t="str">
        <f ca="1">IF(wsjob_TARGET_KIND="","",IF(ISERROR(MATCH(wsjob_TARGET_KIND,cls_TARGET_KIND_erea,0)),"未設定コード",OFFSET(cls_TARGET_KIND_base_point,MATCH(wsjob_TARGET_KIND,cls_TARGET_KIND_erea,0),0)))</f>
        <v>建築物</v>
      </c>
      <c r="G13" s="55" t="s">
        <v>1210</v>
      </c>
      <c r="H13" s="15"/>
    </row>
    <row r="14" spans="1:8" ht="16.5" customHeight="1">
      <c r="A14" s="81"/>
      <c r="B14" s="75" t="s">
        <v>1215</v>
      </c>
      <c r="D14" s="15"/>
      <c r="E14" s="14" t="s">
        <v>2562</v>
      </c>
      <c r="F14" s="151" t="str">
        <f>IF(wsjob_TARGET_KIND=1,"■","□")</f>
        <v>■</v>
      </c>
      <c r="G14" s="55"/>
      <c r="H14" s="15"/>
    </row>
    <row r="15" spans="1:8" ht="16.5" customHeight="1">
      <c r="A15" s="81"/>
      <c r="B15" s="75" t="s">
        <v>1216</v>
      </c>
      <c r="D15" s="15"/>
      <c r="E15" s="14" t="s">
        <v>2563</v>
      </c>
      <c r="F15" s="151" t="str">
        <f>IF(wsjob_TARGET_KIND=2,"■","□")</f>
        <v>□</v>
      </c>
      <c r="G15" s="55"/>
      <c r="H15" s="15"/>
    </row>
    <row r="16" spans="1:8" ht="16.5" customHeight="1">
      <c r="A16" s="81"/>
      <c r="B16" s="75" t="s">
        <v>2704</v>
      </c>
      <c r="D16" s="15"/>
      <c r="E16" s="14" t="s">
        <v>2707</v>
      </c>
      <c r="F16" s="151" t="str">
        <f>IF(wsjob_TARGET_KIND=3,"■","□")</f>
        <v>□</v>
      </c>
      <c r="G16" s="55"/>
      <c r="H16" s="15"/>
    </row>
    <row r="17" spans="1:8" ht="16.5" customHeight="1">
      <c r="A17" s="81"/>
      <c r="B17" s="75" t="s">
        <v>2705</v>
      </c>
      <c r="D17" s="15"/>
      <c r="E17" s="14" t="s">
        <v>2709</v>
      </c>
      <c r="F17" s="151" t="str">
        <f>IF(wsjob_TARGET_KIND=4,"■","□")</f>
        <v>□</v>
      </c>
      <c r="G17" s="55"/>
      <c r="H17" s="15"/>
    </row>
    <row r="18" spans="1:8" ht="16.5" customHeight="1">
      <c r="A18" s="81"/>
      <c r="B18" s="75" t="s">
        <v>2706</v>
      </c>
      <c r="D18" s="15"/>
      <c r="E18" s="14" t="s">
        <v>2708</v>
      </c>
      <c r="F18" s="151" t="str">
        <f>IF(wsjob_TARGET_KIND=5,"■","□")</f>
        <v>□</v>
      </c>
      <c r="G18" s="55"/>
      <c r="H18" s="15"/>
    </row>
    <row r="19" spans="1:8" ht="62.1" customHeight="1">
      <c r="A19" s="81"/>
      <c r="B19" s="75" t="s">
        <v>1209</v>
      </c>
      <c r="C19" s="14" t="s">
        <v>391</v>
      </c>
      <c r="D19" s="151">
        <v>104</v>
      </c>
      <c r="E19" s="14" t="s">
        <v>392</v>
      </c>
      <c r="F19" s="151" t="str">
        <f ca="1">IF(wsjob_JOB_KIND="","",IF(ISERROR(MATCH(wsjob_JOB_KIND,cls_JOB_KIND_erea,0)),"未設定コード",OFFSET(cls_JOB_KIND_base_point,MATCH(wsjob_JOB_KIND,cls_JOB_KIND_erea,0),0)))</f>
        <v>完了検査</v>
      </c>
      <c r="G19" s="55" t="s">
        <v>1230</v>
      </c>
      <c r="H19" s="15"/>
    </row>
    <row r="20" spans="1:8" ht="16.5" customHeight="1">
      <c r="A20" s="215"/>
      <c r="B20" s="147"/>
      <c r="D20" s="15"/>
      <c r="E20" s="14" t="s">
        <v>2647</v>
      </c>
      <c r="F20" s="151" t="str">
        <f>IF(OR(wsjob_JOB_KIND=101,wsjob_JOB_KIND=102),"■","□")</f>
        <v>□</v>
      </c>
      <c r="G20" s="55"/>
      <c r="H20" s="15"/>
    </row>
    <row r="21" spans="1:8" ht="16.5" customHeight="1">
      <c r="A21" s="215"/>
      <c r="B21" s="147"/>
      <c r="D21" s="15"/>
      <c r="E21" s="14" t="s">
        <v>2648</v>
      </c>
      <c r="F21" s="151" t="str">
        <f>IF(wsjob_JOB_KIND=103,"■","□")</f>
        <v>□</v>
      </c>
      <c r="G21" s="55"/>
      <c r="H21" s="15"/>
    </row>
    <row r="22" spans="1:8" ht="16.5" customHeight="1">
      <c r="A22" s="215"/>
      <c r="B22" s="147"/>
      <c r="D22" s="15"/>
      <c r="E22" s="14" t="s">
        <v>2649</v>
      </c>
      <c r="F22" s="151" t="str">
        <f>IF(wsjob_JOB_KIND=104,"■","□")</f>
        <v>■</v>
      </c>
      <c r="G22" s="55"/>
      <c r="H22" s="15"/>
    </row>
    <row r="23" spans="1:8" ht="43.2">
      <c r="A23" s="82"/>
      <c r="B23" s="83" t="s">
        <v>3030</v>
      </c>
      <c r="C23" s="14" t="s">
        <v>3031</v>
      </c>
      <c r="D23" s="42">
        <v>9</v>
      </c>
      <c r="E23" s="14" t="s">
        <v>3032</v>
      </c>
      <c r="F23" s="151">
        <f t="array" ref="F23">IF(wsjob_JOB_INPUT_VERSION="","",wsjob_JOB_INPUT_VERSION)</f>
        <v>9</v>
      </c>
      <c r="G23" s="11" t="s">
        <v>3033</v>
      </c>
      <c r="H23" s="15"/>
    </row>
    <row r="24" spans="1:8" ht="15" customHeight="1">
      <c r="A24" s="132"/>
      <c r="B24" s="133"/>
      <c r="D24" s="15"/>
      <c r="F24" s="15"/>
      <c r="G24" s="15"/>
      <c r="H24" s="15"/>
    </row>
    <row r="25" spans="1:8" ht="15" customHeight="1">
      <c r="A25" s="154" t="s">
        <v>2270</v>
      </c>
      <c r="B25" s="155"/>
    </row>
    <row r="26" spans="1:8" ht="15" customHeight="1">
      <c r="A26" s="156"/>
      <c r="B26" s="158" t="s">
        <v>2332</v>
      </c>
      <c r="E26" s="14" t="s">
        <v>2331</v>
      </c>
      <c r="F26" s="42">
        <f ca="1">IF(wsjob_JOB_KIND="","",IF(ISERROR(MATCH(wsjob_JOB_KIND,cls_JOB_KIND_erea,0)),"",OFFSET(cls_JOB_KIND_base_point,MATCH(wsjob_JOB_KIND,cls_JOB_KIND_erea,0),1)))</f>
        <v>4</v>
      </c>
      <c r="G26" s="14" t="s">
        <v>2330</v>
      </c>
    </row>
    <row r="27" spans="1:8" ht="15" customHeight="1">
      <c r="A27" s="156"/>
      <c r="B27" s="158" t="s">
        <v>2271</v>
      </c>
      <c r="E27" s="14" t="s">
        <v>2346</v>
      </c>
      <c r="F27" s="42" t="str">
        <f ca="1">IF(AND(chk_JOB_KIND_kakunin=1,wskakunin_koutei01_KOUTEI_TEXT&lt;&gt;""),1,"")</f>
        <v/>
      </c>
    </row>
    <row r="28" spans="1:8" ht="15" customHeight="1">
      <c r="A28" s="156"/>
      <c r="B28" s="158" t="s">
        <v>2272</v>
      </c>
      <c r="E28" s="14" t="s">
        <v>2347</v>
      </c>
      <c r="F28" s="42" t="str">
        <f ca="1">IF(AND(chk_JOB_KIND_kakunin=1,wskakunin_koutei02_KOUTEI_TEXT&lt;&gt;""),1,"")</f>
        <v/>
      </c>
    </row>
    <row r="29" spans="1:8" ht="15" customHeight="1">
      <c r="A29" s="156"/>
      <c r="B29" s="158" t="s">
        <v>2273</v>
      </c>
      <c r="E29" s="14" t="s">
        <v>2348</v>
      </c>
      <c r="F29" s="42" t="str">
        <f ca="1">IF(AND(chk_JOB_KIND_kakunin=1,wskakunin_koutei03_KOUTEI_TEXT&lt;&gt;""),1,"")</f>
        <v/>
      </c>
    </row>
    <row r="30" spans="1:8" ht="15" customHeight="1">
      <c r="A30" s="156"/>
      <c r="B30" s="184" t="s">
        <v>2344</v>
      </c>
      <c r="E30" s="14" t="s">
        <v>2349</v>
      </c>
      <c r="F30" s="42">
        <f ca="1">IF(chk_JOB_KIND_kakunin=3,IF(wskakunin_koutei_izen01_KOUTEI_TEXT="",30,IF(wskakunin_koutei_izen02_KOUTEI_TEXT&lt;&gt;"",32,31)),IF(chk_JOB_KIND_kakunin=1,10,IF(chk_JOB_KIND_kakunin=4,40,"")))</f>
        <v>40</v>
      </c>
      <c r="G30" s="14" t="s">
        <v>2345</v>
      </c>
    </row>
    <row r="31" spans="1:8" ht="15" customHeight="1">
      <c r="A31" s="156"/>
      <c r="B31" s="184" t="s">
        <v>43</v>
      </c>
      <c r="E31" s="14" t="s">
        <v>2329</v>
      </c>
      <c r="F31" s="42" t="str">
        <f ca="1">IF(chk_JOB_KIND_kakunin=1,cst_shinsei_ISSUE_NO,cst_wskakunin_LAST_ISSUE_NO)</f>
        <v>第UHEC建確R070030号</v>
      </c>
      <c r="G31" s="14" t="s">
        <v>2328</v>
      </c>
    </row>
    <row r="32" spans="1:8" ht="15" customHeight="1">
      <c r="A32" s="157"/>
      <c r="B32" s="159"/>
      <c r="E32" s="14" t="s">
        <v>2560</v>
      </c>
      <c r="F32" s="42">
        <f ca="1">IF(chk_JOB_KIND_kakunin=1,cst_shinsei_ISSUE_DATE,cst_wskakunin_LAST_ISSUE_DATE)</f>
        <v>45922</v>
      </c>
    </row>
    <row r="33" spans="1:8" ht="15" customHeight="1">
      <c r="A33" s="32"/>
    </row>
    <row r="34" spans="1:8" ht="15" customHeight="1">
      <c r="A34" s="219" t="s">
        <v>2630</v>
      </c>
      <c r="B34" s="220"/>
      <c r="C34" s="14" t="s">
        <v>2631</v>
      </c>
      <c r="D34" s="253"/>
      <c r="E34" s="14" t="s">
        <v>2632</v>
      </c>
      <c r="F34" s="253" t="str">
        <f>IF(shinsei_PROVO_DATE="","",shinsei_PROVO_DATE)</f>
        <v/>
      </c>
    </row>
    <row r="35" spans="1:8" ht="15" customHeight="1">
      <c r="A35" s="219" t="s">
        <v>2633</v>
      </c>
      <c r="B35" s="220"/>
      <c r="C35" s="14" t="s">
        <v>2634</v>
      </c>
      <c r="D35" s="235"/>
      <c r="E35" s="14" t="s">
        <v>2635</v>
      </c>
      <c r="F35" s="151" t="str">
        <f>IF(shinsei_PROVO_NO="","",shinsei_PROVO_NO)</f>
        <v/>
      </c>
    </row>
    <row r="36" spans="1:8" ht="15" customHeight="1">
      <c r="A36" s="32"/>
    </row>
    <row r="37" spans="1:8" ht="15" customHeight="1">
      <c r="A37" s="160" t="s">
        <v>2297</v>
      </c>
      <c r="B37" s="161"/>
      <c r="D37" s="15"/>
      <c r="F37" s="15"/>
      <c r="G37" s="15"/>
      <c r="H37" s="15"/>
    </row>
    <row r="38" spans="1:8" ht="15" customHeight="1">
      <c r="A38" s="162" t="s">
        <v>41</v>
      </c>
      <c r="B38" s="163"/>
      <c r="C38" s="14" t="s">
        <v>65</v>
      </c>
      <c r="D38" s="233" t="s">
        <v>34</v>
      </c>
      <c r="E38" s="14" t="s">
        <v>83</v>
      </c>
      <c r="F38" s="151" t="str">
        <f>IF(shinsei_UKETUKE_NO="","",shinsei_UKETUKE_NO)</f>
        <v/>
      </c>
      <c r="G38" s="15"/>
      <c r="H38" s="15"/>
    </row>
    <row r="39" spans="1:8" ht="15" customHeight="1">
      <c r="A39" s="164"/>
      <c r="B39" s="165"/>
      <c r="D39" s="32"/>
      <c r="F39" s="15"/>
      <c r="G39" s="15"/>
      <c r="H39" s="15"/>
    </row>
    <row r="40" spans="1:8" ht="15" customHeight="1">
      <c r="A40" s="166" t="s">
        <v>42</v>
      </c>
      <c r="B40" s="167"/>
      <c r="C40" s="14" t="s">
        <v>66</v>
      </c>
      <c r="D40" s="253"/>
      <c r="E40" s="14" t="s">
        <v>84</v>
      </c>
      <c r="F40" s="253" t="str">
        <f>IF(shinsei_HIKIUKE_DATE="","",shinsei_HIKIUKE_DATE)</f>
        <v/>
      </c>
      <c r="G40" s="15"/>
      <c r="H40" s="15"/>
    </row>
    <row r="41" spans="1:8" ht="15" customHeight="1">
      <c r="A41" s="168"/>
      <c r="B41" s="169"/>
      <c r="D41" s="98"/>
      <c r="F41" s="15"/>
      <c r="G41" s="15"/>
      <c r="H41" s="15"/>
    </row>
    <row r="42" spans="1:8" ht="15" customHeight="1">
      <c r="A42" s="170" t="s">
        <v>43</v>
      </c>
      <c r="B42" s="171"/>
      <c r="C42" s="14" t="s">
        <v>67</v>
      </c>
      <c r="D42" s="233"/>
      <c r="E42" s="14" t="s">
        <v>112</v>
      </c>
      <c r="F42" s="151" t="str">
        <f>IF(shinsei_ISSUE_NO="","",shinsei_ISSUE_NO)</f>
        <v/>
      </c>
      <c r="G42" s="15"/>
      <c r="H42" s="15"/>
    </row>
    <row r="43" spans="1:8" ht="15" customHeight="1">
      <c r="A43" s="224"/>
      <c r="B43" s="171"/>
      <c r="D43" s="32"/>
      <c r="E43" s="14" t="s">
        <v>2679</v>
      </c>
      <c r="F43" s="151" t="str">
        <f>IF(shinsei_ISSUE_NO="","","第"&amp;shinsei_ISSUE_NO&amp;"号")</f>
        <v/>
      </c>
      <c r="G43" s="15"/>
      <c r="H43" s="15"/>
    </row>
    <row r="44" spans="1:8" ht="15" customHeight="1">
      <c r="A44" s="231"/>
      <c r="B44" s="171"/>
      <c r="C44" s="14" t="s">
        <v>2654</v>
      </c>
      <c r="D44" s="235"/>
      <c r="E44" s="14" t="s">
        <v>2655</v>
      </c>
      <c r="F44" s="151" t="str">
        <f>IF(shinsei_KAKU_SUMI_NO="","",shinsei_KAKU_SUMI_NO)</f>
        <v/>
      </c>
      <c r="G44" s="15"/>
      <c r="H44" s="15"/>
    </row>
    <row r="45" spans="1:8" ht="15" customHeight="1">
      <c r="A45" s="231"/>
      <c r="B45" s="171" t="s">
        <v>2780</v>
      </c>
      <c r="E45" s="14" t="s">
        <v>2781</v>
      </c>
      <c r="F45" s="151" t="str">
        <f ca="1">IF(OR(cst_wsjob_JOB_KIND="確認申請",cst_wsjob_JOB_KIND="計画変更"),cst_shinsei_ISSUE_NO,cst_shinsei_KAKU_SUMI_NO)</f>
        <v/>
      </c>
      <c r="G45" s="15"/>
      <c r="H45" s="15"/>
    </row>
    <row r="46" spans="1:8" ht="15" customHeight="1">
      <c r="A46" s="166" t="s">
        <v>44</v>
      </c>
      <c r="B46" s="167"/>
      <c r="G46" s="15"/>
      <c r="H46" s="15"/>
    </row>
    <row r="47" spans="1:8" ht="15" customHeight="1">
      <c r="A47" s="231"/>
      <c r="B47" s="271"/>
      <c r="C47" s="14" t="s">
        <v>396</v>
      </c>
      <c r="D47" s="253"/>
      <c r="E47" s="14" t="s">
        <v>85</v>
      </c>
      <c r="F47" s="253" t="str">
        <f>IF(shinsei_ISSUE_DATE="","",shinsei_ISSUE_DATE)</f>
        <v/>
      </c>
      <c r="G47" s="15"/>
      <c r="H47" s="15"/>
    </row>
    <row r="48" spans="1:8" ht="15" customHeight="1">
      <c r="A48" s="231"/>
      <c r="B48" s="271"/>
      <c r="C48" s="14" t="s">
        <v>2776</v>
      </c>
      <c r="D48" s="235"/>
      <c r="E48" s="14" t="s">
        <v>2778</v>
      </c>
      <c r="F48" s="42" t="str">
        <f>IF(shinsei_KAKU_SUMI_KOUFU_DATE="","",shinsei_KAKU_SUMI_KOUFU_DATE)</f>
        <v/>
      </c>
      <c r="G48" s="15"/>
      <c r="H48" s="15"/>
    </row>
    <row r="49" spans="1:8" ht="15" customHeight="1">
      <c r="A49" s="172"/>
      <c r="B49" s="272" t="s">
        <v>2780</v>
      </c>
      <c r="E49" s="14" t="s">
        <v>2782</v>
      </c>
      <c r="F49" s="42" t="str">
        <f ca="1">IF(OR(cst_wsjob_JOB_KIND="確認申請",cst_wsjob_JOB_KIND="計画変更"),cst_shinsei_ISSUE_DATE,cst_KAKU_SUMI_KOUFU_DATE)</f>
        <v/>
      </c>
      <c r="G49" s="15"/>
      <c r="H49" s="15"/>
    </row>
    <row r="50" spans="1:8" ht="15" customHeight="1">
      <c r="A50" s="170" t="s">
        <v>410</v>
      </c>
      <c r="B50" s="270"/>
      <c r="G50" s="15"/>
      <c r="H50" s="15"/>
    </row>
    <row r="51" spans="1:8" ht="15" customHeight="1">
      <c r="A51" s="231"/>
      <c r="B51" s="171"/>
      <c r="C51" s="15" t="s">
        <v>2502</v>
      </c>
      <c r="D51" s="151"/>
      <c r="E51" s="14" t="s">
        <v>2503</v>
      </c>
      <c r="F51" s="42" t="str">
        <f>IF(shinsei_ISSUE_KOUFU_NAME="","",shinsei_ISSUE_KOUFU_NAME)</f>
        <v/>
      </c>
    </row>
    <row r="52" spans="1:8" ht="15" customHeight="1">
      <c r="A52" s="170"/>
      <c r="B52" s="171"/>
      <c r="C52" s="14" t="s">
        <v>2777</v>
      </c>
      <c r="D52" s="235"/>
      <c r="E52" s="14" t="s">
        <v>2779</v>
      </c>
      <c r="F52" s="42" t="str">
        <f>IF(shinsei_KAKU_SUMI_KOUFU_NAME="","",shinsei_KAKU_SUMI_KOUFU_NAME)</f>
        <v/>
      </c>
      <c r="G52" s="15"/>
      <c r="H52" s="15"/>
    </row>
    <row r="53" spans="1:8" ht="15" customHeight="1">
      <c r="A53" s="224"/>
      <c r="B53" s="171" t="s">
        <v>2780</v>
      </c>
      <c r="E53" s="14" t="s">
        <v>2783</v>
      </c>
      <c r="F53" s="42" t="str">
        <f ca="1">IF(OR(cst_wsjob_JOB_KIND="確認申請",cst_wsjob_JOB_KIND="計画変更"),cst_shinsei_ISSUE_KOUFU_NAME,cst_KAKU_SUMI_KOUFU_NAME)</f>
        <v/>
      </c>
      <c r="G53" s="15"/>
      <c r="H53" s="15"/>
    </row>
    <row r="54" spans="1:8" ht="15" customHeight="1">
      <c r="A54" s="224"/>
      <c r="B54" s="171"/>
      <c r="F54" s="15"/>
      <c r="G54" s="15"/>
      <c r="H54" s="15"/>
    </row>
    <row r="55" spans="1:8" ht="15" customHeight="1">
      <c r="A55" s="210" t="s">
        <v>2601</v>
      </c>
      <c r="B55" s="211"/>
      <c r="D55" s="15"/>
      <c r="F55" s="15"/>
      <c r="G55" s="15"/>
      <c r="H55" s="15"/>
    </row>
    <row r="56" spans="1:8" ht="15" customHeight="1">
      <c r="A56" s="212"/>
      <c r="B56" s="213" t="s">
        <v>420</v>
      </c>
      <c r="C56" s="14" t="s">
        <v>2602</v>
      </c>
      <c r="D56" s="15"/>
      <c r="E56" s="14" t="s">
        <v>2603</v>
      </c>
      <c r="F56" s="15" t="str">
        <f>IF(shinsei_build_p6_01_PAGE6_KOUZOU_KEISAN_KIND__005=1,"■","□")</f>
        <v>□</v>
      </c>
      <c r="G56" s="15"/>
      <c r="H56" s="15"/>
    </row>
    <row r="57" spans="1:8" ht="15" customHeight="1">
      <c r="A57" s="212"/>
      <c r="B57" s="213" t="s">
        <v>2604</v>
      </c>
      <c r="C57" s="14" t="s">
        <v>2605</v>
      </c>
      <c r="D57" s="15"/>
      <c r="E57" s="14" t="s">
        <v>2606</v>
      </c>
      <c r="F57" s="15" t="str">
        <f>IF(shinsei_build_p6_01_PAGE6_KOUZOU_KEISAN_KIND__004=1,"■","□")</f>
        <v>□</v>
      </c>
      <c r="G57" s="15"/>
      <c r="H57" s="15"/>
    </row>
    <row r="58" spans="1:8" ht="15" customHeight="1">
      <c r="A58" s="212"/>
      <c r="B58" s="213" t="s">
        <v>2607</v>
      </c>
      <c r="C58" s="14" t="s">
        <v>2608</v>
      </c>
      <c r="D58" s="15"/>
      <c r="E58" s="14" t="s">
        <v>2609</v>
      </c>
      <c r="F58" s="15" t="str">
        <f>IF(shinsei_build_p6_01_PAGE6_KOUZOU_KEISAN_KIND__002=1,"■","□")</f>
        <v>□</v>
      </c>
      <c r="G58" s="15"/>
      <c r="H58" s="15"/>
    </row>
    <row r="59" spans="1:8" ht="15" customHeight="1">
      <c r="A59" s="132" t="s">
        <v>2672</v>
      </c>
      <c r="B59" s="133"/>
      <c r="C59" s="14" t="s">
        <v>2673</v>
      </c>
      <c r="D59" s="151" t="s">
        <v>3665</v>
      </c>
      <c r="E59" s="14" t="s">
        <v>2674</v>
      </c>
      <c r="F59" s="151" t="str">
        <f>IF(wskakunin_KIKAN_NAME="","",wskakunin_KIKAN_NAME)</f>
        <v>株式会社　都市居住評価センター</v>
      </c>
      <c r="G59" s="15"/>
      <c r="H59" s="15"/>
    </row>
    <row r="60" spans="1:8" ht="15" customHeight="1">
      <c r="A60" s="2" t="s">
        <v>397</v>
      </c>
      <c r="B60" s="136"/>
      <c r="G60" s="15"/>
      <c r="H60" s="15"/>
    </row>
    <row r="61" spans="1:8" ht="15" customHeight="1">
      <c r="A61" s="9"/>
      <c r="B61" s="137" t="s">
        <v>397</v>
      </c>
      <c r="C61" s="14" t="s">
        <v>2298</v>
      </c>
      <c r="D61" s="257"/>
      <c r="E61" s="14" t="s">
        <v>395</v>
      </c>
      <c r="F61" s="257" t="str">
        <f>IF(wskakunin_SHINSEI_DATE="","",wskakunin_SHINSEI_DATE)</f>
        <v/>
      </c>
      <c r="H61" s="15"/>
    </row>
    <row r="62" spans="1:8" ht="15" customHeight="1">
      <c r="A62" s="44" t="s">
        <v>409</v>
      </c>
      <c r="B62" s="47"/>
      <c r="G62" s="15"/>
      <c r="H62" s="15"/>
    </row>
    <row r="63" spans="1:8" ht="15" customHeight="1">
      <c r="A63" s="81"/>
      <c r="B63" s="135" t="s">
        <v>43</v>
      </c>
      <c r="C63" s="14" t="s">
        <v>412</v>
      </c>
      <c r="D63" s="235" t="s">
        <v>4154</v>
      </c>
      <c r="E63" s="14" t="s">
        <v>413</v>
      </c>
      <c r="F63" s="151" t="str">
        <f>IF(wskakunin_LAST_ISSUE_NO="","",wskakunin_LAST_ISSUE_NO)</f>
        <v>第UHEC建確R070030号</v>
      </c>
      <c r="G63" s="15"/>
      <c r="H63" s="15"/>
    </row>
    <row r="64" spans="1:8" ht="15" customHeight="1">
      <c r="A64" s="81"/>
      <c r="B64" s="135" t="s">
        <v>44</v>
      </c>
      <c r="C64" s="14" t="s">
        <v>414</v>
      </c>
      <c r="D64" s="253">
        <v>45922</v>
      </c>
      <c r="E64" s="14" t="s">
        <v>415</v>
      </c>
      <c r="F64" s="253">
        <f>IF(wskakunin_LAST_ISSUE_DATE="","",wskakunin_LAST_ISSUE_DATE)</f>
        <v>45922</v>
      </c>
      <c r="G64" s="15"/>
      <c r="H64" s="15"/>
    </row>
    <row r="65" spans="1:8" ht="15" customHeight="1">
      <c r="A65" s="81"/>
      <c r="B65" s="227" t="s">
        <v>410</v>
      </c>
      <c r="C65" s="14" t="s">
        <v>416</v>
      </c>
      <c r="D65" s="235" t="s">
        <v>4153</v>
      </c>
      <c r="E65" s="14" t="s">
        <v>417</v>
      </c>
      <c r="F65" s="151" t="str">
        <f>IF(wskakunin_LAST_ISSUE_NAME="","",wskakunin_LAST_ISSUE_NAME)</f>
        <v>株式会社　都市居住評価センター 代表取締役社長　野崎　豊</v>
      </c>
      <c r="G65" s="15"/>
      <c r="H65" s="15"/>
    </row>
    <row r="66" spans="1:8" ht="15" customHeight="1">
      <c r="A66" s="81"/>
      <c r="B66" s="135" t="s">
        <v>411</v>
      </c>
      <c r="C66" s="14" t="s">
        <v>418</v>
      </c>
      <c r="D66" s="235"/>
      <c r="E66" s="14" t="s">
        <v>419</v>
      </c>
      <c r="F66" s="151" t="str">
        <f>IF(wskakunin_P1_HENKOU_GAIYOU="","",wskakunin_P1_HENKOU_GAIYOU)</f>
        <v/>
      </c>
      <c r="G66" s="15"/>
      <c r="H66" s="15"/>
    </row>
    <row r="67" spans="1:8" ht="15" customHeight="1">
      <c r="A67" s="134"/>
      <c r="B67" s="138"/>
      <c r="G67" s="15"/>
      <c r="H67" s="15"/>
    </row>
    <row r="68" spans="1:8" ht="15" customHeight="1">
      <c r="A68" s="215"/>
      <c r="B68" s="216"/>
      <c r="C68" s="14" t="s">
        <v>4100</v>
      </c>
      <c r="D68" s="42"/>
      <c r="E68" s="14" t="s">
        <v>4101</v>
      </c>
      <c r="F68" s="42" t="str">
        <f>IF(wskakunin_P2_HENKOU_GAIYOU="","",wskakunin_P2_HENKOU_GAIYOU)</f>
        <v/>
      </c>
      <c r="G68" s="15"/>
      <c r="H68" s="15"/>
    </row>
    <row r="69" spans="1:8" ht="15" customHeight="1">
      <c r="A69" s="215"/>
      <c r="B69" s="216"/>
      <c r="G69" s="15"/>
      <c r="H69" s="15"/>
    </row>
    <row r="70" spans="1:8" ht="15" customHeight="1">
      <c r="A70" s="224" t="s">
        <v>2640</v>
      </c>
      <c r="B70" s="171"/>
      <c r="D70" s="98"/>
      <c r="E70" s="14" t="s">
        <v>2641</v>
      </c>
      <c r="F70" s="236" t="str">
        <f ca="1">IF(chk_JOB_KIND_kakunin=1,cst_shinsei_ISSUE_NO,cst_wskakunin_LAST_ISSUE_NO)</f>
        <v>第UHEC建確R070030号</v>
      </c>
      <c r="G70" s="15"/>
      <c r="H70" s="15"/>
    </row>
    <row r="71" spans="1:8" ht="15" customHeight="1">
      <c r="A71" s="224" t="s">
        <v>2642</v>
      </c>
      <c r="B71" s="171"/>
      <c r="D71" s="98"/>
      <c r="F71" s="15"/>
      <c r="G71" s="15"/>
      <c r="H71" s="15"/>
    </row>
    <row r="72" spans="1:8" ht="15" customHeight="1">
      <c r="A72" s="225" t="s">
        <v>2627</v>
      </c>
      <c r="B72" s="226"/>
      <c r="C72"/>
      <c r="D72" s="217"/>
      <c r="E72" s="14" t="s">
        <v>2628</v>
      </c>
      <c r="F72" s="237" t="str">
        <f ca="1">IF(OR(cst_wsjob_JOB_KIND=101,cst_wsjob_JOB_KIND=102),cst_shinsei_ISSUE_KOUFU_NAME,cst_wskakunin_LAST_ISSUE_NAME)</f>
        <v>株式会社　都市居住評価センター 代表取締役社長　野崎　豊</v>
      </c>
      <c r="G72" s="15"/>
      <c r="H72" s="15"/>
    </row>
    <row r="73" spans="1:8" ht="15" customHeight="1">
      <c r="A73" s="228" t="s">
        <v>2644</v>
      </c>
      <c r="B73" s="229"/>
      <c r="C73"/>
      <c r="D73" s="217"/>
      <c r="E73" s="14" t="s">
        <v>2643</v>
      </c>
      <c r="F73" s="238">
        <f ca="1">IF(chk_JOB_KIND_kakunin=1,cst_shinsei_ISSUE_DATE,cst_wskakunin_LAST_ISSUE_DATE)</f>
        <v>45922</v>
      </c>
      <c r="G73" s="15"/>
      <c r="H73" s="15"/>
    </row>
    <row r="74" spans="1:8" ht="15" customHeight="1">
      <c r="A74" s="215"/>
      <c r="B74" s="216"/>
      <c r="G74" s="15"/>
      <c r="H74" s="15"/>
    </row>
    <row r="75" spans="1:8" ht="15" customHeight="1">
      <c r="A75" s="46" t="s">
        <v>411</v>
      </c>
      <c r="B75" s="47"/>
      <c r="C75" s="14" t="s">
        <v>609</v>
      </c>
      <c r="D75" s="42"/>
      <c r="E75" s="14" t="s">
        <v>610</v>
      </c>
      <c r="F75" s="42" t="str">
        <f>IF(wskakunin_PAGE1_ALTERATION_NOTE="","",wskakunin_PAGE1_ALTERATION_NOTE)</f>
        <v/>
      </c>
    </row>
    <row r="76" spans="1:8" ht="15" customHeight="1">
      <c r="A76" s="49"/>
      <c r="B76" s="61"/>
    </row>
    <row r="77" spans="1:8" ht="15" customHeight="1">
      <c r="A77" s="50" t="s">
        <v>407</v>
      </c>
      <c r="B77" s="114"/>
      <c r="G77" s="15"/>
      <c r="H77" s="15"/>
    </row>
    <row r="78" spans="1:8" ht="15" customHeight="1">
      <c r="A78" s="110"/>
      <c r="B78" s="74" t="s">
        <v>406</v>
      </c>
      <c r="C78" s="14" t="s">
        <v>608</v>
      </c>
      <c r="D78" s="239" t="s">
        <v>4134</v>
      </c>
      <c r="E78" s="14" t="s">
        <v>408</v>
      </c>
      <c r="F78" s="239" t="str">
        <f>IF(wskakunin_APPLICANT_NAME="","",wskakunin_APPLICANT_NAME)</f>
        <v>株式会社ユーイック不動産 代表取締役社長 野崎　豊</v>
      </c>
      <c r="G78" s="15"/>
      <c r="H78" s="15"/>
    </row>
    <row r="79" spans="1:8" ht="15" customHeight="1">
      <c r="A79" s="115"/>
      <c r="B79" s="112"/>
      <c r="G79" s="15"/>
      <c r="H79" s="15"/>
    </row>
    <row r="80" spans="1:8" ht="15" customHeight="1">
      <c r="A80" s="44" t="s">
        <v>32</v>
      </c>
      <c r="B80" s="47"/>
      <c r="G80" s="15"/>
      <c r="H80" s="15"/>
    </row>
    <row r="81" spans="1:8" ht="15" customHeight="1">
      <c r="A81" s="81"/>
      <c r="B81" s="75" t="s">
        <v>35</v>
      </c>
      <c r="C81" s="14" t="s">
        <v>383</v>
      </c>
      <c r="D81" s="151" t="s">
        <v>4155</v>
      </c>
      <c r="E81" s="14" t="s">
        <v>384</v>
      </c>
      <c r="F81" s="151" t="str">
        <f>IF(wskakunin_owner1_JIMU_NAME="", "", wskakunin_owner1_JIMU_NAME)</f>
        <v>株式会社ユーイック不動産</v>
      </c>
      <c r="G81" s="15"/>
      <c r="H81" s="15"/>
    </row>
    <row r="82" spans="1:8" ht="15" customHeight="1">
      <c r="A82" s="81"/>
      <c r="B82" s="75" t="s">
        <v>99</v>
      </c>
      <c r="C82" s="14" t="s">
        <v>385</v>
      </c>
      <c r="D82" s="151" t="s">
        <v>4156</v>
      </c>
      <c r="E82" s="14" t="s">
        <v>386</v>
      </c>
      <c r="F82" s="151" t="str">
        <f>IF(wskakunin_owner1_JIMU_NAME_KANA="","",wskakunin_owner1_JIMU_NAME_KANA)</f>
        <v>ｶﾌﾞｼｷｶﾞｲｼｬﾕｰｲｯｸﾌﾄﾞｳｻﾝ</v>
      </c>
      <c r="G82" s="15"/>
      <c r="H82" s="15"/>
    </row>
    <row r="83" spans="1:8" ht="15" customHeight="1">
      <c r="A83" s="81"/>
      <c r="B83" s="75" t="s">
        <v>33</v>
      </c>
      <c r="C83" s="14" t="s">
        <v>387</v>
      </c>
      <c r="D83" s="151" t="s">
        <v>4159</v>
      </c>
      <c r="E83" s="14" t="s">
        <v>86</v>
      </c>
      <c r="F83" s="151" t="str">
        <f>IF(wskakunin_owner1_POST="", "", wskakunin_owner1_POST)</f>
        <v>代表取締役社長</v>
      </c>
      <c r="G83" s="15"/>
      <c r="H83" s="15"/>
    </row>
    <row r="84" spans="1:8" ht="15" customHeight="1">
      <c r="A84" s="81"/>
      <c r="B84" s="75" t="s">
        <v>100</v>
      </c>
      <c r="C84" s="14" t="s">
        <v>388</v>
      </c>
      <c r="D84" s="151" t="s">
        <v>4160</v>
      </c>
      <c r="E84" s="14" t="s">
        <v>389</v>
      </c>
      <c r="F84" s="151" t="str">
        <f>IF(wskakunin_owner1_POST_KANA="","",wskakunin_owner1_POST_KANA)</f>
        <v>ﾀﾞｲﾋｮｳﾄﾘｼﾏﾘﾔｸｼｬﾁｮｳ</v>
      </c>
      <c r="G84" s="15"/>
      <c r="H84" s="15"/>
    </row>
    <row r="85" spans="1:8" ht="15" customHeight="1">
      <c r="A85" s="81"/>
      <c r="B85" s="75" t="s">
        <v>7</v>
      </c>
      <c r="C85" s="14" t="s">
        <v>68</v>
      </c>
      <c r="D85" s="151" t="s">
        <v>4157</v>
      </c>
      <c r="E85" s="14" t="s">
        <v>87</v>
      </c>
      <c r="F85" s="151" t="str">
        <f>IF(wskakunin_owner1_NAME="", "", wskakunin_owner1_NAME)</f>
        <v>野崎　豊</v>
      </c>
      <c r="G85" s="15"/>
      <c r="H85" s="15"/>
    </row>
    <row r="86" spans="1:8" ht="15" customHeight="1">
      <c r="A86" s="48"/>
      <c r="B86" s="75" t="s">
        <v>101</v>
      </c>
      <c r="C86" s="14" t="s">
        <v>69</v>
      </c>
      <c r="D86" s="151" t="s">
        <v>4158</v>
      </c>
      <c r="E86" s="14" t="s">
        <v>88</v>
      </c>
      <c r="F86" s="151" t="str">
        <f>IF(wskakunin_owner1_NAME_KANA="","",wskakunin_owner1_NAME_KANA)</f>
        <v>ﾉｻﾞｷ　ﾕﾀｶ</v>
      </c>
      <c r="G86" s="15"/>
      <c r="H86" s="15"/>
    </row>
    <row r="87" spans="1:8" ht="15" customHeight="1">
      <c r="A87" s="48"/>
      <c r="B87" s="113" t="s">
        <v>102</v>
      </c>
      <c r="D87" s="15"/>
      <c r="E87" s="14" t="s">
        <v>390</v>
      </c>
      <c r="F87" s="151" t="str">
        <f>IF(wskakunin_owner1_JIMU_NAME_KANA="",cst_wskakunin_owner1_NAME_KANA,IF(wskakunin_owner1_POST_KANA="",cst_wskakunin_owner1_NAME_KANA,cst_wskakunin_owner1_JIMU_NAME_KANA&amp;"　"&amp;cst_wskakunin_owner1_POST_KANA&amp;"　"&amp;cst_wskakunin_owner1_NAME_KANA))</f>
        <v>ｶﾌﾞｼｷｶﾞｲｼｬﾕｰｲｯｸﾌﾄﾞｳｻﾝ　ﾀﾞｲﾋｮｳﾄﾘｼﾏﾘﾔｸｼｬﾁｮｳ　ﾉｻﾞｷ　ﾕﾀｶ</v>
      </c>
      <c r="G87" s="15"/>
      <c r="H87" s="15"/>
    </row>
    <row r="88" spans="1:8" ht="15" customHeight="1">
      <c r="A88" s="221"/>
      <c r="B88" s="113" t="s">
        <v>2663</v>
      </c>
      <c r="D88" s="15"/>
      <c r="E88" s="14" t="s">
        <v>2664</v>
      </c>
      <c r="F88" s="151" t="str">
        <f>IF(AND(cst_wskakunin_owner1_JIMU_NAME_KANA="",cst_wskakunin_owner1_POST_KANA=""),cst_wskakunin_owner1_NAME_KANA,IF(cst_wskakunin_owner1_JIMU_NAME_KANA="",cst_wskakunin_owner1_POST_KANA&amp;"　"&amp;cst_wskakunin_owner1_NAME_KANA,IF(cst_wskakunin_owner1_POST_KANA="",cst_wskakunin_owner1_JIMU_NAME_KANA&amp;"　"&amp;cst_wskakunin_owner1_NAME_KANA,cst_wskakunin_owner1_JIMU_NAME_KANA&amp;"　"&amp;cst_wskakunin_owner1_POST_KANA&amp;"　"&amp;cst_wskakunin_owner1_NAME_KANA)))</f>
        <v>ｶﾌﾞｼｷｶﾞｲｼｬﾕｰｲｯｸﾌﾄﾞｳｻﾝ　ﾀﾞｲﾋｮｳﾄﾘｼﾏﾘﾔｸｼｬﾁｮｳ　ﾉｻﾞｷ　ﾕﾀｶ</v>
      </c>
      <c r="G88" s="15"/>
      <c r="H88" s="15"/>
    </row>
    <row r="89" spans="1:8" ht="15" customHeight="1">
      <c r="A89" s="48"/>
      <c r="B89" s="75" t="s">
        <v>8</v>
      </c>
      <c r="C89" s="14" t="s">
        <v>70</v>
      </c>
      <c r="D89" s="233" t="s">
        <v>4148</v>
      </c>
      <c r="E89" s="14" t="s">
        <v>89</v>
      </c>
      <c r="F89" s="151" t="str">
        <f>IF(wskakunin_owner1_ZIP="", "", wskakunin_owner1_ZIP)</f>
        <v>105-0001</v>
      </c>
      <c r="G89" s="15"/>
      <c r="H89" s="15"/>
    </row>
    <row r="90" spans="1:8" ht="15" customHeight="1">
      <c r="A90" s="221"/>
      <c r="B90" s="75"/>
      <c r="E90" s="14" t="s">
        <v>2645</v>
      </c>
      <c r="F90" s="151" t="str">
        <f>IF(wskakunin_owner1_ZIP="","",LEFT(wskakunin_owner1_ZIP,3)&amp;RIGHT(wskakunin_owner1_ZIP,4))</f>
        <v>1050001</v>
      </c>
      <c r="G90" s="15"/>
      <c r="H90" s="15"/>
    </row>
    <row r="91" spans="1:8" ht="15" customHeight="1">
      <c r="A91" s="48"/>
      <c r="B91" s="75" t="s">
        <v>9</v>
      </c>
      <c r="C91" s="14" t="s">
        <v>71</v>
      </c>
      <c r="D91" s="151" t="s">
        <v>4139</v>
      </c>
      <c r="E91" s="14" t="s">
        <v>90</v>
      </c>
      <c r="F91" s="151" t="str">
        <f>IF(wskakunin_owner1__address="", "", wskakunin_owner1__address)</f>
        <v>東京都港区虎ノ門1-1-21</v>
      </c>
      <c r="G91" s="15"/>
      <c r="H91" s="15"/>
    </row>
    <row r="92" spans="1:8" ht="15" customHeight="1">
      <c r="A92" s="48"/>
      <c r="B92" s="75" t="s">
        <v>10</v>
      </c>
      <c r="C92" s="14" t="s">
        <v>72</v>
      </c>
      <c r="D92" s="233" t="s">
        <v>4146</v>
      </c>
      <c r="E92" s="14" t="s">
        <v>91</v>
      </c>
      <c r="F92" s="151" t="str">
        <f>IF(wskakunin_owner1_TEL="", "", wskakunin_owner1_TEL)</f>
        <v>03-3504-2386</v>
      </c>
      <c r="G92" s="15"/>
      <c r="H92" s="15"/>
    </row>
    <row r="93" spans="1:8" ht="15" customHeight="1">
      <c r="A93" s="48"/>
      <c r="B93" s="72" t="s">
        <v>97</v>
      </c>
      <c r="D93" s="15"/>
      <c r="E93" s="14" t="s">
        <v>113</v>
      </c>
      <c r="F93" s="240" t="str">
        <f>IF(wskakunin_owner1_JIMU_NAME="",cst_wskakunin_owner1_NAME,IF(wskakunin_owner1_POST="",cst_wskakunin_owner1_NAME,cst_wskakunin_owner1_JIMU_NAME&amp;"　"&amp;cst_wskakunin_owner1_POST&amp;"　"&amp;cst_wskakunin_owner1_NAME))</f>
        <v>株式会社ユーイック不動産　代表取締役社長　野崎　豊</v>
      </c>
      <c r="G93" s="55"/>
      <c r="H93" s="55"/>
    </row>
    <row r="94" spans="1:8" ht="15" customHeight="1">
      <c r="A94" s="48"/>
      <c r="B94" s="72" t="s">
        <v>96</v>
      </c>
      <c r="D94" s="15"/>
      <c r="E94" s="14" t="s">
        <v>114</v>
      </c>
      <c r="F94" s="151" t="str">
        <f>IF(wskakunin_owner1_POST&amp;wskakunin_owner1_NAME="","",IF(wskakunin_owner1_POST="",wskakunin_owner1_NAME,wskakunin_owner1_POST&amp;"　"&amp;wskakunin_owner1_NAME))</f>
        <v>代表取締役社長　野崎　豊</v>
      </c>
      <c r="G94" s="15"/>
      <c r="H94" s="15"/>
    </row>
    <row r="95" spans="1:8" ht="30" customHeight="1">
      <c r="A95" s="48"/>
      <c r="B95" s="75" t="s">
        <v>95</v>
      </c>
      <c r="D95" s="15"/>
      <c r="E95" s="14" t="s">
        <v>2637</v>
      </c>
      <c r="F95" s="240" t="str">
        <f>wskakunin_owner1_JIMU_NAME&amp;IF(wskakunin_owner1_JIMU_NAME="","",CHAR(10))&amp;cst_wskakunin_owner1__space2</f>
        <v>株式会社ユーイック不動産
代表取締役社長　野崎　豊</v>
      </c>
      <c r="G95" s="55"/>
      <c r="H95" s="55"/>
    </row>
    <row r="96" spans="1:8" ht="30" customHeight="1">
      <c r="A96" s="221"/>
      <c r="B96" s="147" t="s">
        <v>2666</v>
      </c>
      <c r="D96" s="15"/>
      <c r="E96" s="14" t="s">
        <v>2665</v>
      </c>
      <c r="F96" s="240" t="str">
        <f>IF(AND(cst_wskakunin_owner1_JIMU_NAME="",cst_wskakunin_owner1_POST=""),cst_wskakunin_owner1_NAME,IF(cst_wskakunin_owner1_JIMU_NAME="",cst_wskakunin_owner1_POST&amp;"　"&amp;cst_wskakunin_owner1_NAME,IF(cst_wskakunin_owner1_POST="",cst_wskakunin_owner1_JIMU_NAME&amp;"　"&amp;cst_wskakunin_owner1_NAME,cst_wskakunin_owner1_JIMU_NAME&amp;"　"&amp;cst_wskakunin_owner1_POST&amp;"　"&amp;cst_wskakunin_owner1_NAME)))</f>
        <v>株式会社ユーイック不動産　代表取締役社長　野崎　豊</v>
      </c>
      <c r="G96" s="55"/>
      <c r="H96" s="55"/>
    </row>
    <row r="97" spans="1:8" ht="15" customHeight="1">
      <c r="A97" s="221"/>
      <c r="B97" s="147" t="s">
        <v>2683</v>
      </c>
      <c r="D97" s="15"/>
      <c r="E97" s="14" t="s">
        <v>2685</v>
      </c>
      <c r="F97" s="240" t="str">
        <f>IF(cst_wskakunin_owner1_JIMU_NAME="", cst_wskakunin_owner1_NAME, cst_wskakunin_owner1_JIMU_NAME)</f>
        <v>株式会社ユーイック不動産</v>
      </c>
      <c r="G97" s="55"/>
      <c r="H97" s="55"/>
    </row>
    <row r="98" spans="1:8" ht="15" customHeight="1">
      <c r="A98" s="221"/>
      <c r="B98" s="147" t="s">
        <v>2684</v>
      </c>
      <c r="D98" s="15"/>
      <c r="E98" s="14" t="s">
        <v>2686</v>
      </c>
      <c r="F98" s="240" t="str">
        <f>IF(cst_wskakunin_owner1_JIMU_NAME="", "", cst_wskakunin_owner1__space2)</f>
        <v>代表取締役社長　野崎　豊</v>
      </c>
      <c r="G98" s="55"/>
      <c r="H98" s="55"/>
    </row>
    <row r="99" spans="1:8" ht="15" customHeight="1">
      <c r="A99" s="49"/>
      <c r="B99" s="83"/>
      <c r="D99" s="15"/>
      <c r="G99" s="55"/>
      <c r="H99" s="55"/>
    </row>
    <row r="100" spans="1:8" ht="15" customHeight="1">
      <c r="A100" s="44" t="s">
        <v>1404</v>
      </c>
      <c r="B100" s="47"/>
      <c r="G100" s="15"/>
      <c r="H100" s="15"/>
    </row>
    <row r="101" spans="1:8" ht="15" customHeight="1">
      <c r="A101" s="81"/>
      <c r="B101" s="75" t="s">
        <v>35</v>
      </c>
      <c r="C101" s="14" t="s">
        <v>1412</v>
      </c>
      <c r="D101" s="151"/>
      <c r="E101" s="14" t="s">
        <v>2753</v>
      </c>
      <c r="F101" s="151" t="str">
        <f>IF(wskakunin_owner2_JIMU_NAME="", "", wskakunin_owner2_JIMU_NAME)</f>
        <v/>
      </c>
      <c r="H101" s="15"/>
    </row>
    <row r="102" spans="1:8" ht="15" customHeight="1">
      <c r="A102" s="81"/>
      <c r="B102" s="75" t="s">
        <v>99</v>
      </c>
      <c r="C102" s="14" t="s">
        <v>1413</v>
      </c>
      <c r="D102" s="151"/>
      <c r="E102" s="14" t="s">
        <v>2754</v>
      </c>
      <c r="F102" s="151" t="str">
        <f>IF(wskakunin_owner2_JIMU_NAME_KANA="","",wskakunin_owner2_JIMU_NAME_KANA)</f>
        <v/>
      </c>
      <c r="H102" s="15"/>
    </row>
    <row r="103" spans="1:8" ht="15" customHeight="1">
      <c r="A103" s="81"/>
      <c r="B103" s="75" t="s">
        <v>33</v>
      </c>
      <c r="C103" s="14" t="s">
        <v>1414</v>
      </c>
      <c r="D103" s="151"/>
      <c r="E103" s="14" t="s">
        <v>1415</v>
      </c>
      <c r="F103" s="151" t="str">
        <f>IF(wskakunin_owner2_POST="", "", wskakunin_owner2_POST)</f>
        <v/>
      </c>
      <c r="H103" s="15"/>
    </row>
    <row r="104" spans="1:8" ht="15" customHeight="1">
      <c r="A104" s="81"/>
      <c r="B104" s="75" t="s">
        <v>100</v>
      </c>
      <c r="C104" s="14" t="s">
        <v>1416</v>
      </c>
      <c r="D104" s="151"/>
      <c r="E104" s="14" t="s">
        <v>1417</v>
      </c>
      <c r="F104" s="151" t="str">
        <f>IF(wskakunin_owner2_POST_KANA="","",wskakunin_owner2_POST_KANA)</f>
        <v/>
      </c>
      <c r="H104" s="15"/>
    </row>
    <row r="105" spans="1:8" ht="15" customHeight="1">
      <c r="A105" s="81"/>
      <c r="B105" s="75" t="s">
        <v>7</v>
      </c>
      <c r="C105" s="14" t="s">
        <v>1418</v>
      </c>
      <c r="D105" s="151"/>
      <c r="E105" s="14" t="s">
        <v>1419</v>
      </c>
      <c r="F105" s="151" t="str">
        <f>IF(wskakunin_owner2_NAME="", "", wskakunin_owner2_NAME)</f>
        <v/>
      </c>
      <c r="H105" s="15"/>
    </row>
    <row r="106" spans="1:8" ht="15" customHeight="1">
      <c r="A106" s="48"/>
      <c r="B106" s="75" t="s">
        <v>101</v>
      </c>
      <c r="C106" s="14" t="s">
        <v>1420</v>
      </c>
      <c r="D106" s="151"/>
      <c r="E106" s="14" t="s">
        <v>1421</v>
      </c>
      <c r="F106" s="151" t="str">
        <f>IF(wskakunin_owner2_NAME_KANA="","",wskakunin_owner2_NAME_KANA)</f>
        <v/>
      </c>
      <c r="H106" s="15"/>
    </row>
    <row r="107" spans="1:8" ht="15" customHeight="1">
      <c r="A107" s="48"/>
      <c r="B107" s="75" t="s">
        <v>8</v>
      </c>
      <c r="C107" s="14" t="s">
        <v>1422</v>
      </c>
      <c r="D107" s="233"/>
      <c r="E107" s="14" t="s">
        <v>1423</v>
      </c>
      <c r="F107" s="151" t="str">
        <f>IF(wskakunin_owner2_ZIP="", "", wskakunin_owner2_ZIP)</f>
        <v/>
      </c>
      <c r="H107" s="15"/>
    </row>
    <row r="108" spans="1:8" ht="15" customHeight="1">
      <c r="A108" s="48"/>
      <c r="B108" s="75" t="s">
        <v>9</v>
      </c>
      <c r="C108" s="14" t="s">
        <v>1424</v>
      </c>
      <c r="D108" s="151"/>
      <c r="E108" s="14" t="s">
        <v>2755</v>
      </c>
      <c r="F108" s="151" t="str">
        <f>IF(wskakunin_owner2__address="", "", wskakunin_owner2__address)</f>
        <v/>
      </c>
      <c r="H108" s="15"/>
    </row>
    <row r="109" spans="1:8" ht="15" customHeight="1">
      <c r="A109" s="48"/>
      <c r="B109" s="75" t="s">
        <v>10</v>
      </c>
      <c r="C109" s="14" t="s">
        <v>1425</v>
      </c>
      <c r="D109" s="233"/>
      <c r="E109" s="14" t="s">
        <v>1426</v>
      </c>
      <c r="F109" s="151" t="str">
        <f>IF(wskakunin_owner2_TEL="", "", wskakunin_owner2_TEL)</f>
        <v/>
      </c>
      <c r="H109" s="15"/>
    </row>
    <row r="110" spans="1:8" ht="15" customHeight="1">
      <c r="A110" s="48"/>
      <c r="B110" s="72" t="s">
        <v>97</v>
      </c>
      <c r="E110" s="14" t="s">
        <v>2622</v>
      </c>
      <c r="F110" s="151" t="str">
        <f>IF(wskakunin_owner2_JIMU_NAME="",cst_wskakunin_owner2_NAME,IF(wskakunin_owner2_POST="",cst_wskakunin_owner2_NAME,cst_wskakunin_owner2_JIMU_NAME&amp;"　"&amp;cst_wskakunin_owner2_POST&amp;"　"&amp;cst_wskakunin_owner2_NAME))</f>
        <v/>
      </c>
      <c r="H110" s="15"/>
    </row>
    <row r="111" spans="1:8" ht="15" customHeight="1">
      <c r="A111" s="221"/>
      <c r="B111" s="222" t="s">
        <v>96</v>
      </c>
      <c r="C111"/>
      <c r="D111" s="214"/>
      <c r="E111" s="14" t="s">
        <v>2636</v>
      </c>
      <c r="F111" s="151" t="str">
        <f>IF(wskakunin_owner2_POST&amp;wskakunin_owner2_NAME="","",IF(wskakunin_owner2_POST="",wskakunin_owner2_NAME,wskakunin_owner2_POST&amp;"　"&amp;wskakunin_owner2_NAME))</f>
        <v/>
      </c>
      <c r="H111" s="15"/>
    </row>
    <row r="112" spans="1:8" ht="24">
      <c r="A112" s="221"/>
      <c r="B112" s="223" t="s">
        <v>95</v>
      </c>
      <c r="C112"/>
      <c r="D112" s="214"/>
      <c r="E112" s="14" t="s">
        <v>2638</v>
      </c>
      <c r="F112" s="240" t="str">
        <f>wskakunin_owner2_JIMU_NAME&amp;IF(wskakunin_owner2_JIMU_NAME="","",CHAR(10))&amp;cst_wskakunin_owner2__space2</f>
        <v/>
      </c>
      <c r="H112" s="15"/>
    </row>
    <row r="113" spans="1:8" ht="13.2">
      <c r="A113" s="221"/>
      <c r="B113" s="223" t="s">
        <v>2772</v>
      </c>
      <c r="C113"/>
      <c r="D113" s="214"/>
      <c r="E113" s="14" t="s">
        <v>2773</v>
      </c>
      <c r="F113" s="240" t="str">
        <f>IF(wskakunin_owner2_JIMU_NAME_KANA="",cst_wskakunin_owner2_NAME_KANA,IF(wskakunin_owner2_POST_KANA="",cst_wskakunin_owner2_NAME_KANA,cst_wskakunin_owner2_JIMU_NAME_KANA&amp;"　"&amp;cst_wskakunin_owner2_POST_KANA&amp;"　"&amp;cst_wskakunin_owner2_NAME_KANA))</f>
        <v/>
      </c>
      <c r="H113" s="15"/>
    </row>
    <row r="114" spans="1:8" ht="15" customHeight="1">
      <c r="A114" s="48"/>
      <c r="B114" s="150"/>
      <c r="D114" s="32"/>
      <c r="F114" s="15"/>
      <c r="H114" s="15"/>
    </row>
    <row r="115" spans="1:8" ht="15" customHeight="1">
      <c r="A115" s="44" t="s">
        <v>1405</v>
      </c>
      <c r="B115" s="47"/>
      <c r="H115" s="15"/>
    </row>
    <row r="116" spans="1:8" ht="15" customHeight="1">
      <c r="A116" s="81"/>
      <c r="B116" s="75" t="s">
        <v>35</v>
      </c>
      <c r="C116" s="14" t="s">
        <v>1427</v>
      </c>
      <c r="D116" s="151"/>
      <c r="E116" s="14" t="s">
        <v>1428</v>
      </c>
      <c r="F116" s="151" t="str">
        <f>IF(wskakunin_owner3_JIMU_NAME="", "", wskakunin_owner3_JIMU_NAME)</f>
        <v/>
      </c>
      <c r="H116" s="15"/>
    </row>
    <row r="117" spans="1:8" ht="15" customHeight="1">
      <c r="A117" s="81"/>
      <c r="B117" s="75" t="s">
        <v>99</v>
      </c>
      <c r="C117" s="14" t="s">
        <v>1429</v>
      </c>
      <c r="D117" s="151"/>
      <c r="E117" s="14" t="s">
        <v>1430</v>
      </c>
      <c r="F117" s="151" t="str">
        <f>IF(wskakunin_owner3_JIMU_NAME_KANA="","",wskakunin_owner3_JIMU_NAME_KANA)</f>
        <v/>
      </c>
      <c r="H117" s="15"/>
    </row>
    <row r="118" spans="1:8" ht="15" customHeight="1">
      <c r="A118" s="81"/>
      <c r="B118" s="75" t="s">
        <v>33</v>
      </c>
      <c r="C118" s="14" t="s">
        <v>1431</v>
      </c>
      <c r="D118" s="151"/>
      <c r="E118" s="14" t="s">
        <v>1432</v>
      </c>
      <c r="F118" s="151" t="str">
        <f>IF(wskakunin_owner3_POST="", "", wskakunin_owner3_POST)</f>
        <v/>
      </c>
      <c r="H118" s="15"/>
    </row>
    <row r="119" spans="1:8" ht="15" customHeight="1">
      <c r="A119" s="81"/>
      <c r="B119" s="75" t="s">
        <v>100</v>
      </c>
      <c r="C119" s="14" t="s">
        <v>1433</v>
      </c>
      <c r="D119" s="151"/>
      <c r="E119" s="14" t="s">
        <v>1434</v>
      </c>
      <c r="F119" s="151" t="str">
        <f>IF(wskakunin_owner3_POST_KANA="","",wskakunin_owner3_POST_KANA)</f>
        <v/>
      </c>
      <c r="H119" s="15"/>
    </row>
    <row r="120" spans="1:8" ht="15" customHeight="1">
      <c r="A120" s="81"/>
      <c r="B120" s="75" t="s">
        <v>7</v>
      </c>
      <c r="C120" s="14" t="s">
        <v>1435</v>
      </c>
      <c r="D120" s="151"/>
      <c r="E120" s="14" t="s">
        <v>1436</v>
      </c>
      <c r="F120" s="151" t="str">
        <f>IF(wskakunin_owner3_NAME="", "", wskakunin_owner3_NAME)</f>
        <v/>
      </c>
      <c r="H120" s="15"/>
    </row>
    <row r="121" spans="1:8" ht="15" customHeight="1">
      <c r="A121" s="48"/>
      <c r="B121" s="75" t="s">
        <v>101</v>
      </c>
      <c r="C121" s="14" t="s">
        <v>1437</v>
      </c>
      <c r="D121" s="151"/>
      <c r="E121" s="14" t="s">
        <v>1438</v>
      </c>
      <c r="F121" s="151" t="str">
        <f>IF(wskakunin_owner3_NAME_KANA="","",wskakunin_owner3_NAME_KANA)</f>
        <v/>
      </c>
      <c r="H121" s="15"/>
    </row>
    <row r="122" spans="1:8" ht="15" customHeight="1">
      <c r="A122" s="48"/>
      <c r="B122" s="75" t="s">
        <v>8</v>
      </c>
      <c r="C122" s="14" t="s">
        <v>1439</v>
      </c>
      <c r="D122" s="233"/>
      <c r="E122" s="14" t="s">
        <v>1440</v>
      </c>
      <c r="F122" s="151" t="str">
        <f>IF(wskakunin_owner3_ZIP="", "", wskakunin_owner3_ZIP)</f>
        <v/>
      </c>
      <c r="H122" s="15"/>
    </row>
    <row r="123" spans="1:8" ht="15" customHeight="1">
      <c r="A123" s="48"/>
      <c r="B123" s="75" t="s">
        <v>9</v>
      </c>
      <c r="C123" s="14" t="s">
        <v>1441</v>
      </c>
      <c r="D123" s="151"/>
      <c r="E123" s="14" t="s">
        <v>1442</v>
      </c>
      <c r="F123" s="151" t="str">
        <f>IF(wskakunin_owner3__address="", "", wskakunin_owner3__address)</f>
        <v/>
      </c>
      <c r="H123" s="15"/>
    </row>
    <row r="124" spans="1:8" ht="15" customHeight="1">
      <c r="A124" s="48"/>
      <c r="B124" s="75" t="s">
        <v>10</v>
      </c>
      <c r="C124" s="14" t="s">
        <v>1443</v>
      </c>
      <c r="D124" s="233"/>
      <c r="E124" s="14" t="s">
        <v>1444</v>
      </c>
      <c r="F124" s="151" t="str">
        <f>IF(wskakunin_owner3_TEL="", "", wskakunin_owner3_TEL)</f>
        <v/>
      </c>
      <c r="H124" s="15"/>
    </row>
    <row r="125" spans="1:8" ht="15" customHeight="1">
      <c r="A125" s="48"/>
      <c r="B125" s="72" t="s">
        <v>97</v>
      </c>
      <c r="E125" s="14" t="s">
        <v>2623</v>
      </c>
      <c r="F125" s="151" t="str">
        <f>IF(wskakunin_owner3_JIMU_NAME="",cst_wskakunin_owner3_NAME,IF(wskakunin_owner3_POST="",cst_wskakunin_owner3_NAME,cst_wskakunin_owner3_JIMU_NAME&amp;"　"&amp;cst_wskakunin_owner3_POST&amp;"　"&amp;cst_wskakunin_owner3_NAME))</f>
        <v/>
      </c>
      <c r="H125" s="15"/>
    </row>
    <row r="126" spans="1:8" ht="15" customHeight="1">
      <c r="A126" s="221"/>
      <c r="B126" s="264"/>
      <c r="E126" s="14" t="s">
        <v>2695</v>
      </c>
      <c r="F126" s="151" t="str">
        <f>IF(wskakunin_owner3_POST&amp;wskakunin_owner3_NAME="","",IF(wskakunin_owner3_POST="",wskakunin_owner3_NAME,wskakunin_owner3_POST&amp;"　"&amp;wskakunin_owner3_NAME))</f>
        <v/>
      </c>
      <c r="H126" s="15"/>
    </row>
    <row r="127" spans="1:8" ht="15" customHeight="1">
      <c r="A127" s="221"/>
      <c r="B127" s="264"/>
      <c r="E127" s="14" t="s">
        <v>2784</v>
      </c>
      <c r="F127" s="240" t="str">
        <f>wskakunin_owner3_JIMU_NAME&amp;IF(wskakunin_owner3_JIMU_NAME="","",CHAR(10))&amp;cst_wskakunin_owner3__space2</f>
        <v/>
      </c>
      <c r="H127" s="15"/>
    </row>
    <row r="128" spans="1:8" ht="15" customHeight="1">
      <c r="A128" s="221"/>
      <c r="B128" s="264" t="s">
        <v>2772</v>
      </c>
      <c r="E128" s="14" t="s">
        <v>2774</v>
      </c>
      <c r="F128" s="151" t="str">
        <f>IF(wskakunin_owner3_JIMU_NAME_KANA="",cst_wskakunin_owner3_NAME_KANA,IF(wskakunin_owner3_POST_KANA="",cst_wskakunin_owner3_NAME_KANA,cst_wskakunin_owner3_JIMU_NAME_KANA&amp;"　"&amp;cst_wskakunin_owner3_POST_KANA&amp;"　"&amp;cst_wskakunin_owner3_NAME_KANA))</f>
        <v/>
      </c>
      <c r="H128" s="15"/>
    </row>
    <row r="129" spans="1:8" ht="15" customHeight="1">
      <c r="A129" s="48"/>
      <c r="B129" s="150"/>
      <c r="D129" s="32"/>
      <c r="F129" s="15"/>
      <c r="H129" s="15"/>
    </row>
    <row r="130" spans="1:8" ht="15" customHeight="1">
      <c r="A130" s="44" t="s">
        <v>1406</v>
      </c>
      <c r="B130" s="47"/>
      <c r="H130" s="15"/>
    </row>
    <row r="131" spans="1:8" ht="15" customHeight="1">
      <c r="A131" s="81"/>
      <c r="B131" s="75" t="s">
        <v>35</v>
      </c>
      <c r="C131" s="14" t="s">
        <v>1445</v>
      </c>
      <c r="D131" s="151"/>
      <c r="E131" s="14" t="s">
        <v>1446</v>
      </c>
      <c r="F131" s="151" t="str">
        <f>IF(wskakunin_owner4_JIMU_NAME="", "", wskakunin_owner4_JIMU_NAME)</f>
        <v/>
      </c>
      <c r="H131" s="15"/>
    </row>
    <row r="132" spans="1:8" ht="15" customHeight="1">
      <c r="A132" s="81"/>
      <c r="B132" s="75" t="s">
        <v>99</v>
      </c>
      <c r="C132" s="14" t="s">
        <v>1447</v>
      </c>
      <c r="D132" s="151"/>
      <c r="E132" s="14" t="s">
        <v>1448</v>
      </c>
      <c r="F132" s="151" t="str">
        <f>IF(wskakunin_owner4_JIMU_NAME_KANA="","",wskakunin_owner4_JIMU_NAME_KANA)</f>
        <v/>
      </c>
      <c r="H132" s="15"/>
    </row>
    <row r="133" spans="1:8" ht="15" customHeight="1">
      <c r="A133" s="81"/>
      <c r="B133" s="75" t="s">
        <v>33</v>
      </c>
      <c r="C133" s="14" t="s">
        <v>1449</v>
      </c>
      <c r="D133" s="151"/>
      <c r="E133" s="14" t="s">
        <v>1450</v>
      </c>
      <c r="F133" s="151" t="str">
        <f>IF(wskakunin_owner4_POST="", "", wskakunin_owner4_POST)</f>
        <v/>
      </c>
      <c r="H133" s="15"/>
    </row>
    <row r="134" spans="1:8" ht="15" customHeight="1">
      <c r="A134" s="81"/>
      <c r="B134" s="75" t="s">
        <v>100</v>
      </c>
      <c r="C134" s="14" t="s">
        <v>1451</v>
      </c>
      <c r="D134" s="151"/>
      <c r="E134" s="14" t="s">
        <v>1452</v>
      </c>
      <c r="F134" s="151" t="str">
        <f>IF(wskakunin_owner4_POST_KANA="","",wskakunin_owner4_POST_KANA)</f>
        <v/>
      </c>
      <c r="H134" s="15"/>
    </row>
    <row r="135" spans="1:8" ht="15" customHeight="1">
      <c r="A135" s="81"/>
      <c r="B135" s="75" t="s">
        <v>7</v>
      </c>
      <c r="C135" s="14" t="s">
        <v>1453</v>
      </c>
      <c r="D135" s="151"/>
      <c r="E135" s="14" t="s">
        <v>1454</v>
      </c>
      <c r="F135" s="151" t="str">
        <f>IF(wskakunin_owner4_NAME="", "", wskakunin_owner4_NAME)</f>
        <v/>
      </c>
      <c r="H135" s="15"/>
    </row>
    <row r="136" spans="1:8" ht="15" customHeight="1">
      <c r="A136" s="48"/>
      <c r="B136" s="75" t="s">
        <v>101</v>
      </c>
      <c r="C136" s="14" t="s">
        <v>1455</v>
      </c>
      <c r="D136" s="151"/>
      <c r="E136" s="14" t="s">
        <v>1456</v>
      </c>
      <c r="F136" s="151" t="str">
        <f>IF(wskakunin_owner4_NAME_KANA="","",wskakunin_owner4_NAME_KANA)</f>
        <v/>
      </c>
      <c r="H136" s="15"/>
    </row>
    <row r="137" spans="1:8" ht="15" customHeight="1">
      <c r="A137" s="48"/>
      <c r="B137" s="75" t="s">
        <v>8</v>
      </c>
      <c r="C137" s="14" t="s">
        <v>1457</v>
      </c>
      <c r="D137" s="233"/>
      <c r="E137" s="14" t="s">
        <v>1458</v>
      </c>
      <c r="F137" s="151" t="str">
        <f>IF(wskakunin_owner4_ZIP="", "", wskakunin_owner4_ZIP)</f>
        <v/>
      </c>
      <c r="H137" s="15"/>
    </row>
    <row r="138" spans="1:8" ht="15" customHeight="1">
      <c r="A138" s="48"/>
      <c r="B138" s="75" t="s">
        <v>9</v>
      </c>
      <c r="C138" s="14" t="s">
        <v>1459</v>
      </c>
      <c r="D138" s="151"/>
      <c r="E138" s="14" t="s">
        <v>1460</v>
      </c>
      <c r="F138" s="151" t="str">
        <f>IF(wskakunin_owner4__address="", "", wskakunin_owner4__address)</f>
        <v/>
      </c>
      <c r="H138" s="15"/>
    </row>
    <row r="139" spans="1:8" ht="15" customHeight="1">
      <c r="A139" s="48"/>
      <c r="B139" s="75" t="s">
        <v>10</v>
      </c>
      <c r="C139" s="14" t="s">
        <v>1461</v>
      </c>
      <c r="D139" s="233"/>
      <c r="E139" s="14" t="s">
        <v>1462</v>
      </c>
      <c r="F139" s="151" t="str">
        <f>IF(wskakunin_owner4_TEL="", "", wskakunin_owner4_TEL)</f>
        <v/>
      </c>
      <c r="H139" s="15"/>
    </row>
    <row r="140" spans="1:8" ht="15" customHeight="1">
      <c r="A140" s="48"/>
      <c r="B140" s="72" t="s">
        <v>97</v>
      </c>
      <c r="D140" s="32"/>
      <c r="E140" s="14" t="s">
        <v>2624</v>
      </c>
      <c r="F140" s="151" t="str">
        <f>IF(wskakunin_owner4_JIMU_NAME="",cst_wskakunin_owner4_NAME,IF(wskakunin_owner4_POST="",cst_wskakunin_owner4_NAME,cst_wskakunin_owner4_JIMU_NAME&amp;"　"&amp;cst_wskakunin_owner4_POST&amp;"　"&amp;cst_wskakunin_owner4_NAME))</f>
        <v/>
      </c>
      <c r="H140" s="15"/>
    </row>
    <row r="141" spans="1:8" ht="15" customHeight="1">
      <c r="A141" s="221"/>
      <c r="B141" s="72" t="s">
        <v>2772</v>
      </c>
      <c r="D141" s="32"/>
      <c r="E141" s="14" t="s">
        <v>2881</v>
      </c>
      <c r="F141" s="151" t="str">
        <f>IF(wskakunin_owner4_JIMU_NAME_KANA="",cst_wskakunin_owner4_NAME_KANA,IF(wskakunin_owner4_POST_KANA="",cst_wskakunin_owner4_NAME_KANA,cst_wskakunin_owner4_JIMU_NAME_KANA&amp;"　"&amp;cst_wskakunin_owner4_POST_KANA&amp;"　"&amp;cst_wskakunin_owner4_NAME_KANA))</f>
        <v/>
      </c>
      <c r="H141" s="15"/>
    </row>
    <row r="142" spans="1:8" ht="15" customHeight="1">
      <c r="A142" s="48"/>
      <c r="B142" s="150"/>
      <c r="D142" s="32"/>
      <c r="F142" s="15"/>
      <c r="H142" s="15"/>
    </row>
    <row r="143" spans="1:8" ht="15" customHeight="1">
      <c r="A143" s="44" t="s">
        <v>1407</v>
      </c>
      <c r="B143" s="47"/>
      <c r="H143" s="15"/>
    </row>
    <row r="144" spans="1:8" ht="15" customHeight="1">
      <c r="A144" s="81"/>
      <c r="B144" s="75" t="s">
        <v>35</v>
      </c>
      <c r="C144" s="14" t="s">
        <v>1463</v>
      </c>
      <c r="D144" s="151"/>
      <c r="E144" s="14" t="s">
        <v>1464</v>
      </c>
      <c r="F144" s="151" t="str">
        <f>IF(wskakunin_owner5_JIMU_NAME="", "", wskakunin_owner5_JIMU_NAME)</f>
        <v/>
      </c>
      <c r="H144" s="15"/>
    </row>
    <row r="145" spans="1:8" ht="15" customHeight="1">
      <c r="A145" s="81"/>
      <c r="B145" s="75" t="s">
        <v>99</v>
      </c>
      <c r="C145" s="14" t="s">
        <v>1465</v>
      </c>
      <c r="D145" s="151"/>
      <c r="E145" s="14" t="s">
        <v>1466</v>
      </c>
      <c r="F145" s="151" t="str">
        <f>IF(wskakunin_owner5_JIMU_NAME_KANA="","",wskakunin_owner5_JIMU_NAME_KANA)</f>
        <v/>
      </c>
      <c r="H145" s="15"/>
    </row>
    <row r="146" spans="1:8" ht="15" customHeight="1">
      <c r="A146" s="81"/>
      <c r="B146" s="75" t="s">
        <v>33</v>
      </c>
      <c r="C146" s="14" t="s">
        <v>1467</v>
      </c>
      <c r="D146" s="151"/>
      <c r="E146" s="14" t="s">
        <v>1468</v>
      </c>
      <c r="F146" s="151" t="str">
        <f>IF(wskakunin_owner5_POST="", "", wskakunin_owner5_POST)</f>
        <v/>
      </c>
      <c r="H146" s="15"/>
    </row>
    <row r="147" spans="1:8" ht="15" customHeight="1">
      <c r="A147" s="81"/>
      <c r="B147" s="75" t="s">
        <v>100</v>
      </c>
      <c r="C147" s="14" t="s">
        <v>1469</v>
      </c>
      <c r="D147" s="151"/>
      <c r="E147" s="14" t="s">
        <v>1470</v>
      </c>
      <c r="F147" s="151" t="str">
        <f>IF(wskakunin_owner5_POST_KANA="","",wskakunin_owner5_POST_KANA)</f>
        <v/>
      </c>
      <c r="H147" s="15"/>
    </row>
    <row r="148" spans="1:8" ht="15" customHeight="1">
      <c r="A148" s="81"/>
      <c r="B148" s="75" t="s">
        <v>7</v>
      </c>
      <c r="C148" s="14" t="s">
        <v>1471</v>
      </c>
      <c r="D148" s="151"/>
      <c r="E148" s="14" t="s">
        <v>1472</v>
      </c>
      <c r="F148" s="151" t="str">
        <f>IF(wskakunin_owner5_NAME="", "", wskakunin_owner5_NAME)</f>
        <v/>
      </c>
      <c r="H148" s="15"/>
    </row>
    <row r="149" spans="1:8" ht="15" customHeight="1">
      <c r="A149" s="48"/>
      <c r="B149" s="75" t="s">
        <v>101</v>
      </c>
      <c r="C149" s="14" t="s">
        <v>1473</v>
      </c>
      <c r="D149" s="151"/>
      <c r="E149" s="14" t="s">
        <v>1474</v>
      </c>
      <c r="F149" s="151" t="str">
        <f>IF(wskakunin_owner5_NAME_KANA="","",wskakunin_owner5_NAME_KANA)</f>
        <v/>
      </c>
      <c r="H149" s="15"/>
    </row>
    <row r="150" spans="1:8" ht="15" customHeight="1">
      <c r="A150" s="48"/>
      <c r="B150" s="75" t="s">
        <v>8</v>
      </c>
      <c r="C150" s="14" t="s">
        <v>1475</v>
      </c>
      <c r="D150" s="233"/>
      <c r="E150" s="14" t="s">
        <v>1476</v>
      </c>
      <c r="F150" s="151" t="str">
        <f>IF(wskakunin_owner5_ZIP="", "", wskakunin_owner5_ZIP)</f>
        <v/>
      </c>
      <c r="H150" s="15"/>
    </row>
    <row r="151" spans="1:8" ht="15" customHeight="1">
      <c r="A151" s="48"/>
      <c r="B151" s="75" t="s">
        <v>9</v>
      </c>
      <c r="C151" s="14" t="s">
        <v>1477</v>
      </c>
      <c r="D151" s="151"/>
      <c r="E151" s="14" t="s">
        <v>1478</v>
      </c>
      <c r="F151" s="151" t="str">
        <f>IF(wskakunin_owner5__address="", "", wskakunin_owner5__address)</f>
        <v/>
      </c>
      <c r="H151" s="15"/>
    </row>
    <row r="152" spans="1:8" ht="15" customHeight="1">
      <c r="A152" s="48"/>
      <c r="B152" s="75" t="s">
        <v>10</v>
      </c>
      <c r="C152" s="14" t="s">
        <v>1479</v>
      </c>
      <c r="D152" s="233"/>
      <c r="E152" s="14" t="s">
        <v>1480</v>
      </c>
      <c r="F152" s="151" t="str">
        <f>IF(wskakunin_owner5_TEL="", "", wskakunin_owner5_TEL)</f>
        <v/>
      </c>
      <c r="H152" s="15"/>
    </row>
    <row r="153" spans="1:8" ht="15" customHeight="1">
      <c r="A153" s="48"/>
      <c r="B153" s="72" t="s">
        <v>97</v>
      </c>
      <c r="D153" s="32"/>
      <c r="E153" s="14" t="s">
        <v>2625</v>
      </c>
      <c r="F153" s="151" t="str">
        <f>IF(wskakunin_owner5_JIMU_NAME="",cst_wskakunin_owner5_NAME,IF(wskakunin_owner5_POST="",cst_wskakunin_owner5_NAME,cst_wskakunin_owner5_JIMU_NAME&amp;"　"&amp;cst_wskakunin_owner5_POST&amp;"　"&amp;cst_wskakunin_owner5_NAME))</f>
        <v/>
      </c>
      <c r="H153" s="15"/>
    </row>
    <row r="154" spans="1:8" ht="15" customHeight="1">
      <c r="A154" s="221"/>
      <c r="B154" s="72" t="s">
        <v>2772</v>
      </c>
      <c r="D154" s="32"/>
      <c r="E154" s="14" t="s">
        <v>2882</v>
      </c>
      <c r="F154" s="151" t="str">
        <f>IF(wskakunin_owner5_JIMU_NAME_KANA="",cst_wskakunin_owner5_NAME_KANA,IF(wskakunin_owner5_POST_KANA="",cst_wskakunin_owner5_NAME_KANA,cst_wskakunin_owner5_JIMU_NAME_KANA&amp;"　"&amp;cst_wskakunin_owner5_POST_KANA&amp;"　"&amp;cst_wskakunin_owner5_NAME_KANA))</f>
        <v/>
      </c>
      <c r="H154" s="15"/>
    </row>
    <row r="155" spans="1:8" ht="15" customHeight="1">
      <c r="A155" s="48"/>
      <c r="B155" s="150"/>
      <c r="D155" s="32"/>
      <c r="F155" s="15"/>
      <c r="H155" s="15"/>
    </row>
    <row r="156" spans="1:8" ht="15" customHeight="1">
      <c r="A156" s="44" t="s">
        <v>1408</v>
      </c>
      <c r="B156" s="47"/>
      <c r="H156" s="15"/>
    </row>
    <row r="157" spans="1:8" ht="15" customHeight="1">
      <c r="A157" s="81"/>
      <c r="B157" s="75" t="s">
        <v>35</v>
      </c>
      <c r="C157" s="14" t="s">
        <v>1481</v>
      </c>
      <c r="D157" s="151"/>
      <c r="E157" s="14" t="s">
        <v>1482</v>
      </c>
      <c r="F157" s="151" t="str">
        <f>IF(wskakunin_owner6_JIMU_NAME="", "", wskakunin_owner6_JIMU_NAME)</f>
        <v/>
      </c>
      <c r="H157" s="15"/>
    </row>
    <row r="158" spans="1:8" ht="15" customHeight="1">
      <c r="A158" s="81"/>
      <c r="B158" s="75" t="s">
        <v>99</v>
      </c>
      <c r="C158" s="14" t="s">
        <v>1483</v>
      </c>
      <c r="D158" s="151"/>
      <c r="E158" s="14" t="s">
        <v>1484</v>
      </c>
      <c r="F158" s="151" t="str">
        <f>IF(wskakunin_owner6_JIMU_NAME_KANA="","",wskakunin_owner6_JIMU_NAME_KANA)</f>
        <v/>
      </c>
      <c r="H158" s="15"/>
    </row>
    <row r="159" spans="1:8" ht="15" customHeight="1">
      <c r="A159" s="81"/>
      <c r="B159" s="75" t="s">
        <v>33</v>
      </c>
      <c r="C159" s="14" t="s">
        <v>1485</v>
      </c>
      <c r="D159" s="151"/>
      <c r="E159" s="14" t="s">
        <v>1486</v>
      </c>
      <c r="F159" s="151" t="str">
        <f>IF(wskakunin_owner6_POST="", "", wskakunin_owner6_POST)</f>
        <v/>
      </c>
      <c r="H159" s="15"/>
    </row>
    <row r="160" spans="1:8" ht="15" customHeight="1">
      <c r="A160" s="81"/>
      <c r="B160" s="75" t="s">
        <v>100</v>
      </c>
      <c r="C160" s="14" t="s">
        <v>1487</v>
      </c>
      <c r="D160" s="151"/>
      <c r="E160" s="14" t="s">
        <v>1488</v>
      </c>
      <c r="F160" s="151" t="str">
        <f>IF(wskakunin_owner6_POST_KANA="","",wskakunin_owner6_POST_KANA)</f>
        <v/>
      </c>
      <c r="H160" s="15"/>
    </row>
    <row r="161" spans="1:8" ht="15" customHeight="1">
      <c r="A161" s="81"/>
      <c r="B161" s="75" t="s">
        <v>7</v>
      </c>
      <c r="C161" s="14" t="s">
        <v>1489</v>
      </c>
      <c r="D161" s="151"/>
      <c r="E161" s="14" t="s">
        <v>1490</v>
      </c>
      <c r="F161" s="151" t="str">
        <f>IF(wskakunin_owner6_NAME="", "", wskakunin_owner6_NAME)</f>
        <v/>
      </c>
      <c r="H161" s="15"/>
    </row>
    <row r="162" spans="1:8" ht="15" customHeight="1">
      <c r="A162" s="48"/>
      <c r="B162" s="75" t="s">
        <v>101</v>
      </c>
      <c r="C162" s="14" t="s">
        <v>1491</v>
      </c>
      <c r="D162" s="151"/>
      <c r="E162" s="14" t="s">
        <v>1492</v>
      </c>
      <c r="F162" s="151" t="str">
        <f>IF(wskakunin_owner6_NAME_KANA="","",wskakunin_owner6_NAME_KANA)</f>
        <v/>
      </c>
      <c r="H162" s="15"/>
    </row>
    <row r="163" spans="1:8" ht="15" customHeight="1">
      <c r="A163" s="48"/>
      <c r="B163" s="75" t="s">
        <v>8</v>
      </c>
      <c r="C163" s="14" t="s">
        <v>1493</v>
      </c>
      <c r="D163" s="233"/>
      <c r="E163" s="14" t="s">
        <v>1494</v>
      </c>
      <c r="F163" s="151" t="str">
        <f>IF(wskakunin_owner6_ZIP="", "", wskakunin_owner6_ZIP)</f>
        <v/>
      </c>
      <c r="H163" s="15"/>
    </row>
    <row r="164" spans="1:8" ht="15" customHeight="1">
      <c r="A164" s="48"/>
      <c r="B164" s="75" t="s">
        <v>9</v>
      </c>
      <c r="C164" s="14" t="s">
        <v>1495</v>
      </c>
      <c r="D164" s="151"/>
      <c r="E164" s="14" t="s">
        <v>1496</v>
      </c>
      <c r="F164" s="151" t="str">
        <f>IF(wskakunin_owner6__address="", "", wskakunin_owner6__address)</f>
        <v/>
      </c>
      <c r="H164" s="15"/>
    </row>
    <row r="165" spans="1:8" ht="15" customHeight="1">
      <c r="A165" s="48"/>
      <c r="B165" s="75" t="s">
        <v>10</v>
      </c>
      <c r="C165" s="14" t="s">
        <v>1497</v>
      </c>
      <c r="D165" s="233"/>
      <c r="E165" s="14" t="s">
        <v>1498</v>
      </c>
      <c r="F165" s="151" t="str">
        <f>IF(wskakunin_owner6_TEL="", "", wskakunin_owner6_TEL)</f>
        <v/>
      </c>
      <c r="H165" s="15"/>
    </row>
    <row r="166" spans="1:8" ht="15" customHeight="1">
      <c r="A166" s="221"/>
      <c r="B166" s="72" t="s">
        <v>97</v>
      </c>
      <c r="D166" s="32"/>
      <c r="E166" s="14" t="s">
        <v>2886</v>
      </c>
      <c r="F166" s="151" t="str">
        <f>IF(wskakunin_owner6_JIMU_NAME="",cst_wskakunin_owner6_NAME,IF(wskakunin_owner6_POST="",cst_wskakunin_owner6_NAME,cst_wskakunin_owner6_JIMU_NAME&amp;"　"&amp;cst_wskakunin_owner6_POST&amp;"　"&amp;cst_wskakunin_owner6_NAME))</f>
        <v/>
      </c>
      <c r="H166" s="15"/>
    </row>
    <row r="167" spans="1:8" ht="15" customHeight="1">
      <c r="A167" s="48"/>
      <c r="B167" s="75" t="s">
        <v>95</v>
      </c>
      <c r="E167" s="14" t="s">
        <v>2626</v>
      </c>
      <c r="F167" s="151" t="str">
        <f>wskakunin_owner6_JIMU_NAME&amp;IF(wskakunin_owner6_JIMU_NAME="","",CHAR(10))&amp;cst_wskakunin_owner6__space2</f>
        <v/>
      </c>
      <c r="H167" s="15"/>
    </row>
    <row r="168" spans="1:8" ht="15" customHeight="1">
      <c r="A168" s="221"/>
      <c r="B168" s="72" t="s">
        <v>2772</v>
      </c>
      <c r="E168" s="14" t="s">
        <v>2883</v>
      </c>
      <c r="F168" s="151" t="str">
        <f>IF(wskakunin_owner6_JIMU_NAME_KANA="",cst_wskakunin_owner6_NAME_KANA,IF(wskakunin_owner6_POST_KANA="",cst_wskakunin_owner6_NAME_KANA,cst_wskakunin_owner6_JIMU_NAME_KANA&amp;"　"&amp;cst_wskakunin_owner6_POST_KANA&amp;"　"&amp;cst_wskakunin_owner6_NAME_KANA))</f>
        <v/>
      </c>
      <c r="H168" s="15"/>
    </row>
    <row r="169" spans="1:8" ht="15" customHeight="1">
      <c r="A169" s="48"/>
      <c r="B169" s="150"/>
      <c r="D169" s="32"/>
      <c r="F169" s="15"/>
      <c r="H169" s="15"/>
    </row>
    <row r="170" spans="1:8" ht="15" customHeight="1">
      <c r="A170" s="44" t="s">
        <v>1409</v>
      </c>
      <c r="B170" s="47"/>
      <c r="H170" s="15"/>
    </row>
    <row r="171" spans="1:8" ht="15" customHeight="1">
      <c r="A171" s="81"/>
      <c r="B171" s="75" t="s">
        <v>35</v>
      </c>
      <c r="C171" s="14" t="s">
        <v>1499</v>
      </c>
      <c r="D171" s="151"/>
      <c r="E171" s="14" t="s">
        <v>1500</v>
      </c>
      <c r="F171" s="151" t="str">
        <f>IF(wskakunin_owner7_JIMU_NAME="", "", wskakunin_owner7_JIMU_NAME)</f>
        <v/>
      </c>
      <c r="H171" s="15"/>
    </row>
    <row r="172" spans="1:8" ht="15" customHeight="1">
      <c r="A172" s="81"/>
      <c r="B172" s="75" t="s">
        <v>99</v>
      </c>
      <c r="C172" s="14" t="s">
        <v>1501</v>
      </c>
      <c r="D172" s="151"/>
      <c r="E172" s="14" t="s">
        <v>1502</v>
      </c>
      <c r="F172" s="151" t="str">
        <f>IF(wskakunin_owner7_JIMU_NAME_KANA="","",wskakunin_owner7_JIMU_NAME_KANA)</f>
        <v/>
      </c>
      <c r="H172" s="15"/>
    </row>
    <row r="173" spans="1:8" ht="15" customHeight="1">
      <c r="A173" s="81"/>
      <c r="B173" s="75" t="s">
        <v>33</v>
      </c>
      <c r="C173" s="14" t="s">
        <v>1503</v>
      </c>
      <c r="D173" s="151"/>
      <c r="E173" s="14" t="s">
        <v>1504</v>
      </c>
      <c r="F173" s="151" t="str">
        <f>IF(wskakunin_owner7_POST="", "", wskakunin_owner7_POST)</f>
        <v/>
      </c>
      <c r="H173" s="15"/>
    </row>
    <row r="174" spans="1:8" ht="15" customHeight="1">
      <c r="A174" s="81"/>
      <c r="B174" s="75" t="s">
        <v>100</v>
      </c>
      <c r="C174" s="14" t="s">
        <v>1505</v>
      </c>
      <c r="D174" s="151"/>
      <c r="E174" s="14" t="s">
        <v>1506</v>
      </c>
      <c r="F174" s="151" t="str">
        <f>IF(wskakunin_owner7_POST_KANA="","",wskakunin_owner7_POST_KANA)</f>
        <v/>
      </c>
      <c r="H174" s="15"/>
    </row>
    <row r="175" spans="1:8" ht="15" customHeight="1">
      <c r="A175" s="81"/>
      <c r="B175" s="75" t="s">
        <v>7</v>
      </c>
      <c r="C175" s="14" t="s">
        <v>1507</v>
      </c>
      <c r="D175" s="151"/>
      <c r="E175" s="14" t="s">
        <v>1508</v>
      </c>
      <c r="F175" s="151" t="str">
        <f>IF(wskakunin_owner7_NAME="", "", wskakunin_owner7_NAME)</f>
        <v/>
      </c>
      <c r="H175" s="15"/>
    </row>
    <row r="176" spans="1:8" ht="15" customHeight="1">
      <c r="A176" s="48"/>
      <c r="B176" s="75" t="s">
        <v>101</v>
      </c>
      <c r="C176" s="14" t="s">
        <v>1509</v>
      </c>
      <c r="D176" s="151"/>
      <c r="E176" s="14" t="s">
        <v>1510</v>
      </c>
      <c r="F176" s="151" t="str">
        <f>IF(wskakunin_owner7_NAME_KANA="","",wskakunin_owner7_NAME_KANA)</f>
        <v/>
      </c>
      <c r="H176" s="15"/>
    </row>
    <row r="177" spans="1:8" ht="15" customHeight="1">
      <c r="A177" s="48"/>
      <c r="B177" s="75" t="s">
        <v>8</v>
      </c>
      <c r="C177" s="14" t="s">
        <v>1511</v>
      </c>
      <c r="D177" s="233"/>
      <c r="E177" s="14" t="s">
        <v>1512</v>
      </c>
      <c r="F177" s="151" t="str">
        <f>IF(wskakunin_owner7_ZIP="", "", wskakunin_owner7_ZIP)</f>
        <v/>
      </c>
      <c r="H177" s="15"/>
    </row>
    <row r="178" spans="1:8" ht="15" customHeight="1">
      <c r="A178" s="48"/>
      <c r="B178" s="75" t="s">
        <v>9</v>
      </c>
      <c r="C178" s="14" t="s">
        <v>1513</v>
      </c>
      <c r="D178" s="151"/>
      <c r="E178" s="14" t="s">
        <v>1514</v>
      </c>
      <c r="F178" s="151" t="str">
        <f>IF(wskakunin_owner7__address="", "", wskakunin_owner7__address)</f>
        <v/>
      </c>
      <c r="H178" s="15"/>
    </row>
    <row r="179" spans="1:8" ht="15" customHeight="1">
      <c r="A179" s="48"/>
      <c r="B179" s="75" t="s">
        <v>10</v>
      </c>
      <c r="C179" s="14" t="s">
        <v>1515</v>
      </c>
      <c r="D179" s="233"/>
      <c r="E179" s="14" t="s">
        <v>1516</v>
      </c>
      <c r="F179" s="151" t="str">
        <f>IF(wskakunin_owner7_TEL="", "", wskakunin_owner7_TEL)</f>
        <v/>
      </c>
      <c r="H179" s="15"/>
    </row>
    <row r="180" spans="1:8" ht="15" customHeight="1">
      <c r="A180" s="221"/>
      <c r="B180" s="72" t="s">
        <v>97</v>
      </c>
      <c r="D180" s="32"/>
      <c r="E180" s="14" t="s">
        <v>2887</v>
      </c>
      <c r="F180" s="151" t="str">
        <f>IF(wskakunin_owner7_JIMU_NAME="",cst_wskakunin_owner7_NAME,IF(wskakunin_owner7_POST="",cst_wskakunin_owner7_NAME,cst_wskakunin_owner7_JIMU_NAME&amp;"　"&amp;cst_wskakunin_owner7_POST&amp;"　"&amp;cst_wskakunin_owner7_NAME))</f>
        <v/>
      </c>
      <c r="H180" s="15"/>
    </row>
    <row r="181" spans="1:8" ht="15" customHeight="1">
      <c r="A181" s="221"/>
      <c r="B181" s="72" t="s">
        <v>2772</v>
      </c>
      <c r="D181" s="32"/>
      <c r="E181" s="14" t="s">
        <v>2884</v>
      </c>
      <c r="F181" s="151" t="str">
        <f>IF(wskakunin_owner7_JIMU_NAME_KANA="",cst_wskakunin_owner7_NAME_KANA,IF(wskakunin_owner7_POST_KANA="",cst_wskakunin_owner7_NAME_KANA,cst_wskakunin_owner7_JIMU_NAME_KANA&amp;"　"&amp;cst_wskakunin_owner7_POST_KANA&amp;"　"&amp;cst_wskakunin_owner7_NAME_KANA))</f>
        <v/>
      </c>
      <c r="H181" s="15"/>
    </row>
    <row r="182" spans="1:8" ht="15" customHeight="1">
      <c r="A182" s="48"/>
      <c r="B182" s="150"/>
      <c r="D182" s="32"/>
      <c r="F182" s="15"/>
      <c r="H182" s="15"/>
    </row>
    <row r="183" spans="1:8" ht="15" customHeight="1">
      <c r="A183" s="44" t="s">
        <v>1410</v>
      </c>
      <c r="B183" s="47"/>
      <c r="H183" s="15"/>
    </row>
    <row r="184" spans="1:8" ht="15" customHeight="1">
      <c r="A184" s="81"/>
      <c r="B184" s="75" t="s">
        <v>35</v>
      </c>
      <c r="C184" s="14" t="s">
        <v>1517</v>
      </c>
      <c r="D184" s="151"/>
      <c r="E184" s="14" t="s">
        <v>1518</v>
      </c>
      <c r="F184" s="151" t="str">
        <f>IF(wskakunin_owner8_JIMU_NAME="", "", wskakunin_owner8_JIMU_NAME)</f>
        <v/>
      </c>
      <c r="H184" s="15"/>
    </row>
    <row r="185" spans="1:8" ht="15" customHeight="1">
      <c r="A185" s="81"/>
      <c r="B185" s="75" t="s">
        <v>99</v>
      </c>
      <c r="C185" s="14" t="s">
        <v>1519</v>
      </c>
      <c r="D185" s="151"/>
      <c r="E185" s="14" t="s">
        <v>1520</v>
      </c>
      <c r="F185" s="151" t="str">
        <f>IF(wskakunin_owner8_JIMU_NAME_KANA="","",wskakunin_owner8_JIMU_NAME_KANA)</f>
        <v/>
      </c>
      <c r="H185" s="15"/>
    </row>
    <row r="186" spans="1:8" ht="15" customHeight="1">
      <c r="A186" s="81"/>
      <c r="B186" s="75" t="s">
        <v>33</v>
      </c>
      <c r="C186" s="14" t="s">
        <v>1521</v>
      </c>
      <c r="D186" s="151"/>
      <c r="E186" s="14" t="s">
        <v>1522</v>
      </c>
      <c r="F186" s="151" t="str">
        <f>IF(wskakunin_owner8_POST="", "", wskakunin_owner8_POST)</f>
        <v/>
      </c>
      <c r="H186" s="15"/>
    </row>
    <row r="187" spans="1:8" ht="15" customHeight="1">
      <c r="A187" s="81"/>
      <c r="B187" s="75" t="s">
        <v>100</v>
      </c>
      <c r="C187" s="14" t="s">
        <v>1523</v>
      </c>
      <c r="D187" s="151"/>
      <c r="E187" s="14" t="s">
        <v>1524</v>
      </c>
      <c r="F187" s="151" t="str">
        <f>IF(wskakunin_owner8_POST_KANA="","",wskakunin_owner8_POST_KANA)</f>
        <v/>
      </c>
      <c r="H187" s="15"/>
    </row>
    <row r="188" spans="1:8" ht="15" customHeight="1">
      <c r="A188" s="81"/>
      <c r="B188" s="75" t="s">
        <v>7</v>
      </c>
      <c r="C188" s="14" t="s">
        <v>1525</v>
      </c>
      <c r="D188" s="151"/>
      <c r="E188" s="14" t="s">
        <v>1526</v>
      </c>
      <c r="F188" s="151" t="str">
        <f>IF(wskakunin_owner8_NAME="", "", wskakunin_owner8_NAME)</f>
        <v/>
      </c>
      <c r="H188" s="15"/>
    </row>
    <row r="189" spans="1:8" ht="15" customHeight="1">
      <c r="A189" s="48"/>
      <c r="B189" s="75" t="s">
        <v>101</v>
      </c>
      <c r="C189" s="14" t="s">
        <v>1527</v>
      </c>
      <c r="D189" s="151"/>
      <c r="E189" s="14" t="s">
        <v>1528</v>
      </c>
      <c r="F189" s="151" t="str">
        <f>IF(wskakunin_owner8_NAME_KANA="","",wskakunin_owner8_NAME_KANA)</f>
        <v/>
      </c>
      <c r="H189" s="15"/>
    </row>
    <row r="190" spans="1:8" ht="15" customHeight="1">
      <c r="A190" s="48"/>
      <c r="B190" s="75" t="s">
        <v>8</v>
      </c>
      <c r="C190" s="14" t="s">
        <v>1529</v>
      </c>
      <c r="D190" s="233"/>
      <c r="E190" s="14" t="s">
        <v>1530</v>
      </c>
      <c r="F190" s="151" t="str">
        <f>IF(wskakunin_owner8_ZIP="", "", wskakunin_owner8_ZIP)</f>
        <v/>
      </c>
      <c r="H190" s="15"/>
    </row>
    <row r="191" spans="1:8" ht="15" customHeight="1">
      <c r="A191" s="48"/>
      <c r="B191" s="75" t="s">
        <v>9</v>
      </c>
      <c r="C191" s="14" t="s">
        <v>1531</v>
      </c>
      <c r="D191" s="151"/>
      <c r="E191" s="14" t="s">
        <v>1532</v>
      </c>
      <c r="F191" s="151" t="str">
        <f>IF(wskakunin_owner8__address="", "", wskakunin_owner8__address)</f>
        <v/>
      </c>
      <c r="H191" s="15"/>
    </row>
    <row r="192" spans="1:8" ht="15" customHeight="1">
      <c r="A192" s="48"/>
      <c r="B192" s="75" t="s">
        <v>10</v>
      </c>
      <c r="C192" s="14" t="s">
        <v>1533</v>
      </c>
      <c r="D192" s="233"/>
      <c r="E192" s="14" t="s">
        <v>1534</v>
      </c>
      <c r="F192" s="151" t="str">
        <f>IF(wskakunin_owner8_TEL="", "", wskakunin_owner8_TEL)</f>
        <v/>
      </c>
      <c r="H192" s="15"/>
    </row>
    <row r="193" spans="1:8" ht="15" customHeight="1">
      <c r="A193" s="221"/>
      <c r="B193" s="72" t="s">
        <v>97</v>
      </c>
      <c r="D193" s="32"/>
      <c r="E193" s="14" t="s">
        <v>2888</v>
      </c>
      <c r="F193" s="151" t="str">
        <f>IF(wskakunin_owner8_JIMU_NAME="",cst_wskakunin_owner8_NAME,IF(wskakunin_owner8_POST="",cst_wskakunin_owner8_NAME,cst_wskakunin_owner8_JIMU_NAME&amp;"　"&amp;cst_wskakunin_owner8_POST&amp;"　"&amp;cst_wskakunin_owner8_NAME))</f>
        <v/>
      </c>
      <c r="H193" s="15"/>
    </row>
    <row r="194" spans="1:8" ht="15" customHeight="1">
      <c r="A194" s="221"/>
      <c r="B194" s="72" t="s">
        <v>2772</v>
      </c>
      <c r="D194" s="32"/>
      <c r="E194" s="14" t="s">
        <v>2885</v>
      </c>
      <c r="F194" s="151" t="str">
        <f>IF(wskakunin_owner8_JIMU_NAME_KANA="",cst_wskakunin_owner8_NAME_KANA,IF(wskakunin_owner8_POST_KANA="",cst_wskakunin_owner8_NAME_KANA,cst_wskakunin_owner8_JIMU_NAME_KANA&amp;"　"&amp;cst_wskakunin_owner8_POST_KANA&amp;"　"&amp;cst_wskakunin_owner8_NAME_KANA))</f>
        <v/>
      </c>
      <c r="H194" s="15"/>
    </row>
    <row r="195" spans="1:8" ht="15" customHeight="1">
      <c r="A195" s="48"/>
      <c r="B195" s="150"/>
      <c r="D195" s="32"/>
      <c r="F195" s="15"/>
      <c r="H195" s="15"/>
    </row>
    <row r="196" spans="1:8" ht="15" customHeight="1">
      <c r="A196" s="44" t="s">
        <v>1411</v>
      </c>
      <c r="B196" s="47"/>
      <c r="H196" s="15"/>
    </row>
    <row r="197" spans="1:8" ht="15" customHeight="1">
      <c r="A197" s="81"/>
      <c r="B197" s="75" t="s">
        <v>35</v>
      </c>
      <c r="C197" s="14" t="s">
        <v>1535</v>
      </c>
      <c r="D197" s="151"/>
      <c r="E197" s="14" t="s">
        <v>1536</v>
      </c>
      <c r="F197" s="151" t="str">
        <f>IF(wskakunin_owner9_JIMU_NAME="", "", wskakunin_owner9_JIMU_NAME)</f>
        <v/>
      </c>
      <c r="H197" s="15"/>
    </row>
    <row r="198" spans="1:8" ht="15" customHeight="1">
      <c r="A198" s="81"/>
      <c r="B198" s="75" t="s">
        <v>99</v>
      </c>
      <c r="C198" s="14" t="s">
        <v>1537</v>
      </c>
      <c r="D198" s="151"/>
      <c r="E198" s="14" t="s">
        <v>1538</v>
      </c>
      <c r="F198" s="151" t="str">
        <f>IF(wskakunin_owner9_JIMU_NAME_KANA="","",wskakunin_owner9_JIMU_NAME_KANA)</f>
        <v/>
      </c>
      <c r="H198" s="15"/>
    </row>
    <row r="199" spans="1:8" ht="15" customHeight="1">
      <c r="A199" s="81"/>
      <c r="B199" s="75" t="s">
        <v>33</v>
      </c>
      <c r="C199" s="14" t="s">
        <v>1539</v>
      </c>
      <c r="D199" s="151"/>
      <c r="E199" s="14" t="s">
        <v>1540</v>
      </c>
      <c r="F199" s="151" t="str">
        <f>IF(wskakunin_owner9_POST="", "", wskakunin_owner9_POST)</f>
        <v/>
      </c>
      <c r="H199" s="15"/>
    </row>
    <row r="200" spans="1:8" ht="15" customHeight="1">
      <c r="A200" s="81"/>
      <c r="B200" s="75" t="s">
        <v>100</v>
      </c>
      <c r="C200" s="14" t="s">
        <v>1541</v>
      </c>
      <c r="D200" s="151"/>
      <c r="E200" s="14" t="s">
        <v>1542</v>
      </c>
      <c r="F200" s="151" t="str">
        <f>IF(wskakunin_owner9_POST_KANA="","",wskakunin_owner9_POST_KANA)</f>
        <v/>
      </c>
      <c r="H200" s="15"/>
    </row>
    <row r="201" spans="1:8" ht="15" customHeight="1">
      <c r="A201" s="81"/>
      <c r="B201" s="75" t="s">
        <v>7</v>
      </c>
      <c r="C201" s="14" t="s">
        <v>1543</v>
      </c>
      <c r="D201" s="151"/>
      <c r="E201" s="14" t="s">
        <v>1544</v>
      </c>
      <c r="F201" s="151" t="str">
        <f>IF(wskakunin_owner9_NAME="", "", wskakunin_owner9_NAME)</f>
        <v/>
      </c>
      <c r="H201" s="15"/>
    </row>
    <row r="202" spans="1:8" ht="15" customHeight="1">
      <c r="A202" s="48"/>
      <c r="B202" s="75" t="s">
        <v>101</v>
      </c>
      <c r="C202" s="14" t="s">
        <v>1545</v>
      </c>
      <c r="D202" s="151"/>
      <c r="E202" s="14" t="s">
        <v>1546</v>
      </c>
      <c r="F202" s="151" t="str">
        <f>IF(wskakunin_owner9_NAME_KANA="","",wskakunin_owner9_NAME_KANA)</f>
        <v/>
      </c>
      <c r="H202" s="15"/>
    </row>
    <row r="203" spans="1:8" ht="15" customHeight="1">
      <c r="A203" s="48"/>
      <c r="B203" s="75" t="s">
        <v>8</v>
      </c>
      <c r="C203" s="14" t="s">
        <v>1547</v>
      </c>
      <c r="D203" s="233"/>
      <c r="E203" s="14" t="s">
        <v>1548</v>
      </c>
      <c r="F203" s="151" t="str">
        <f>IF(wskakunin_owner9_ZIP="", "", wskakunin_owner9_ZIP)</f>
        <v/>
      </c>
      <c r="H203" s="15"/>
    </row>
    <row r="204" spans="1:8" ht="15" customHeight="1">
      <c r="A204" s="48"/>
      <c r="B204" s="75" t="s">
        <v>9</v>
      </c>
      <c r="C204" s="14" t="s">
        <v>1549</v>
      </c>
      <c r="D204" s="151"/>
      <c r="E204" s="14" t="s">
        <v>1550</v>
      </c>
      <c r="F204" s="151" t="str">
        <f>IF(wskakunin_owner9__address="", "", wskakunin_owner9__address)</f>
        <v/>
      </c>
      <c r="H204" s="15"/>
    </row>
    <row r="205" spans="1:8" ht="15" customHeight="1">
      <c r="A205" s="48"/>
      <c r="B205" s="75" t="s">
        <v>10</v>
      </c>
      <c r="C205" s="14" t="s">
        <v>1551</v>
      </c>
      <c r="D205" s="233"/>
      <c r="E205" s="14" t="s">
        <v>1552</v>
      </c>
      <c r="F205" s="151" t="str">
        <f>IF(wskakunin_owner9_TEL="", "", wskakunin_owner9_TEL)</f>
        <v/>
      </c>
      <c r="H205" s="15"/>
    </row>
    <row r="206" spans="1:8" ht="15" customHeight="1">
      <c r="A206" s="48"/>
      <c r="B206" s="150"/>
      <c r="D206" s="32"/>
      <c r="F206" s="15"/>
      <c r="H206" s="15"/>
    </row>
    <row r="207" spans="1:8" ht="15" customHeight="1">
      <c r="A207" s="50" t="s">
        <v>45</v>
      </c>
      <c r="B207" s="109"/>
      <c r="G207" s="15"/>
      <c r="H207" s="15"/>
    </row>
    <row r="208" spans="1:8" ht="15" customHeight="1">
      <c r="A208" s="110"/>
      <c r="B208" s="74" t="s">
        <v>542</v>
      </c>
      <c r="C208" s="14" t="s">
        <v>508</v>
      </c>
      <c r="D208" s="239" t="s">
        <v>4140</v>
      </c>
      <c r="E208" s="14" t="s">
        <v>92</v>
      </c>
      <c r="F208" s="239" t="str">
        <f>IF(wskakunin_dairi1__sikaku="", "", wskakunin_dairi1__sikaku)</f>
        <v>一級建築士国土交通大臣登録第111111号</v>
      </c>
      <c r="G208" s="15"/>
      <c r="H208" s="15"/>
    </row>
    <row r="209" spans="1:8" ht="15" customHeight="1">
      <c r="A209" s="110"/>
      <c r="B209" s="74" t="s">
        <v>543</v>
      </c>
      <c r="C209" s="14" t="s">
        <v>540</v>
      </c>
      <c r="D209" s="239" t="s">
        <v>120</v>
      </c>
      <c r="E209" s="14" t="s">
        <v>562</v>
      </c>
      <c r="F209" s="239" t="str">
        <f>IF(wskakunin_dairi1_SIKAKU__label="","",wskakunin_dairi1_SIKAKU__label)</f>
        <v>一級</v>
      </c>
      <c r="G209" s="15"/>
      <c r="H209" s="15"/>
    </row>
    <row r="210" spans="1:8" ht="15" customHeight="1">
      <c r="A210" s="110"/>
      <c r="B210" s="74" t="s">
        <v>538</v>
      </c>
      <c r="C210" s="14" t="s">
        <v>1357</v>
      </c>
      <c r="D210" s="239" t="s">
        <v>4147</v>
      </c>
      <c r="E210" s="14" t="s">
        <v>563</v>
      </c>
      <c r="F210" s="239" t="str">
        <f>IF(wskakunin_dairi1_TOUROKU_KIKAN__label="","",wskakunin_dairi1_TOUROKU_KIKAN__label)</f>
        <v>国土交通大臣</v>
      </c>
      <c r="G210" s="15"/>
      <c r="H210" s="15"/>
    </row>
    <row r="211" spans="1:8" ht="15" customHeight="1">
      <c r="A211" s="110"/>
      <c r="B211" s="74" t="s">
        <v>539</v>
      </c>
      <c r="C211" s="14" t="s">
        <v>541</v>
      </c>
      <c r="D211" s="241" t="s">
        <v>4144</v>
      </c>
      <c r="E211" s="14" t="s">
        <v>561</v>
      </c>
      <c r="F211" s="239" t="str">
        <f>IF(wskakunin_dairi1_KENTIKUSI_NO="","",wskakunin_dairi1_KENTIKUSI_NO)</f>
        <v>111111</v>
      </c>
      <c r="G211" s="15"/>
      <c r="H211" s="15"/>
    </row>
    <row r="212" spans="1:8" ht="15" customHeight="1">
      <c r="A212" s="263"/>
      <c r="B212" s="74" t="s">
        <v>33</v>
      </c>
      <c r="C212" s="14" t="s">
        <v>2681</v>
      </c>
      <c r="D212" s="241"/>
      <c r="E212" s="14" t="s">
        <v>2682</v>
      </c>
      <c r="F212" s="239" t="str">
        <f>IF(wsflat35_dairi1_POST="","",wsflat35_dairi1_POST)</f>
        <v/>
      </c>
      <c r="G212" s="15"/>
      <c r="H212" s="15"/>
    </row>
    <row r="213" spans="1:8" ht="15" customHeight="1">
      <c r="A213" s="59"/>
      <c r="B213" s="74" t="s">
        <v>7</v>
      </c>
      <c r="C213" s="14" t="s">
        <v>73</v>
      </c>
      <c r="D213" s="239" t="s">
        <v>4145</v>
      </c>
      <c r="E213" s="14" t="s">
        <v>2750</v>
      </c>
      <c r="F213" s="239" t="str">
        <f>IF(wskakunin_dairi1_NAME="", "", wskakunin_dairi1_NAME)</f>
        <v>藤田　ゆき子</v>
      </c>
      <c r="G213" s="15"/>
      <c r="H213" s="15"/>
    </row>
    <row r="214" spans="1:8" ht="15" customHeight="1">
      <c r="A214" s="261"/>
      <c r="B214" s="74"/>
      <c r="D214" s="15"/>
      <c r="E214" s="14" t="s">
        <v>2751</v>
      </c>
      <c r="F214" s="239" t="str">
        <f>IF(wsflat35_dairi1_POST&amp;wskakunin_dairi1_NAME="","",IF(wsflat35_dairi1_POST="",wskakunin_dairi1_NAME,wsflat35_dairi1_POST&amp;"　"&amp;wskakunin_dairi1_NAME))</f>
        <v>藤田　ゆき子</v>
      </c>
      <c r="G214" s="15"/>
      <c r="H214" s="15"/>
    </row>
    <row r="215" spans="1:8" ht="15" customHeight="1">
      <c r="A215" s="59"/>
      <c r="B215" s="74" t="s">
        <v>39</v>
      </c>
      <c r="C215" s="14" t="s">
        <v>74</v>
      </c>
      <c r="D215" s="239"/>
      <c r="E215" s="14" t="s">
        <v>93</v>
      </c>
      <c r="F215" s="239" t="str">
        <f>IF(wskakunin_dairi1_NAME_KANA="", "", wskakunin_dairi1_NAME_KANA)</f>
        <v/>
      </c>
      <c r="G215" s="15"/>
      <c r="H215" s="15"/>
    </row>
    <row r="216" spans="1:8" ht="15" customHeight="1">
      <c r="A216" s="59"/>
      <c r="B216" s="74" t="s">
        <v>544</v>
      </c>
      <c r="C216" s="14" t="s">
        <v>547</v>
      </c>
      <c r="D216" s="239" t="s">
        <v>4141</v>
      </c>
      <c r="E216" s="14" t="s">
        <v>94</v>
      </c>
      <c r="F216" s="239" t="str">
        <f>IF(wskakunin_dairi1_JIMU__sikaku="", "", wskakunin_dairi1_JIMU__sikaku)</f>
        <v>一級建築士事務所東京都知事登録第11111号</v>
      </c>
      <c r="G216" s="15"/>
      <c r="H216" s="15"/>
    </row>
    <row r="217" spans="1:8" ht="15" customHeight="1">
      <c r="A217" s="59"/>
      <c r="B217" s="74" t="s">
        <v>36</v>
      </c>
      <c r="C217" s="14" t="s">
        <v>548</v>
      </c>
      <c r="D217" s="239" t="s">
        <v>120</v>
      </c>
      <c r="E217" s="14" t="s">
        <v>1399</v>
      </c>
      <c r="F217" s="239" t="str">
        <f>IF(wskakunin_dairi1_JIMU_SIKAKU__label="","",wskakunin_dairi1_JIMU_SIKAKU__label)</f>
        <v>一級</v>
      </c>
      <c r="G217" s="15"/>
      <c r="H217" s="15"/>
    </row>
    <row r="218" spans="1:8" ht="15" customHeight="1">
      <c r="A218" s="59"/>
      <c r="B218" s="74" t="s">
        <v>545</v>
      </c>
      <c r="C218" s="14" t="s">
        <v>1356</v>
      </c>
      <c r="D218" s="239" t="s">
        <v>475</v>
      </c>
      <c r="E218" s="14" t="s">
        <v>564</v>
      </c>
      <c r="F218" s="239" t="str">
        <f>IF(wskakunin_dairi1_JIMU_TOUROKU_KIKAN__label="","",wskakunin_dairi1_JIMU_TOUROKU_KIKAN__label)</f>
        <v>東京都</v>
      </c>
      <c r="G218" s="15"/>
      <c r="H218" s="15"/>
    </row>
    <row r="219" spans="1:8" ht="15" customHeight="1">
      <c r="A219" s="59"/>
      <c r="B219" s="74" t="s">
        <v>546</v>
      </c>
      <c r="C219" s="14" t="s">
        <v>549</v>
      </c>
      <c r="D219" s="241" t="s">
        <v>4143</v>
      </c>
      <c r="E219" s="14" t="s">
        <v>565</v>
      </c>
      <c r="F219" s="239" t="str">
        <f>IF(wskakunin_dairi1_JIMU_NO="","",wskakunin_dairi1_JIMU_NO)</f>
        <v>11111</v>
      </c>
      <c r="G219" s="15"/>
      <c r="H219" s="15"/>
    </row>
    <row r="220" spans="1:8" ht="15" customHeight="1">
      <c r="A220" s="59"/>
      <c r="B220" s="74" t="s">
        <v>37</v>
      </c>
      <c r="C220" s="14" t="s">
        <v>75</v>
      </c>
      <c r="D220" s="239" t="s">
        <v>4142</v>
      </c>
      <c r="E220" s="14" t="s">
        <v>103</v>
      </c>
      <c r="F220" s="239" t="str">
        <f>IF(wskakunin_dairi1_JIMU_NAME="", "",wskakunin_dairi1_JIMU_NAME)</f>
        <v>一級建築士事務所　UHEC</v>
      </c>
      <c r="G220" s="15"/>
      <c r="H220" s="15"/>
    </row>
    <row r="221" spans="1:8" ht="15" customHeight="1">
      <c r="A221" s="59"/>
      <c r="B221" s="74" t="s">
        <v>8</v>
      </c>
      <c r="C221" s="14" t="s">
        <v>76</v>
      </c>
      <c r="D221" s="241" t="s">
        <v>4148</v>
      </c>
      <c r="E221" s="14" t="s">
        <v>104</v>
      </c>
      <c r="F221" s="239" t="str">
        <f>IF(wskakunin_dairi1_ZIP="", "", wskakunin_dairi1_ZIP)</f>
        <v>105-0001</v>
      </c>
      <c r="G221" s="15"/>
      <c r="H221" s="15"/>
    </row>
    <row r="222" spans="1:8" ht="15" customHeight="1">
      <c r="A222" s="59"/>
      <c r="B222" s="74" t="s">
        <v>12</v>
      </c>
      <c r="C222" s="14" t="s">
        <v>77</v>
      </c>
      <c r="D222" s="239" t="s">
        <v>4139</v>
      </c>
      <c r="E222" s="14" t="s">
        <v>105</v>
      </c>
      <c r="F222" s="239" t="str">
        <f>IF(wskakunin_dairi1__address="", "", wskakunin_dairi1__address)</f>
        <v>東京都港区虎ノ門1-1-21</v>
      </c>
      <c r="G222" s="15"/>
      <c r="H222" s="15"/>
    </row>
    <row r="223" spans="1:8" ht="15" customHeight="1">
      <c r="A223" s="59"/>
      <c r="B223" s="74" t="s">
        <v>10</v>
      </c>
      <c r="C223" s="14" t="s">
        <v>78</v>
      </c>
      <c r="D223" s="241" t="s">
        <v>4146</v>
      </c>
      <c r="E223" s="14" t="s">
        <v>106</v>
      </c>
      <c r="F223" s="239" t="str">
        <f>IF(wskakunin_dairi1_TEL="", "", wskakunin_dairi1_TEL)</f>
        <v>03-3504-2386</v>
      </c>
      <c r="G223" s="15"/>
      <c r="H223" s="15"/>
    </row>
    <row r="224" spans="1:8" ht="15" customHeight="1">
      <c r="A224" s="59"/>
      <c r="B224" s="74" t="s">
        <v>611</v>
      </c>
      <c r="C224" s="14" t="s">
        <v>612</v>
      </c>
      <c r="D224" s="241"/>
      <c r="E224" s="14" t="s">
        <v>613</v>
      </c>
      <c r="F224" s="239" t="str">
        <f>IF(wskakunin_dairi1_FAX="", "", wskakunin_dairi1_FAX)</f>
        <v/>
      </c>
      <c r="G224" s="15"/>
      <c r="H224" s="15"/>
    </row>
    <row r="225" spans="1:8" ht="15" customHeight="1">
      <c r="A225" s="59"/>
      <c r="B225" s="111" t="s">
        <v>98</v>
      </c>
      <c r="D225" s="15"/>
      <c r="E225" s="14" t="s">
        <v>115</v>
      </c>
      <c r="F225" s="239" t="str">
        <f>IF(wskakunin_dairi1_NAME&amp;wskakunin_dairi1_JIMU_NAME="","",IF(wskakunin_dairi1_JIMU_NAME="",wskakunin_dairi1_NAME,wskakunin_dairi1_JIMU_NAME&amp;"　"&amp;wskakunin_dairi1_NAME))</f>
        <v>一級建築士事務所　UHEC　藤田　ゆき子</v>
      </c>
      <c r="G225" s="15"/>
      <c r="H225" s="15"/>
    </row>
    <row r="226" spans="1:8" ht="15" customHeight="1">
      <c r="A226" s="261"/>
      <c r="B226" s="262"/>
      <c r="D226" s="15"/>
      <c r="E226" s="14" t="s">
        <v>2680</v>
      </c>
      <c r="F226" s="239" t="str">
        <f>IF(AND(cst_wskakunin_dairi1_JIMU_NAME="",cst_wsflat35_dairi1_POST=""),cst_wskakunin_dairi1_NAME,IF(cst_wskakunin_dairi1_JIMU_NAME="",cst_wsflat35_dairi1_POST&amp;"　"&amp;cst_wskakunin_dairi1_NAME,IF(cst_wsflat35_dairi1_POST="",cst_wskakunin_dairi1_JIMU_NAME&amp;"　"&amp;cst_wskakunin_dairi1_NAME,cst_wskakunin_dairi1_JIMU_NAME&amp;"　"&amp;cst_wsflat35_dairi1_POST&amp;"　"&amp;cst_wskakunin_dairi1_NAME)))</f>
        <v>一級建築士事務所　UHEC　藤田　ゆき子</v>
      </c>
      <c r="G226" s="15"/>
      <c r="H226" s="15"/>
    </row>
    <row r="227" spans="1:8" ht="15" customHeight="1">
      <c r="A227" s="261"/>
      <c r="B227" s="262"/>
      <c r="D227" s="32"/>
      <c r="E227" s="14" t="s">
        <v>2787</v>
      </c>
      <c r="F227" s="239" t="str">
        <f>wskakunin_dairi1_JIMU_NAME&amp;IF(wskakunin_dairi1_JIMU_NAME="","",CHAR(10))&amp;wskakunin_dairi1_NAME</f>
        <v>一級建築士事務所　UHEC
藤田　ゆき子</v>
      </c>
      <c r="G227" s="15"/>
      <c r="H227" s="15"/>
    </row>
    <row r="228" spans="1:8" ht="15" customHeight="1">
      <c r="A228" s="50" t="s">
        <v>1553</v>
      </c>
      <c r="B228" s="109"/>
      <c r="G228" s="15"/>
      <c r="H228" s="15"/>
    </row>
    <row r="229" spans="1:8" ht="15" customHeight="1">
      <c r="A229" s="110"/>
      <c r="B229" s="74" t="s">
        <v>542</v>
      </c>
      <c r="C229" s="14" t="s">
        <v>1557</v>
      </c>
      <c r="D229" s="239"/>
      <c r="E229" s="14" t="s">
        <v>1558</v>
      </c>
      <c r="F229" s="239" t="str">
        <f>IF(wskakunin_dairi2__sikaku="", "", wskakunin_dairi2__sikaku)</f>
        <v/>
      </c>
      <c r="H229" s="15"/>
    </row>
    <row r="230" spans="1:8" ht="15" customHeight="1">
      <c r="A230" s="110"/>
      <c r="B230" s="74" t="s">
        <v>543</v>
      </c>
      <c r="C230" s="14" t="s">
        <v>1559</v>
      </c>
      <c r="D230" s="239"/>
      <c r="E230" s="14" t="s">
        <v>1560</v>
      </c>
      <c r="F230" s="239" t="str">
        <f>IF(wskakunin_dairi2_SIKAKU__label="","",wskakunin_dairi2_SIKAKU__label)</f>
        <v/>
      </c>
      <c r="H230" s="15"/>
    </row>
    <row r="231" spans="1:8" ht="15" customHeight="1">
      <c r="A231" s="110"/>
      <c r="B231" s="74" t="s">
        <v>538</v>
      </c>
      <c r="C231" s="14" t="s">
        <v>1561</v>
      </c>
      <c r="D231" s="239"/>
      <c r="E231" s="14" t="s">
        <v>1562</v>
      </c>
      <c r="F231" s="239" t="str">
        <f>IF(wskakunin_dairi2_TOUROKU_KIKAN__label="","",wskakunin_dairi2_TOUROKU_KIKAN__label)</f>
        <v/>
      </c>
      <c r="H231" s="15"/>
    </row>
    <row r="232" spans="1:8" ht="15" customHeight="1">
      <c r="A232" s="110"/>
      <c r="B232" s="74" t="s">
        <v>539</v>
      </c>
      <c r="C232" s="14" t="s">
        <v>1563</v>
      </c>
      <c r="D232" s="241"/>
      <c r="E232" s="14" t="s">
        <v>1564</v>
      </c>
      <c r="F232" s="239" t="str">
        <f>IF(wskakunin_dairi2_KENTIKUSI_NO="","",wskakunin_dairi2_KENTIKUSI_NO)</f>
        <v/>
      </c>
      <c r="H232" s="15"/>
    </row>
    <row r="233" spans="1:8" ht="15" customHeight="1">
      <c r="A233" s="59"/>
      <c r="B233" s="74" t="s">
        <v>7</v>
      </c>
      <c r="C233" s="14" t="s">
        <v>1565</v>
      </c>
      <c r="D233" s="239"/>
      <c r="E233" s="14" t="s">
        <v>1566</v>
      </c>
      <c r="F233" s="239" t="str">
        <f>IF(wskakunin_dairi2_NAME="", "", wskakunin_dairi2_NAME)</f>
        <v/>
      </c>
      <c r="H233" s="15"/>
    </row>
    <row r="234" spans="1:8" ht="15" customHeight="1">
      <c r="A234" s="59"/>
      <c r="B234" s="74" t="s">
        <v>39</v>
      </c>
      <c r="C234" s="14" t="s">
        <v>1567</v>
      </c>
      <c r="D234" s="239"/>
      <c r="E234" s="14" t="s">
        <v>1568</v>
      </c>
      <c r="F234" s="239" t="str">
        <f>IF(wskakunin_dairi2_NAME_KANA="", "", wskakunin_dairi2_NAME_KANA)</f>
        <v/>
      </c>
      <c r="H234" s="15"/>
    </row>
    <row r="235" spans="1:8" ht="15" customHeight="1">
      <c r="A235" s="59"/>
      <c r="B235" s="74" t="s">
        <v>544</v>
      </c>
      <c r="C235" s="14" t="s">
        <v>1569</v>
      </c>
      <c r="D235" s="239"/>
      <c r="E235" s="14" t="s">
        <v>1570</v>
      </c>
      <c r="F235" s="239" t="str">
        <f>IF(wskakunin_dairi2_JIMU__sikaku="", "", wskakunin_dairi2_JIMU__sikaku)</f>
        <v/>
      </c>
      <c r="H235" s="15"/>
    </row>
    <row r="236" spans="1:8" ht="15" customHeight="1">
      <c r="A236" s="59"/>
      <c r="B236" s="74" t="s">
        <v>36</v>
      </c>
      <c r="C236" s="14" t="s">
        <v>1571</v>
      </c>
      <c r="D236" s="239"/>
      <c r="E236" s="14" t="s">
        <v>1572</v>
      </c>
      <c r="F236" s="239" t="str">
        <f>IF(wskakunin_dairi2_JIMU_SIKAKU__label="","",wskakunin_dairi2_JIMU_SIKAKU__label)</f>
        <v/>
      </c>
      <c r="H236" s="15"/>
    </row>
    <row r="237" spans="1:8" ht="15" customHeight="1">
      <c r="A237" s="59"/>
      <c r="B237" s="74" t="s">
        <v>545</v>
      </c>
      <c r="C237" s="14" t="s">
        <v>1573</v>
      </c>
      <c r="D237" s="239"/>
      <c r="E237" s="14" t="s">
        <v>1574</v>
      </c>
      <c r="F237" s="239" t="str">
        <f>IF(wskakunin_dairi2_JIMU_TOUROKU_KIKAN__label="","",wskakunin_dairi2_JIMU_TOUROKU_KIKAN__label)</f>
        <v/>
      </c>
      <c r="H237" s="15"/>
    </row>
    <row r="238" spans="1:8" ht="15" customHeight="1">
      <c r="A238" s="59"/>
      <c r="B238" s="74" t="s">
        <v>546</v>
      </c>
      <c r="C238" s="14" t="s">
        <v>1575</v>
      </c>
      <c r="D238" s="241"/>
      <c r="E238" s="14" t="s">
        <v>1576</v>
      </c>
      <c r="F238" s="239" t="str">
        <f>IF(wskakunin_dairi2_JIMU_NO="","",wskakunin_dairi2_JIMU_NO)</f>
        <v/>
      </c>
      <c r="H238" s="15"/>
    </row>
    <row r="239" spans="1:8" ht="15" customHeight="1">
      <c r="A239" s="59"/>
      <c r="B239" s="74" t="s">
        <v>37</v>
      </c>
      <c r="C239" s="14" t="s">
        <v>1577</v>
      </c>
      <c r="D239" s="239"/>
      <c r="E239" s="14" t="s">
        <v>1578</v>
      </c>
      <c r="F239" s="239" t="str">
        <f>IF(wskakunin_dairi2_JIMU_NAME="", "",wskakunin_dairi2_JIMU_NAME)</f>
        <v/>
      </c>
      <c r="H239" s="15"/>
    </row>
    <row r="240" spans="1:8" ht="15" customHeight="1">
      <c r="A240" s="59"/>
      <c r="B240" s="74" t="s">
        <v>8</v>
      </c>
      <c r="C240" s="14" t="s">
        <v>1579</v>
      </c>
      <c r="D240" s="241"/>
      <c r="E240" s="14" t="s">
        <v>1580</v>
      </c>
      <c r="F240" s="239" t="str">
        <f>IF(wskakunin_dairi2_ZIP="", "", wskakunin_dairi2_ZIP)</f>
        <v/>
      </c>
      <c r="H240" s="15"/>
    </row>
    <row r="241" spans="1:8" ht="15" customHeight="1">
      <c r="A241" s="59"/>
      <c r="B241" s="74" t="s">
        <v>12</v>
      </c>
      <c r="C241" s="14" t="s">
        <v>1581</v>
      </c>
      <c r="D241" s="239"/>
      <c r="E241" s="14" t="s">
        <v>1582</v>
      </c>
      <c r="F241" s="239" t="str">
        <f>IF(wskakunin_dairi2__address="", "", wskakunin_dairi2__address)</f>
        <v/>
      </c>
      <c r="H241" s="15"/>
    </row>
    <row r="242" spans="1:8" ht="15" customHeight="1">
      <c r="A242" s="59"/>
      <c r="B242" s="74" t="s">
        <v>10</v>
      </c>
      <c r="C242" s="14" t="s">
        <v>1583</v>
      </c>
      <c r="D242" s="241"/>
      <c r="E242" s="14" t="s">
        <v>1584</v>
      </c>
      <c r="F242" s="239" t="str">
        <f>IF(wskakunin_dairi2_TEL="", "", wskakunin_dairi2_TEL)</f>
        <v/>
      </c>
      <c r="H242" s="15"/>
    </row>
    <row r="243" spans="1:8" ht="15" customHeight="1">
      <c r="A243" s="59"/>
      <c r="B243" s="74" t="s">
        <v>611</v>
      </c>
      <c r="C243" s="14" t="s">
        <v>1585</v>
      </c>
      <c r="D243" s="241"/>
      <c r="E243" s="14" t="s">
        <v>1586</v>
      </c>
      <c r="F243" s="239" t="str">
        <f>IF(wskakunin_dairi2_FAX="", "", wskakunin_dairi2_FAX)</f>
        <v/>
      </c>
      <c r="H243" s="15"/>
    </row>
    <row r="244" spans="1:8" ht="15" customHeight="1">
      <c r="A244" s="59"/>
      <c r="B244" s="111" t="s">
        <v>98</v>
      </c>
      <c r="D244" s="15"/>
      <c r="E244" s="14" t="s">
        <v>1587</v>
      </c>
      <c r="F244" s="239" t="str">
        <f>IF(wskakunin_dairi2_NAME&amp;wskakunin_dairi2_JIMU_NAME="","",IF(wskakunin_dairi2_JIMU_NAME="",wskakunin_dairi2_NAME,wskakunin_dairi2_JIMU_NAME&amp;"　"&amp;wskakunin_dairi2_NAME))</f>
        <v/>
      </c>
      <c r="H244" s="15"/>
    </row>
    <row r="245" spans="1:8" ht="15" customHeight="1">
      <c r="A245" s="60"/>
      <c r="B245" s="112"/>
      <c r="D245" s="32"/>
      <c r="F245" s="15"/>
      <c r="H245" s="15"/>
    </row>
    <row r="246" spans="1:8" ht="15" customHeight="1">
      <c r="A246" s="50" t="s">
        <v>1554</v>
      </c>
      <c r="B246" s="109"/>
      <c r="H246" s="15"/>
    </row>
    <row r="247" spans="1:8" ht="15" customHeight="1">
      <c r="A247" s="110"/>
      <c r="B247" s="74" t="s">
        <v>542</v>
      </c>
      <c r="C247" s="14" t="s">
        <v>1588</v>
      </c>
      <c r="D247" s="239"/>
      <c r="E247" s="14" t="s">
        <v>1589</v>
      </c>
      <c r="F247" s="239" t="str">
        <f>IF(wskakunin_dairi3__sikaku="", "", wskakunin_dairi3__sikaku)</f>
        <v/>
      </c>
      <c r="H247" s="15"/>
    </row>
    <row r="248" spans="1:8" ht="15" customHeight="1">
      <c r="A248" s="110"/>
      <c r="B248" s="74" t="s">
        <v>543</v>
      </c>
      <c r="C248" s="14" t="s">
        <v>1590</v>
      </c>
      <c r="D248" s="239"/>
      <c r="E248" s="14" t="s">
        <v>1591</v>
      </c>
      <c r="F248" s="239" t="str">
        <f>IF(wskakunin_dairi3_SIKAKU__label="","",wskakunin_dairi3_SIKAKU__label)</f>
        <v/>
      </c>
      <c r="H248" s="15"/>
    </row>
    <row r="249" spans="1:8" ht="15" customHeight="1">
      <c r="A249" s="110"/>
      <c r="B249" s="74" t="s">
        <v>538</v>
      </c>
      <c r="C249" s="14" t="s">
        <v>1592</v>
      </c>
      <c r="D249" s="239"/>
      <c r="E249" s="14" t="s">
        <v>1593</v>
      </c>
      <c r="F249" s="239" t="str">
        <f>IF(wskakunin_dairi3_TOUROKU_KIKAN__label="","",wskakunin_dairi3_TOUROKU_KIKAN__label)</f>
        <v/>
      </c>
      <c r="H249" s="15"/>
    </row>
    <row r="250" spans="1:8" ht="15" customHeight="1">
      <c r="A250" s="110"/>
      <c r="B250" s="74" t="s">
        <v>539</v>
      </c>
      <c r="C250" s="14" t="s">
        <v>1594</v>
      </c>
      <c r="D250" s="241"/>
      <c r="E250" s="14" t="s">
        <v>1595</v>
      </c>
      <c r="F250" s="239" t="str">
        <f>IF(wskakunin_dairi3_KENTIKUSI_NO="","",wskakunin_dairi3_KENTIKUSI_NO)</f>
        <v/>
      </c>
      <c r="H250" s="15"/>
    </row>
    <row r="251" spans="1:8" ht="15" customHeight="1">
      <c r="A251" s="59"/>
      <c r="B251" s="74" t="s">
        <v>7</v>
      </c>
      <c r="C251" s="14" t="s">
        <v>1596</v>
      </c>
      <c r="D251" s="239"/>
      <c r="E251" s="14" t="s">
        <v>1597</v>
      </c>
      <c r="F251" s="239" t="str">
        <f>IF(wskakunin_dairi3_NAME="", "", wskakunin_dairi3_NAME)</f>
        <v/>
      </c>
      <c r="H251" s="15"/>
    </row>
    <row r="252" spans="1:8" ht="15" customHeight="1">
      <c r="A252" s="59"/>
      <c r="B252" s="74" t="s">
        <v>39</v>
      </c>
      <c r="C252" s="14" t="s">
        <v>1598</v>
      </c>
      <c r="D252" s="239"/>
      <c r="E252" s="14" t="s">
        <v>1599</v>
      </c>
      <c r="F252" s="239" t="str">
        <f>IF(wskakunin_dairi3_NAME_KANA="", "", wskakunin_dairi3_NAME_KANA)</f>
        <v/>
      </c>
      <c r="H252" s="15"/>
    </row>
    <row r="253" spans="1:8" ht="15" customHeight="1">
      <c r="A253" s="59"/>
      <c r="B253" s="74" t="s">
        <v>544</v>
      </c>
      <c r="C253" s="14" t="s">
        <v>1600</v>
      </c>
      <c r="D253" s="239"/>
      <c r="E253" s="14" t="s">
        <v>1601</v>
      </c>
      <c r="F253" s="239" t="str">
        <f>IF(wskakunin_dairi3_JIMU__sikaku="", "", wskakunin_dairi3_JIMU__sikaku)</f>
        <v/>
      </c>
      <c r="H253" s="15"/>
    </row>
    <row r="254" spans="1:8" ht="15" customHeight="1">
      <c r="A254" s="59"/>
      <c r="B254" s="74" t="s">
        <v>36</v>
      </c>
      <c r="C254" s="14" t="s">
        <v>1602</v>
      </c>
      <c r="D254" s="239"/>
      <c r="E254" s="14" t="s">
        <v>1603</v>
      </c>
      <c r="F254" s="239" t="str">
        <f>IF(wskakunin_dairi3_JIMU_SIKAKU__label="","",wskakunin_dairi3_JIMU_SIKAKU__label)</f>
        <v/>
      </c>
      <c r="H254" s="15"/>
    </row>
    <row r="255" spans="1:8" ht="15" customHeight="1">
      <c r="A255" s="59"/>
      <c r="B255" s="74" t="s">
        <v>545</v>
      </c>
      <c r="C255" s="14" t="s">
        <v>1604</v>
      </c>
      <c r="D255" s="239"/>
      <c r="E255" s="14" t="s">
        <v>1605</v>
      </c>
      <c r="F255" s="239" t="str">
        <f>IF(wskakunin_dairi3_JIMU_TOUROKU_KIKAN__label="","",wskakunin_dairi3_JIMU_TOUROKU_KIKAN__label)</f>
        <v/>
      </c>
      <c r="H255" s="15"/>
    </row>
    <row r="256" spans="1:8" ht="15" customHeight="1">
      <c r="A256" s="59"/>
      <c r="B256" s="74" t="s">
        <v>546</v>
      </c>
      <c r="C256" s="14" t="s">
        <v>1606</v>
      </c>
      <c r="D256" s="241"/>
      <c r="E256" s="14" t="s">
        <v>1607</v>
      </c>
      <c r="F256" s="239" t="str">
        <f>IF(wskakunin_dairi3_JIMU_NO="","",wskakunin_dairi3_JIMU_NO)</f>
        <v/>
      </c>
      <c r="H256" s="15"/>
    </row>
    <row r="257" spans="1:8" ht="15" customHeight="1">
      <c r="A257" s="59"/>
      <c r="B257" s="74" t="s">
        <v>37</v>
      </c>
      <c r="C257" s="14" t="s">
        <v>1608</v>
      </c>
      <c r="D257" s="239"/>
      <c r="E257" s="14" t="s">
        <v>1609</v>
      </c>
      <c r="F257" s="239" t="str">
        <f>IF(wskakunin_dairi3_JIMU_NAME="", "",wskakunin_dairi3_JIMU_NAME)</f>
        <v/>
      </c>
      <c r="H257" s="15"/>
    </row>
    <row r="258" spans="1:8" ht="15" customHeight="1">
      <c r="A258" s="59"/>
      <c r="B258" s="74" t="s">
        <v>8</v>
      </c>
      <c r="C258" s="14" t="s">
        <v>1610</v>
      </c>
      <c r="D258" s="241"/>
      <c r="E258" s="14" t="s">
        <v>1611</v>
      </c>
      <c r="F258" s="239" t="str">
        <f>IF(wskakunin_dairi3_ZIP="", "", wskakunin_dairi3_ZIP)</f>
        <v/>
      </c>
      <c r="H258" s="15"/>
    </row>
    <row r="259" spans="1:8" ht="15" customHeight="1">
      <c r="A259" s="59"/>
      <c r="B259" s="74" t="s">
        <v>12</v>
      </c>
      <c r="C259" s="14" t="s">
        <v>1612</v>
      </c>
      <c r="D259" s="239"/>
      <c r="E259" s="14" t="s">
        <v>1613</v>
      </c>
      <c r="F259" s="239" t="str">
        <f>IF(wskakunin_dairi3__address="", "", wskakunin_dairi3__address)</f>
        <v/>
      </c>
      <c r="H259" s="15"/>
    </row>
    <row r="260" spans="1:8" ht="15" customHeight="1">
      <c r="A260" s="59"/>
      <c r="B260" s="74" t="s">
        <v>10</v>
      </c>
      <c r="C260" s="14" t="s">
        <v>1614</v>
      </c>
      <c r="D260" s="241"/>
      <c r="E260" s="14" t="s">
        <v>1615</v>
      </c>
      <c r="F260" s="239" t="str">
        <f>IF(wskakunin_dairi3_TEL="", "", wskakunin_dairi3_TEL)</f>
        <v/>
      </c>
      <c r="H260" s="15"/>
    </row>
    <row r="261" spans="1:8" ht="15" customHeight="1">
      <c r="A261" s="59"/>
      <c r="B261" s="74" t="s">
        <v>611</v>
      </c>
      <c r="C261" s="14" t="s">
        <v>1616</v>
      </c>
      <c r="D261" s="241"/>
      <c r="E261" s="14" t="s">
        <v>1617</v>
      </c>
      <c r="F261" s="239" t="str">
        <f>IF(wskakunin_dairi3_FAX="", "", wskakunin_dairi3_FAX)</f>
        <v/>
      </c>
      <c r="H261" s="15"/>
    </row>
    <row r="262" spans="1:8" ht="15" customHeight="1">
      <c r="A262" s="59"/>
      <c r="B262" s="111" t="s">
        <v>98</v>
      </c>
      <c r="D262" s="15"/>
      <c r="E262" s="14" t="s">
        <v>1618</v>
      </c>
      <c r="F262" s="239" t="str">
        <f>IF(wskakunin_dairi3_NAME&amp;wskakunin_dairi3_JIMU_NAME="","",IF(wskakunin_dairi3_JIMU_NAME="",wskakunin_dairi3_NAME,wskakunin_dairi3_JIMU_NAME&amp;"　"&amp;wskakunin_dairi3_NAME))</f>
        <v/>
      </c>
      <c r="H262" s="15"/>
    </row>
    <row r="263" spans="1:8" ht="15" customHeight="1">
      <c r="A263" s="60"/>
      <c r="B263" s="112"/>
      <c r="D263" s="32"/>
      <c r="F263" s="15"/>
      <c r="H263" s="15"/>
    </row>
    <row r="264" spans="1:8" ht="15" customHeight="1">
      <c r="A264" s="50" t="s">
        <v>1555</v>
      </c>
      <c r="B264" s="109"/>
      <c r="H264" s="15"/>
    </row>
    <row r="265" spans="1:8" ht="15" customHeight="1">
      <c r="A265" s="110"/>
      <c r="B265" s="74" t="s">
        <v>542</v>
      </c>
      <c r="C265" s="14" t="s">
        <v>1619</v>
      </c>
      <c r="D265" s="239"/>
      <c r="E265" s="14" t="s">
        <v>1620</v>
      </c>
      <c r="F265" s="239" t="str">
        <f>IF(wskakunin_dairi4__sikaku="", "", wskakunin_dairi4__sikaku)</f>
        <v/>
      </c>
      <c r="H265" s="15"/>
    </row>
    <row r="266" spans="1:8" ht="15" customHeight="1">
      <c r="A266" s="110"/>
      <c r="B266" s="74" t="s">
        <v>543</v>
      </c>
      <c r="C266" s="14" t="s">
        <v>1621</v>
      </c>
      <c r="D266" s="239"/>
      <c r="E266" s="14" t="s">
        <v>1622</v>
      </c>
      <c r="F266" s="239" t="str">
        <f>IF(wskakunin_dairi4_SIKAKU__label="","",wskakunin_dairi4_SIKAKU__label)</f>
        <v/>
      </c>
      <c r="H266" s="15"/>
    </row>
    <row r="267" spans="1:8" ht="15" customHeight="1">
      <c r="A267" s="110"/>
      <c r="B267" s="74" t="s">
        <v>538</v>
      </c>
      <c r="C267" s="14" t="s">
        <v>1623</v>
      </c>
      <c r="D267" s="239"/>
      <c r="E267" s="14" t="s">
        <v>1624</v>
      </c>
      <c r="F267" s="239" t="str">
        <f>IF(wskakunin_dairi4_TOUROKU_KIKAN__label="","",wskakunin_dairi4_TOUROKU_KIKAN__label)</f>
        <v/>
      </c>
      <c r="H267" s="15"/>
    </row>
    <row r="268" spans="1:8" ht="15" customHeight="1">
      <c r="A268" s="110"/>
      <c r="B268" s="74" t="s">
        <v>539</v>
      </c>
      <c r="C268" s="14" t="s">
        <v>1625</v>
      </c>
      <c r="D268" s="241"/>
      <c r="E268" s="14" t="s">
        <v>1626</v>
      </c>
      <c r="F268" s="239" t="str">
        <f>IF(wskakunin_dairi4_KENTIKUSI_NO="","",wskakunin_dairi4_KENTIKUSI_NO)</f>
        <v/>
      </c>
      <c r="H268" s="15"/>
    </row>
    <row r="269" spans="1:8" ht="15" customHeight="1">
      <c r="A269" s="59"/>
      <c r="B269" s="74" t="s">
        <v>7</v>
      </c>
      <c r="C269" s="14" t="s">
        <v>1627</v>
      </c>
      <c r="D269" s="239"/>
      <c r="E269" s="14" t="s">
        <v>1628</v>
      </c>
      <c r="F269" s="239" t="str">
        <f>IF(wskakunin_dairi4_NAME="", "", wskakunin_dairi4_NAME)</f>
        <v/>
      </c>
      <c r="H269" s="15"/>
    </row>
    <row r="270" spans="1:8" ht="15" customHeight="1">
      <c r="A270" s="59"/>
      <c r="B270" s="74" t="s">
        <v>39</v>
      </c>
      <c r="C270" s="14" t="s">
        <v>1629</v>
      </c>
      <c r="D270" s="239"/>
      <c r="E270" s="14" t="s">
        <v>1630</v>
      </c>
      <c r="F270" s="239" t="str">
        <f>IF(wskakunin_dairi4_NAME_KANA="", "", wskakunin_dairi4_NAME_KANA)</f>
        <v/>
      </c>
      <c r="H270" s="15"/>
    </row>
    <row r="271" spans="1:8" ht="15" customHeight="1">
      <c r="A271" s="59"/>
      <c r="B271" s="74" t="s">
        <v>544</v>
      </c>
      <c r="C271" s="14" t="s">
        <v>1631</v>
      </c>
      <c r="D271" s="239"/>
      <c r="E271" s="14" t="s">
        <v>1632</v>
      </c>
      <c r="F271" s="239" t="str">
        <f>IF(wskakunin_dairi4_JIMU__sikaku="", "", wskakunin_dairi4_JIMU__sikaku)</f>
        <v/>
      </c>
      <c r="H271" s="15"/>
    </row>
    <row r="272" spans="1:8" ht="15" customHeight="1">
      <c r="A272" s="59"/>
      <c r="B272" s="74" t="s">
        <v>36</v>
      </c>
      <c r="C272" s="14" t="s">
        <v>1633</v>
      </c>
      <c r="D272" s="239"/>
      <c r="E272" s="14" t="s">
        <v>1634</v>
      </c>
      <c r="F272" s="239" t="str">
        <f>IF(wskakunin_dairi4_JIMU_SIKAKU__label="","",wskakunin_dairi4_JIMU_SIKAKU__label)</f>
        <v/>
      </c>
      <c r="H272" s="15"/>
    </row>
    <row r="273" spans="1:8" ht="15" customHeight="1">
      <c r="A273" s="59"/>
      <c r="B273" s="74" t="s">
        <v>545</v>
      </c>
      <c r="C273" s="14" t="s">
        <v>1635</v>
      </c>
      <c r="D273" s="239"/>
      <c r="E273" s="14" t="s">
        <v>1636</v>
      </c>
      <c r="F273" s="239" t="str">
        <f>IF(wskakunin_dairi4_JIMU_TOUROKU_KIKAN__label="","",wskakunin_dairi4_JIMU_TOUROKU_KIKAN__label)</f>
        <v/>
      </c>
      <c r="H273" s="15"/>
    </row>
    <row r="274" spans="1:8" ht="15" customHeight="1">
      <c r="A274" s="59"/>
      <c r="B274" s="74" t="s">
        <v>546</v>
      </c>
      <c r="C274" s="14" t="s">
        <v>1637</v>
      </c>
      <c r="D274" s="241"/>
      <c r="E274" s="14" t="s">
        <v>1638</v>
      </c>
      <c r="F274" s="239" t="str">
        <f>IF(wskakunin_dairi4_JIMU_NO="","",wskakunin_dairi4_JIMU_NO)</f>
        <v/>
      </c>
      <c r="H274" s="15"/>
    </row>
    <row r="275" spans="1:8" ht="15" customHeight="1">
      <c r="A275" s="59"/>
      <c r="B275" s="74" t="s">
        <v>37</v>
      </c>
      <c r="C275" s="14" t="s">
        <v>1639</v>
      </c>
      <c r="D275" s="239"/>
      <c r="E275" s="14" t="s">
        <v>1640</v>
      </c>
      <c r="F275" s="239" t="str">
        <f>IF(wskakunin_dairi4_JIMU_NAME="", "",wskakunin_dairi4_JIMU_NAME)</f>
        <v/>
      </c>
      <c r="H275" s="15"/>
    </row>
    <row r="276" spans="1:8" ht="15" customHeight="1">
      <c r="A276" s="59"/>
      <c r="B276" s="74" t="s">
        <v>8</v>
      </c>
      <c r="C276" s="14" t="s">
        <v>1641</v>
      </c>
      <c r="D276" s="241"/>
      <c r="E276" s="14" t="s">
        <v>1642</v>
      </c>
      <c r="F276" s="239" t="str">
        <f>IF(wskakunin_dairi4_ZIP="", "", wskakunin_dairi4_ZIP)</f>
        <v/>
      </c>
      <c r="H276" s="15"/>
    </row>
    <row r="277" spans="1:8" ht="15" customHeight="1">
      <c r="A277" s="59"/>
      <c r="B277" s="74" t="s">
        <v>12</v>
      </c>
      <c r="C277" s="14" t="s">
        <v>1643</v>
      </c>
      <c r="D277" s="239"/>
      <c r="E277" s="14" t="s">
        <v>1644</v>
      </c>
      <c r="F277" s="239" t="str">
        <f>IF(wskakunin_dairi4__address="", "", wskakunin_dairi4__address)</f>
        <v/>
      </c>
      <c r="H277" s="15"/>
    </row>
    <row r="278" spans="1:8" ht="15" customHeight="1">
      <c r="A278" s="59"/>
      <c r="B278" s="74" t="s">
        <v>10</v>
      </c>
      <c r="C278" s="14" t="s">
        <v>1645</v>
      </c>
      <c r="D278" s="241"/>
      <c r="E278" s="14" t="s">
        <v>1646</v>
      </c>
      <c r="F278" s="239" t="str">
        <f>IF(wskakunin_dairi4_TEL="", "", wskakunin_dairi4_TEL)</f>
        <v/>
      </c>
      <c r="H278" s="15"/>
    </row>
    <row r="279" spans="1:8" ht="15" customHeight="1">
      <c r="A279" s="59"/>
      <c r="B279" s="74" t="s">
        <v>611</v>
      </c>
      <c r="C279" s="14" t="s">
        <v>1647</v>
      </c>
      <c r="D279" s="241"/>
      <c r="E279" s="14" t="s">
        <v>1648</v>
      </c>
      <c r="F279" s="239" t="str">
        <f>IF(wskakunin_dairi4_FAX="", "", wskakunin_dairi4_FAX)</f>
        <v/>
      </c>
      <c r="H279" s="15"/>
    </row>
    <row r="280" spans="1:8" ht="15" customHeight="1">
      <c r="A280" s="59"/>
      <c r="B280" s="111" t="s">
        <v>98</v>
      </c>
      <c r="D280" s="15"/>
      <c r="E280" s="14" t="s">
        <v>1649</v>
      </c>
      <c r="F280" s="239" t="str">
        <f>IF(wskakunin_dairi4_NAME&amp;wskakunin_dairi4_JIMU_NAME="","",IF(wskakunin_dairi4_JIMU_NAME="",wskakunin_dairi4_NAME,wskakunin_dairi4_JIMU_NAME&amp;"　"&amp;wskakunin_dairi4_NAME))</f>
        <v/>
      </c>
      <c r="H280" s="15"/>
    </row>
    <row r="281" spans="1:8" ht="15" customHeight="1">
      <c r="A281" s="60"/>
      <c r="B281" s="112"/>
      <c r="D281" s="32"/>
      <c r="F281" s="15"/>
      <c r="H281" s="15"/>
    </row>
    <row r="282" spans="1:8" ht="15" customHeight="1">
      <c r="A282" s="50" t="s">
        <v>1556</v>
      </c>
      <c r="B282" s="109"/>
      <c r="H282" s="15"/>
    </row>
    <row r="283" spans="1:8" ht="15" customHeight="1">
      <c r="A283" s="110"/>
      <c r="B283" s="74" t="s">
        <v>542</v>
      </c>
      <c r="C283" s="14" t="s">
        <v>1650</v>
      </c>
      <c r="D283" s="239"/>
      <c r="E283" s="14" t="s">
        <v>1651</v>
      </c>
      <c r="F283" s="239" t="str">
        <f>IF(wskakunin_dairi5__sikaku="", "", wskakunin_dairi5__sikaku)</f>
        <v/>
      </c>
      <c r="H283" s="15"/>
    </row>
    <row r="284" spans="1:8" ht="15" customHeight="1">
      <c r="A284" s="110"/>
      <c r="B284" s="74" t="s">
        <v>543</v>
      </c>
      <c r="C284" s="14" t="s">
        <v>1652</v>
      </c>
      <c r="D284" s="239"/>
      <c r="E284" s="14" t="s">
        <v>1653</v>
      </c>
      <c r="F284" s="239" t="str">
        <f>IF(wskakunin_dairi5_SIKAKU__label="","",wskakunin_dairi5_SIKAKU__label)</f>
        <v/>
      </c>
      <c r="H284" s="15"/>
    </row>
    <row r="285" spans="1:8" ht="15" customHeight="1">
      <c r="A285" s="110"/>
      <c r="B285" s="74" t="s">
        <v>538</v>
      </c>
      <c r="C285" s="14" t="s">
        <v>1654</v>
      </c>
      <c r="D285" s="239"/>
      <c r="E285" s="14" t="s">
        <v>1655</v>
      </c>
      <c r="F285" s="239" t="str">
        <f>IF(wskakunin_dairi5_TOUROKU_KIKAN__label="","",wskakunin_dairi5_TOUROKU_KIKAN__label)</f>
        <v/>
      </c>
      <c r="H285" s="15"/>
    </row>
    <row r="286" spans="1:8" ht="15" customHeight="1">
      <c r="A286" s="110"/>
      <c r="B286" s="74" t="s">
        <v>539</v>
      </c>
      <c r="C286" s="14" t="s">
        <v>1656</v>
      </c>
      <c r="D286" s="241"/>
      <c r="E286" s="14" t="s">
        <v>1657</v>
      </c>
      <c r="F286" s="239" t="str">
        <f>IF(wskakunin_dairi5_KENTIKUSI_NO="","",wskakunin_dairi5_KENTIKUSI_NO)</f>
        <v/>
      </c>
      <c r="H286" s="15"/>
    </row>
    <row r="287" spans="1:8" ht="15" customHeight="1">
      <c r="A287" s="59"/>
      <c r="B287" s="74" t="s">
        <v>7</v>
      </c>
      <c r="C287" s="14" t="s">
        <v>1658</v>
      </c>
      <c r="D287" s="239"/>
      <c r="E287" s="14" t="s">
        <v>1659</v>
      </c>
      <c r="F287" s="239" t="str">
        <f>IF(wskakunin_dairi5_NAME="", "", wskakunin_dairi5_NAME)</f>
        <v/>
      </c>
      <c r="H287" s="15"/>
    </row>
    <row r="288" spans="1:8" ht="15" customHeight="1">
      <c r="A288" s="59"/>
      <c r="B288" s="74" t="s">
        <v>39</v>
      </c>
      <c r="C288" s="14" t="s">
        <v>1660</v>
      </c>
      <c r="D288" s="239"/>
      <c r="E288" s="14" t="s">
        <v>1661</v>
      </c>
      <c r="F288" s="239" t="str">
        <f>IF(wskakunin_dairi5_NAME_KANA="", "", wskakunin_dairi5_NAME_KANA)</f>
        <v/>
      </c>
      <c r="H288" s="15"/>
    </row>
    <row r="289" spans="1:8" ht="15" customHeight="1">
      <c r="A289" s="59"/>
      <c r="B289" s="74" t="s">
        <v>544</v>
      </c>
      <c r="C289" s="14" t="s">
        <v>1662</v>
      </c>
      <c r="D289" s="239"/>
      <c r="E289" s="14" t="s">
        <v>1663</v>
      </c>
      <c r="F289" s="239" t="str">
        <f>IF(wskakunin_dairi5_JIMU__sikaku="", "", wskakunin_dairi5_JIMU__sikaku)</f>
        <v/>
      </c>
      <c r="H289" s="15"/>
    </row>
    <row r="290" spans="1:8" ht="15" customHeight="1">
      <c r="A290" s="59"/>
      <c r="B290" s="74" t="s">
        <v>36</v>
      </c>
      <c r="C290" s="14" t="s">
        <v>1664</v>
      </c>
      <c r="D290" s="239"/>
      <c r="E290" s="14" t="s">
        <v>1665</v>
      </c>
      <c r="F290" s="239" t="str">
        <f>IF(wskakunin_dairi5_JIMU_SIKAKU__label="","",wskakunin_dairi5_JIMU_SIKAKU__label)</f>
        <v/>
      </c>
      <c r="H290" s="15"/>
    </row>
    <row r="291" spans="1:8" ht="15" customHeight="1">
      <c r="A291" s="59"/>
      <c r="B291" s="74" t="s">
        <v>545</v>
      </c>
      <c r="C291" s="14" t="s">
        <v>1666</v>
      </c>
      <c r="D291" s="239"/>
      <c r="E291" s="14" t="s">
        <v>1667</v>
      </c>
      <c r="F291" s="239" t="str">
        <f>IF(wskakunin_dairi5_JIMU_TOUROKU_KIKAN__label="","",wskakunin_dairi5_JIMU_TOUROKU_KIKAN__label)</f>
        <v/>
      </c>
      <c r="H291" s="15"/>
    </row>
    <row r="292" spans="1:8" ht="15" customHeight="1">
      <c r="A292" s="59"/>
      <c r="B292" s="74" t="s">
        <v>546</v>
      </c>
      <c r="C292" s="14" t="s">
        <v>1668</v>
      </c>
      <c r="D292" s="241"/>
      <c r="E292" s="14" t="s">
        <v>1669</v>
      </c>
      <c r="F292" s="239" t="str">
        <f>IF(wskakunin_dairi5_JIMU_NO="","",wskakunin_dairi5_JIMU_NO)</f>
        <v/>
      </c>
      <c r="H292" s="15"/>
    </row>
    <row r="293" spans="1:8" ht="15" customHeight="1">
      <c r="A293" s="59"/>
      <c r="B293" s="74" t="s">
        <v>37</v>
      </c>
      <c r="C293" s="14" t="s">
        <v>1670</v>
      </c>
      <c r="D293" s="239"/>
      <c r="E293" s="14" t="s">
        <v>1671</v>
      </c>
      <c r="F293" s="239" t="str">
        <f>IF(wskakunin_dairi5_JIMU_NAME="", "",wskakunin_dairi5_JIMU_NAME)</f>
        <v/>
      </c>
      <c r="H293" s="15"/>
    </row>
    <row r="294" spans="1:8" ht="15" customHeight="1">
      <c r="A294" s="59"/>
      <c r="B294" s="74" t="s">
        <v>8</v>
      </c>
      <c r="C294" s="14" t="s">
        <v>1672</v>
      </c>
      <c r="D294" s="241"/>
      <c r="E294" s="14" t="s">
        <v>1673</v>
      </c>
      <c r="F294" s="239" t="str">
        <f>IF(wskakunin_dairi5_ZIP="", "", wskakunin_dairi5_ZIP)</f>
        <v/>
      </c>
      <c r="H294" s="15"/>
    </row>
    <row r="295" spans="1:8" ht="15" customHeight="1">
      <c r="A295" s="59"/>
      <c r="B295" s="74" t="s">
        <v>12</v>
      </c>
      <c r="C295" s="14" t="s">
        <v>1674</v>
      </c>
      <c r="D295" s="239"/>
      <c r="E295" s="14" t="s">
        <v>1675</v>
      </c>
      <c r="F295" s="239" t="str">
        <f>IF(wskakunin_dairi5__address="", "", wskakunin_dairi5__address)</f>
        <v/>
      </c>
      <c r="H295" s="15"/>
    </row>
    <row r="296" spans="1:8" ht="15" customHeight="1">
      <c r="A296" s="59"/>
      <c r="B296" s="74" t="s">
        <v>10</v>
      </c>
      <c r="C296" s="14" t="s">
        <v>1676</v>
      </c>
      <c r="D296" s="241"/>
      <c r="E296" s="14" t="s">
        <v>1677</v>
      </c>
      <c r="F296" s="239" t="str">
        <f>IF(wskakunin_dairi5_TEL="", "", wskakunin_dairi5_TEL)</f>
        <v/>
      </c>
      <c r="H296" s="15"/>
    </row>
    <row r="297" spans="1:8" ht="15" customHeight="1">
      <c r="A297" s="59"/>
      <c r="B297" s="74" t="s">
        <v>611</v>
      </c>
      <c r="C297" s="14" t="s">
        <v>1678</v>
      </c>
      <c r="D297" s="241"/>
      <c r="E297" s="14" t="s">
        <v>1679</v>
      </c>
      <c r="F297" s="239" t="str">
        <f>IF(wskakunin_dairi5_FAX="", "", wskakunin_dairi5_FAX)</f>
        <v/>
      </c>
      <c r="H297" s="15"/>
    </row>
    <row r="298" spans="1:8" ht="15" customHeight="1">
      <c r="A298" s="59"/>
      <c r="B298" s="111" t="s">
        <v>98</v>
      </c>
      <c r="C298" s="15"/>
      <c r="D298" s="15"/>
      <c r="E298" s="14" t="s">
        <v>1680</v>
      </c>
      <c r="F298" s="239" t="str">
        <f>IF(wskakunin_dairi5_NAME&amp;wskakunin_dairi5_JIMU_NAME="","",IF(wskakunin_dairi5_JIMU_NAME="",wskakunin_dairi5_NAME,wskakunin_dairi5_JIMU_NAME&amp;"　"&amp;wskakunin_dairi5_NAME))</f>
        <v/>
      </c>
      <c r="H298" s="15"/>
    </row>
    <row r="299" spans="1:8" ht="15" customHeight="1">
      <c r="A299" s="60"/>
      <c r="B299" s="112"/>
      <c r="D299" s="32"/>
      <c r="F299" s="15"/>
      <c r="G299" s="15"/>
      <c r="H299" s="15"/>
    </row>
    <row r="300" spans="1:8" ht="15" customHeight="1">
      <c r="A300" s="50" t="s">
        <v>2889</v>
      </c>
      <c r="B300" s="109"/>
      <c r="H300" s="15"/>
    </row>
    <row r="301" spans="1:8" ht="15" customHeight="1">
      <c r="A301" s="110"/>
      <c r="B301" s="74" t="s">
        <v>542</v>
      </c>
      <c r="C301" s="14" t="s">
        <v>2892</v>
      </c>
      <c r="D301" s="239"/>
      <c r="E301" s="14" t="s">
        <v>2907</v>
      </c>
      <c r="F301" s="239" t="str">
        <f>IF(wskakunin_dairi6__sikaku="", "", wskakunin_dairi6__sikaku)</f>
        <v/>
      </c>
      <c r="H301" s="15"/>
    </row>
    <row r="302" spans="1:8" ht="15" customHeight="1">
      <c r="A302" s="110"/>
      <c r="B302" s="74" t="s">
        <v>543</v>
      </c>
      <c r="C302" s="14" t="s">
        <v>2893</v>
      </c>
      <c r="D302" s="239"/>
      <c r="E302" s="14" t="s">
        <v>2908</v>
      </c>
      <c r="F302" s="239" t="str">
        <f>IF(wskakunin_dairi6_SIKAKU__label="","",wskakunin_dairi6_SIKAKU__label)</f>
        <v/>
      </c>
      <c r="H302" s="15"/>
    </row>
    <row r="303" spans="1:8" ht="15" customHeight="1">
      <c r="A303" s="110"/>
      <c r="B303" s="74" t="s">
        <v>538</v>
      </c>
      <c r="C303" s="14" t="s">
        <v>2894</v>
      </c>
      <c r="D303" s="239"/>
      <c r="E303" s="14" t="s">
        <v>2909</v>
      </c>
      <c r="F303" s="239" t="str">
        <f>IF(wskakunin_dairi6_TOUROKU_KIKAN__label="","",wskakunin_dairi6_TOUROKU_KIKAN__label)</f>
        <v/>
      </c>
      <c r="H303" s="15"/>
    </row>
    <row r="304" spans="1:8" ht="15" customHeight="1">
      <c r="A304" s="110"/>
      <c r="B304" s="74" t="s">
        <v>539</v>
      </c>
      <c r="C304" s="14" t="s">
        <v>2895</v>
      </c>
      <c r="D304" s="241"/>
      <c r="E304" s="14" t="s">
        <v>2910</v>
      </c>
      <c r="F304" s="239" t="str">
        <f>IF(wskakunin_dairi6_KENTIKUSI_NO="","",wskakunin_dairi6_KENTIKUSI_NO)</f>
        <v/>
      </c>
      <c r="H304" s="15"/>
    </row>
    <row r="305" spans="1:8" ht="15" customHeight="1">
      <c r="A305" s="59"/>
      <c r="B305" s="74" t="s">
        <v>7</v>
      </c>
      <c r="C305" s="14" t="s">
        <v>2896</v>
      </c>
      <c r="D305" s="239"/>
      <c r="E305" s="14" t="s">
        <v>2911</v>
      </c>
      <c r="F305" s="239" t="str">
        <f>IF(wskakunin_dairi6_NAME="", "", wskakunin_dairi6_NAME)</f>
        <v/>
      </c>
      <c r="H305" s="15"/>
    </row>
    <row r="306" spans="1:8" ht="15" customHeight="1">
      <c r="A306" s="59"/>
      <c r="B306" s="74" t="s">
        <v>39</v>
      </c>
      <c r="C306" s="14" t="s">
        <v>2897</v>
      </c>
      <c r="D306" s="239"/>
      <c r="E306" s="14" t="s">
        <v>2912</v>
      </c>
      <c r="F306" s="239" t="str">
        <f>IF(wskakunin_dairi6_NAME_KANA="", "", wskakunin_dairi6_NAME_KANA)</f>
        <v/>
      </c>
      <c r="H306" s="15"/>
    </row>
    <row r="307" spans="1:8" ht="15" customHeight="1">
      <c r="A307" s="59"/>
      <c r="B307" s="74" t="s">
        <v>544</v>
      </c>
      <c r="C307" s="14" t="s">
        <v>2898</v>
      </c>
      <c r="D307" s="239"/>
      <c r="E307" s="14" t="s">
        <v>2914</v>
      </c>
      <c r="F307" s="239" t="str">
        <f>IF(wskakunin_dairi6_JIMU__sikaku="", "", wskakunin_dairi6_JIMU__sikaku)</f>
        <v/>
      </c>
      <c r="H307" s="15"/>
    </row>
    <row r="308" spans="1:8" ht="15" customHeight="1">
      <c r="A308" s="59"/>
      <c r="B308" s="74" t="s">
        <v>36</v>
      </c>
      <c r="C308" s="14" t="s">
        <v>2899</v>
      </c>
      <c r="D308" s="239"/>
      <c r="E308" s="14" t="s">
        <v>2913</v>
      </c>
      <c r="F308" s="239" t="str">
        <f>IF(wskakunin_dairi6_JIMU_SIKAKU__label="","",wskakunin_dairi6_JIMU_SIKAKU__label)</f>
        <v/>
      </c>
      <c r="H308" s="15"/>
    </row>
    <row r="309" spans="1:8" ht="15" customHeight="1">
      <c r="A309" s="59"/>
      <c r="B309" s="74" t="s">
        <v>545</v>
      </c>
      <c r="C309" s="14" t="s">
        <v>2900</v>
      </c>
      <c r="D309" s="239"/>
      <c r="E309" s="14" t="s">
        <v>2915</v>
      </c>
      <c r="F309" s="239" t="str">
        <f>IF(wskakunin_dairi6_JIMU_TOUROKU_KIKAN__label="","",wskakunin_dairi6_JIMU_TOUROKU_KIKAN__label)</f>
        <v/>
      </c>
      <c r="H309" s="15"/>
    </row>
    <row r="310" spans="1:8" ht="15" customHeight="1">
      <c r="A310" s="59"/>
      <c r="B310" s="74" t="s">
        <v>546</v>
      </c>
      <c r="C310" s="14" t="s">
        <v>2901</v>
      </c>
      <c r="D310" s="241"/>
      <c r="E310" s="14" t="s">
        <v>2916</v>
      </c>
      <c r="F310" s="239" t="str">
        <f>IF(wskakunin_dairi6_JIMU_NO="","",wskakunin_dairi6_JIMU_NO)</f>
        <v/>
      </c>
      <c r="H310" s="15"/>
    </row>
    <row r="311" spans="1:8" ht="15" customHeight="1">
      <c r="A311" s="59"/>
      <c r="B311" s="74" t="s">
        <v>37</v>
      </c>
      <c r="C311" s="14" t="s">
        <v>2902</v>
      </c>
      <c r="D311" s="239"/>
      <c r="E311" s="14" t="s">
        <v>2917</v>
      </c>
      <c r="F311" s="239" t="str">
        <f>IF(wskakunin_dairi6_JIMU_NAME="", "",wskakunin_dairi6_JIMU_NAME)</f>
        <v/>
      </c>
      <c r="H311" s="15"/>
    </row>
    <row r="312" spans="1:8" ht="15" customHeight="1">
      <c r="A312" s="59"/>
      <c r="B312" s="74" t="s">
        <v>8</v>
      </c>
      <c r="C312" s="14" t="s">
        <v>2903</v>
      </c>
      <c r="D312" s="241"/>
      <c r="E312" s="14" t="s">
        <v>2918</v>
      </c>
      <c r="F312" s="239" t="str">
        <f>IF(wskakunin_dairi6_ZIP="", "", wskakunin_dairi6_ZIP)</f>
        <v/>
      </c>
      <c r="H312" s="15"/>
    </row>
    <row r="313" spans="1:8" ht="15" customHeight="1">
      <c r="A313" s="59"/>
      <c r="B313" s="74" t="s">
        <v>12</v>
      </c>
      <c r="C313" s="14" t="s">
        <v>2904</v>
      </c>
      <c r="D313" s="239"/>
      <c r="E313" s="14" t="s">
        <v>2919</v>
      </c>
      <c r="F313" s="239" t="str">
        <f>IF(wskakunin_dairi6__address="", "", wskakunin_dairi6__address)</f>
        <v/>
      </c>
      <c r="H313" s="15"/>
    </row>
    <row r="314" spans="1:8" ht="15" customHeight="1">
      <c r="A314" s="59"/>
      <c r="B314" s="74" t="s">
        <v>10</v>
      </c>
      <c r="C314" s="14" t="s">
        <v>2905</v>
      </c>
      <c r="D314" s="241"/>
      <c r="E314" s="14" t="s">
        <v>2920</v>
      </c>
      <c r="F314" s="239" t="str">
        <f>IF(wskakunin_dairi6_TEL="", "", wskakunin_dairi6_TEL)</f>
        <v/>
      </c>
      <c r="H314" s="15"/>
    </row>
    <row r="315" spans="1:8" ht="15" customHeight="1">
      <c r="A315" s="59"/>
      <c r="B315" s="74" t="s">
        <v>611</v>
      </c>
      <c r="C315" s="14" t="s">
        <v>2906</v>
      </c>
      <c r="D315" s="241"/>
      <c r="E315" s="14" t="s">
        <v>2921</v>
      </c>
      <c r="F315" s="239" t="str">
        <f>IF(wskakunin_dairi6_FAX="", "", wskakunin_dairi6_FAX)</f>
        <v/>
      </c>
      <c r="H315" s="15"/>
    </row>
    <row r="316" spans="1:8" ht="15" customHeight="1">
      <c r="A316" s="59"/>
      <c r="B316" s="111" t="s">
        <v>98</v>
      </c>
      <c r="C316" s="15"/>
      <c r="D316" s="15"/>
      <c r="E316" s="14" t="s">
        <v>2922</v>
      </c>
      <c r="F316" s="239" t="str">
        <f>IF(wskakunin_dairi6_NAME&amp;wskakunin_dairi6_JIMU_NAME="","",IF(wskakunin_dairi6_JIMU_NAME="",wskakunin_dairi6_NAME,wskakunin_dairi6_JIMU_NAME&amp;"　"&amp;wskakunin_dairi6_NAME))</f>
        <v/>
      </c>
      <c r="H316" s="15"/>
    </row>
    <row r="317" spans="1:8" ht="15" customHeight="1">
      <c r="A317" s="60"/>
      <c r="B317" s="112"/>
      <c r="D317" s="32"/>
      <c r="F317" s="15"/>
      <c r="G317" s="15"/>
      <c r="H317" s="15"/>
    </row>
    <row r="318" spans="1:8" ht="15" customHeight="1">
      <c r="A318" s="50" t="s">
        <v>2890</v>
      </c>
      <c r="B318" s="109"/>
      <c r="H318" s="15"/>
    </row>
    <row r="319" spans="1:8" ht="15" customHeight="1">
      <c r="A319" s="110"/>
      <c r="B319" s="74" t="s">
        <v>542</v>
      </c>
      <c r="C319" s="14" t="s">
        <v>2923</v>
      </c>
      <c r="D319" s="239"/>
      <c r="E319" s="14" t="s">
        <v>2938</v>
      </c>
      <c r="F319" s="239" t="str">
        <f>IF(wskakunin_dairi7__sikaku="", "", wskakunin_dairi7__sikaku)</f>
        <v/>
      </c>
      <c r="H319" s="15"/>
    </row>
    <row r="320" spans="1:8" ht="15" customHeight="1">
      <c r="A320" s="110"/>
      <c r="B320" s="74" t="s">
        <v>543</v>
      </c>
      <c r="C320" s="14" t="s">
        <v>2924</v>
      </c>
      <c r="D320" s="239"/>
      <c r="E320" s="14" t="s">
        <v>2939</v>
      </c>
      <c r="F320" s="239" t="str">
        <f>IF(wskakunin_dairi7_SIKAKU__label="","",wskakunin_dairi7_SIKAKU__label)</f>
        <v/>
      </c>
      <c r="H320" s="15"/>
    </row>
    <row r="321" spans="1:8" ht="15" customHeight="1">
      <c r="A321" s="110"/>
      <c r="B321" s="74" t="s">
        <v>538</v>
      </c>
      <c r="C321" s="14" t="s">
        <v>2925</v>
      </c>
      <c r="D321" s="239"/>
      <c r="E321" s="14" t="s">
        <v>2940</v>
      </c>
      <c r="F321" s="239" t="str">
        <f>IF(wskakunin_dairi7_TOUROKU_KIKAN__label="","",wskakunin_dairi7_TOUROKU_KIKAN__label)</f>
        <v/>
      </c>
      <c r="H321" s="15"/>
    </row>
    <row r="322" spans="1:8" ht="15" customHeight="1">
      <c r="A322" s="110"/>
      <c r="B322" s="74" t="s">
        <v>539</v>
      </c>
      <c r="C322" s="14" t="s">
        <v>2926</v>
      </c>
      <c r="D322" s="241"/>
      <c r="E322" s="14" t="s">
        <v>2941</v>
      </c>
      <c r="F322" s="239" t="str">
        <f>IF(wskakunin_dairi7_KENTIKUSI_NO="","",wskakunin_dairi7_KENTIKUSI_NO)</f>
        <v/>
      </c>
      <c r="H322" s="15"/>
    </row>
    <row r="323" spans="1:8" ht="15" customHeight="1">
      <c r="A323" s="59"/>
      <c r="B323" s="74" t="s">
        <v>7</v>
      </c>
      <c r="C323" s="14" t="s">
        <v>2927</v>
      </c>
      <c r="D323" s="239"/>
      <c r="E323" s="14" t="s">
        <v>2942</v>
      </c>
      <c r="F323" s="239" t="str">
        <f>IF(wskakunin_dairi7_NAME="", "", wskakunin_dairi7_NAME)</f>
        <v/>
      </c>
      <c r="H323" s="15"/>
    </row>
    <row r="324" spans="1:8" ht="15" customHeight="1">
      <c r="A324" s="59"/>
      <c r="B324" s="74" t="s">
        <v>39</v>
      </c>
      <c r="C324" s="14" t="s">
        <v>2928</v>
      </c>
      <c r="D324" s="239"/>
      <c r="E324" s="14" t="s">
        <v>2943</v>
      </c>
      <c r="F324" s="239" t="str">
        <f>IF(wskakunin_dairi7_NAME_KANA="", "", wskakunin_dairi7_NAME_KANA)</f>
        <v/>
      </c>
      <c r="H324" s="15"/>
    </row>
    <row r="325" spans="1:8" ht="15" customHeight="1">
      <c r="A325" s="59"/>
      <c r="B325" s="74" t="s">
        <v>544</v>
      </c>
      <c r="C325" s="14" t="s">
        <v>2929</v>
      </c>
      <c r="D325" s="239"/>
      <c r="E325" s="14" t="s">
        <v>2944</v>
      </c>
      <c r="F325" s="239" t="str">
        <f>IF(wskakunin_dairi7_JIMU__sikaku="", "", wskakunin_dairi7_JIMU__sikaku)</f>
        <v/>
      </c>
      <c r="H325" s="15"/>
    </row>
    <row r="326" spans="1:8" ht="15" customHeight="1">
      <c r="A326" s="59"/>
      <c r="B326" s="74" t="s">
        <v>36</v>
      </c>
      <c r="C326" s="14" t="s">
        <v>2930</v>
      </c>
      <c r="D326" s="239"/>
      <c r="E326" s="14" t="s">
        <v>2945</v>
      </c>
      <c r="F326" s="239" t="str">
        <f>IF(wskakunin_dairi7_JIMU_SIKAKU__label="","",wskakunin_dairi7_JIMU_SIKAKU__label)</f>
        <v/>
      </c>
      <c r="H326" s="15"/>
    </row>
    <row r="327" spans="1:8" ht="15" customHeight="1">
      <c r="A327" s="59"/>
      <c r="B327" s="74" t="s">
        <v>545</v>
      </c>
      <c r="C327" s="14" t="s">
        <v>2931</v>
      </c>
      <c r="D327" s="239"/>
      <c r="E327" s="14" t="s">
        <v>2946</v>
      </c>
      <c r="F327" s="239" t="str">
        <f>IF(wskakunin_dairi7_JIMU_TOUROKU_KIKAN__label="","",wskakunin_dairi7_JIMU_TOUROKU_KIKAN__label)</f>
        <v/>
      </c>
      <c r="H327" s="15"/>
    </row>
    <row r="328" spans="1:8" ht="15" customHeight="1">
      <c r="A328" s="59"/>
      <c r="B328" s="74" t="s">
        <v>546</v>
      </c>
      <c r="C328" s="14" t="s">
        <v>2932</v>
      </c>
      <c r="D328" s="241"/>
      <c r="E328" s="14" t="s">
        <v>2947</v>
      </c>
      <c r="F328" s="239" t="str">
        <f>IF(wskakunin_dairi7_JIMU_NO="","",wskakunin_dairi7_JIMU_NO)</f>
        <v/>
      </c>
      <c r="H328" s="15"/>
    </row>
    <row r="329" spans="1:8" ht="15" customHeight="1">
      <c r="A329" s="59"/>
      <c r="B329" s="74" t="s">
        <v>37</v>
      </c>
      <c r="C329" s="14" t="s">
        <v>2933</v>
      </c>
      <c r="D329" s="239"/>
      <c r="E329" s="14" t="s">
        <v>2948</v>
      </c>
      <c r="F329" s="239" t="str">
        <f>IF(wskakunin_dairi7_JIMU_NAME="", "",wskakunin_dairi7_JIMU_NAME)</f>
        <v/>
      </c>
      <c r="H329" s="15"/>
    </row>
    <row r="330" spans="1:8" ht="15" customHeight="1">
      <c r="A330" s="59"/>
      <c r="B330" s="74" t="s">
        <v>8</v>
      </c>
      <c r="C330" s="14" t="s">
        <v>2934</v>
      </c>
      <c r="D330" s="241"/>
      <c r="E330" s="14" t="s">
        <v>2949</v>
      </c>
      <c r="F330" s="239" t="str">
        <f>IF(wskakunin_dairi7_ZIP="", "", wskakunin_dairi7_ZIP)</f>
        <v/>
      </c>
      <c r="H330" s="15"/>
    </row>
    <row r="331" spans="1:8" ht="15" customHeight="1">
      <c r="A331" s="59"/>
      <c r="B331" s="74" t="s">
        <v>12</v>
      </c>
      <c r="C331" s="14" t="s">
        <v>2935</v>
      </c>
      <c r="D331" s="239"/>
      <c r="E331" s="14" t="s">
        <v>2950</v>
      </c>
      <c r="F331" s="239" t="str">
        <f>IF(wskakunin_dairi7__address="", "", wskakunin_dairi7__address)</f>
        <v/>
      </c>
      <c r="H331" s="15"/>
    </row>
    <row r="332" spans="1:8" ht="15" customHeight="1">
      <c r="A332" s="59"/>
      <c r="B332" s="74" t="s">
        <v>10</v>
      </c>
      <c r="C332" s="14" t="s">
        <v>2936</v>
      </c>
      <c r="D332" s="241"/>
      <c r="E332" s="14" t="s">
        <v>2951</v>
      </c>
      <c r="F332" s="239" t="str">
        <f>IF(wskakunin_dairi7_TEL="", "", wskakunin_dairi7_TEL)</f>
        <v/>
      </c>
      <c r="H332" s="15"/>
    </row>
    <row r="333" spans="1:8" ht="15" customHeight="1">
      <c r="A333" s="59"/>
      <c r="B333" s="74" t="s">
        <v>611</v>
      </c>
      <c r="C333" s="14" t="s">
        <v>2937</v>
      </c>
      <c r="D333" s="241"/>
      <c r="E333" s="14" t="s">
        <v>2952</v>
      </c>
      <c r="F333" s="239" t="str">
        <f>IF(wskakunin_dairi7_FAX="", "", wskakunin_dairi7_FAX)</f>
        <v/>
      </c>
      <c r="H333" s="15"/>
    </row>
    <row r="334" spans="1:8" ht="15" customHeight="1">
      <c r="A334" s="59"/>
      <c r="B334" s="111" t="s">
        <v>98</v>
      </c>
      <c r="C334" s="15"/>
      <c r="D334" s="15"/>
      <c r="E334" s="14" t="s">
        <v>2953</v>
      </c>
      <c r="F334" s="239" t="str">
        <f>IF(wskakunin_dairi7_NAME&amp;wskakunin_dairi7_JIMU_NAME="","",IF(wskakunin_dairi7_JIMU_NAME="",wskakunin_dairi7_NAME,wskakunin_dairi7_JIMU_NAME&amp;"　"&amp;wskakunin_dairi7_NAME))</f>
        <v/>
      </c>
      <c r="H334" s="15"/>
    </row>
    <row r="335" spans="1:8" ht="15" customHeight="1">
      <c r="A335" s="60"/>
      <c r="B335" s="112"/>
      <c r="D335" s="32"/>
      <c r="F335" s="15"/>
      <c r="G335" s="15"/>
      <c r="H335" s="15"/>
    </row>
    <row r="336" spans="1:8" ht="15" customHeight="1">
      <c r="A336" s="50" t="s">
        <v>2891</v>
      </c>
      <c r="B336" s="109"/>
      <c r="H336" s="15"/>
    </row>
    <row r="337" spans="1:8" ht="15" customHeight="1">
      <c r="A337" s="110"/>
      <c r="B337" s="74" t="s">
        <v>542</v>
      </c>
      <c r="C337" s="14" t="s">
        <v>2954</v>
      </c>
      <c r="D337" s="239"/>
      <c r="E337" s="14" t="s">
        <v>2969</v>
      </c>
      <c r="F337" s="239" t="str">
        <f>IF(wskakunin_dairi8__sikaku="", "", wskakunin_dairi8__sikaku)</f>
        <v/>
      </c>
      <c r="H337" s="15"/>
    </row>
    <row r="338" spans="1:8" ht="15" customHeight="1">
      <c r="A338" s="110"/>
      <c r="B338" s="74" t="s">
        <v>543</v>
      </c>
      <c r="C338" s="14" t="s">
        <v>2955</v>
      </c>
      <c r="D338" s="239"/>
      <c r="E338" s="14" t="s">
        <v>2970</v>
      </c>
      <c r="F338" s="239" t="str">
        <f>IF(wskakunin_dairi8_SIKAKU__label="","",wskakunin_dairi8_SIKAKU__label)</f>
        <v/>
      </c>
      <c r="H338" s="15"/>
    </row>
    <row r="339" spans="1:8" ht="15" customHeight="1">
      <c r="A339" s="110"/>
      <c r="B339" s="74" t="s">
        <v>538</v>
      </c>
      <c r="C339" s="14" t="s">
        <v>2956</v>
      </c>
      <c r="D339" s="239"/>
      <c r="E339" s="14" t="s">
        <v>2971</v>
      </c>
      <c r="F339" s="239" t="str">
        <f>IF(wskakunin_dairi8_TOUROKU_KIKAN__label="","",wskakunin_dairi8_TOUROKU_KIKAN__label)</f>
        <v/>
      </c>
      <c r="H339" s="15"/>
    </row>
    <row r="340" spans="1:8" ht="15" customHeight="1">
      <c r="A340" s="110"/>
      <c r="B340" s="74" t="s">
        <v>539</v>
      </c>
      <c r="C340" s="14" t="s">
        <v>2957</v>
      </c>
      <c r="D340" s="241"/>
      <c r="E340" s="14" t="s">
        <v>2972</v>
      </c>
      <c r="F340" s="239" t="str">
        <f>IF(wskakunin_dairi8_KENTIKUSI_NO="","",wskakunin_dairi8_KENTIKUSI_NO)</f>
        <v/>
      </c>
      <c r="H340" s="15"/>
    </row>
    <row r="341" spans="1:8" ht="15" customHeight="1">
      <c r="A341" s="59"/>
      <c r="B341" s="74" t="s">
        <v>7</v>
      </c>
      <c r="C341" s="14" t="s">
        <v>2958</v>
      </c>
      <c r="D341" s="239"/>
      <c r="E341" s="14" t="s">
        <v>2973</v>
      </c>
      <c r="F341" s="239" t="str">
        <f>IF(wskakunin_dairi8_NAME="", "", wskakunin_dairi8_NAME)</f>
        <v/>
      </c>
      <c r="H341" s="15"/>
    </row>
    <row r="342" spans="1:8" ht="15" customHeight="1">
      <c r="A342" s="59"/>
      <c r="B342" s="74" t="s">
        <v>39</v>
      </c>
      <c r="C342" s="14" t="s">
        <v>2959</v>
      </c>
      <c r="D342" s="239"/>
      <c r="E342" s="14" t="s">
        <v>2974</v>
      </c>
      <c r="F342" s="239" t="str">
        <f>IF(wskakunin_dairi8_NAME_KANA="", "", wskakunin_dairi8_NAME_KANA)</f>
        <v/>
      </c>
      <c r="H342" s="15"/>
    </row>
    <row r="343" spans="1:8" ht="15" customHeight="1">
      <c r="A343" s="59"/>
      <c r="B343" s="74" t="s">
        <v>544</v>
      </c>
      <c r="C343" s="14" t="s">
        <v>2960</v>
      </c>
      <c r="D343" s="239"/>
      <c r="E343" s="14" t="s">
        <v>2975</v>
      </c>
      <c r="F343" s="239" t="str">
        <f>IF(wskakunin_dairi8_JIMU__sikaku="", "", wskakunin_dairi8_JIMU__sikaku)</f>
        <v/>
      </c>
      <c r="H343" s="15"/>
    </row>
    <row r="344" spans="1:8" ht="15" customHeight="1">
      <c r="A344" s="59"/>
      <c r="B344" s="74" t="s">
        <v>36</v>
      </c>
      <c r="C344" s="14" t="s">
        <v>2961</v>
      </c>
      <c r="D344" s="239"/>
      <c r="E344" s="14" t="s">
        <v>2976</v>
      </c>
      <c r="F344" s="239" t="str">
        <f>IF(wskakunin_dairi8_JIMU_SIKAKU__label="","",wskakunin_dairi8_JIMU_SIKAKU__label)</f>
        <v/>
      </c>
      <c r="H344" s="15"/>
    </row>
    <row r="345" spans="1:8" ht="15" customHeight="1">
      <c r="A345" s="59"/>
      <c r="B345" s="74" t="s">
        <v>545</v>
      </c>
      <c r="C345" s="14" t="s">
        <v>2962</v>
      </c>
      <c r="D345" s="239"/>
      <c r="E345" s="14" t="s">
        <v>2977</v>
      </c>
      <c r="F345" s="239" t="str">
        <f>IF(wskakunin_dairi8_JIMU_TOUROKU_KIKAN__label="","",wskakunin_dairi8_JIMU_TOUROKU_KIKAN__label)</f>
        <v/>
      </c>
      <c r="H345" s="15"/>
    </row>
    <row r="346" spans="1:8" ht="15" customHeight="1">
      <c r="A346" s="59"/>
      <c r="B346" s="74" t="s">
        <v>546</v>
      </c>
      <c r="C346" s="14" t="s">
        <v>2963</v>
      </c>
      <c r="D346" s="241"/>
      <c r="E346" s="14" t="s">
        <v>2978</v>
      </c>
      <c r="F346" s="239" t="str">
        <f>IF(wskakunin_dairi8_JIMU_NO="","",wskakunin_dairi8_JIMU_NO)</f>
        <v/>
      </c>
      <c r="H346" s="15"/>
    </row>
    <row r="347" spans="1:8" ht="15" customHeight="1">
      <c r="A347" s="59"/>
      <c r="B347" s="74" t="s">
        <v>37</v>
      </c>
      <c r="C347" s="14" t="s">
        <v>2964</v>
      </c>
      <c r="D347" s="239"/>
      <c r="E347" s="14" t="s">
        <v>2979</v>
      </c>
      <c r="F347" s="239" t="str">
        <f>IF(wskakunin_dairi8_JIMU_NAME="", "",wskakunin_dairi8_JIMU_NAME)</f>
        <v/>
      </c>
      <c r="H347" s="15"/>
    </row>
    <row r="348" spans="1:8" ht="15" customHeight="1">
      <c r="A348" s="59"/>
      <c r="B348" s="74" t="s">
        <v>8</v>
      </c>
      <c r="C348" s="14" t="s">
        <v>2965</v>
      </c>
      <c r="D348" s="241"/>
      <c r="E348" s="14" t="s">
        <v>2980</v>
      </c>
      <c r="F348" s="239" t="str">
        <f>IF(wskakunin_dairi8_ZIP="", "", wskakunin_dairi8_ZIP)</f>
        <v/>
      </c>
      <c r="H348" s="15"/>
    </row>
    <row r="349" spans="1:8" ht="15" customHeight="1">
      <c r="A349" s="59"/>
      <c r="B349" s="74" t="s">
        <v>12</v>
      </c>
      <c r="C349" s="14" t="s">
        <v>2966</v>
      </c>
      <c r="D349" s="239"/>
      <c r="E349" s="14" t="s">
        <v>2981</v>
      </c>
      <c r="F349" s="239" t="str">
        <f>IF(wskakunin_dairi8__address="", "", wskakunin_dairi8__address)</f>
        <v/>
      </c>
      <c r="H349" s="15"/>
    </row>
    <row r="350" spans="1:8" ht="15" customHeight="1">
      <c r="A350" s="59"/>
      <c r="B350" s="74" t="s">
        <v>10</v>
      </c>
      <c r="C350" s="14" t="s">
        <v>2967</v>
      </c>
      <c r="D350" s="241"/>
      <c r="E350" s="14" t="s">
        <v>2982</v>
      </c>
      <c r="F350" s="239" t="str">
        <f>IF(wskakunin_dairi8_TEL="", "", wskakunin_dairi8_TEL)</f>
        <v/>
      </c>
      <c r="H350" s="15"/>
    </row>
    <row r="351" spans="1:8" ht="15" customHeight="1">
      <c r="A351" s="59"/>
      <c r="B351" s="74" t="s">
        <v>611</v>
      </c>
      <c r="C351" s="14" t="s">
        <v>2968</v>
      </c>
      <c r="D351" s="241"/>
      <c r="E351" s="14" t="s">
        <v>2983</v>
      </c>
      <c r="F351" s="239" t="str">
        <f>IF(wskakunin_dairi8_FAX="", "", wskakunin_dairi8_FAX)</f>
        <v/>
      </c>
      <c r="H351" s="15"/>
    </row>
    <row r="352" spans="1:8" ht="15" customHeight="1">
      <c r="A352" s="59"/>
      <c r="B352" s="111" t="s">
        <v>98</v>
      </c>
      <c r="C352" s="15"/>
      <c r="D352" s="15"/>
      <c r="E352" s="14" t="s">
        <v>2984</v>
      </c>
      <c r="F352" s="239" t="str">
        <f>IF(wskakunin_dairi8_NAME&amp;wskakunin_dairi8_JIMU_NAME="","",IF(wskakunin_dairi8_JIMU_NAME="",wskakunin_dairi8_NAME,wskakunin_dairi8_JIMU_NAME&amp;"　"&amp;wskakunin_dairi8_NAME))</f>
        <v/>
      </c>
      <c r="H352" s="15"/>
    </row>
    <row r="353" spans="1:8" ht="15" customHeight="1">
      <c r="A353" s="60"/>
      <c r="B353" s="112"/>
      <c r="D353" s="32"/>
      <c r="F353" s="15"/>
      <c r="G353" s="15"/>
      <c r="H353" s="15"/>
    </row>
    <row r="354" spans="1:8" ht="15" customHeight="1">
      <c r="A354" s="1" t="s">
        <v>579</v>
      </c>
      <c r="B354" s="47"/>
      <c r="G354" s="15"/>
      <c r="H354" s="15"/>
    </row>
    <row r="355" spans="1:8" ht="15" customHeight="1">
      <c r="A355" s="25"/>
      <c r="B355" s="75" t="s">
        <v>542</v>
      </c>
      <c r="C355" s="14" t="s">
        <v>79</v>
      </c>
      <c r="D355" s="151" t="s">
        <v>4149</v>
      </c>
      <c r="E355" s="14" t="s">
        <v>573</v>
      </c>
      <c r="F355" s="151" t="str">
        <f>IF(wskakunin_sekkei1__sikaku="", "", wskakunin_sekkei1__sikaku)</f>
        <v>一級建築士国土交通大臣登録第12121212号</v>
      </c>
      <c r="G355" s="15"/>
      <c r="H355" s="15"/>
    </row>
    <row r="356" spans="1:8" ht="15" customHeight="1">
      <c r="A356" s="30"/>
      <c r="B356" s="75" t="s">
        <v>543</v>
      </c>
      <c r="C356" s="14" t="s">
        <v>571</v>
      </c>
      <c r="D356" s="151" t="s">
        <v>120</v>
      </c>
      <c r="E356" s="14" t="s">
        <v>574</v>
      </c>
      <c r="F356" s="151" t="str">
        <f>IF(wskakunin_sekkei1_SIKAKU__label="","",wskakunin_sekkei1_SIKAKU__label)</f>
        <v>一級</v>
      </c>
      <c r="G356" s="15"/>
      <c r="H356" s="15"/>
    </row>
    <row r="357" spans="1:8" ht="15" customHeight="1">
      <c r="A357" s="30"/>
      <c r="B357" s="75" t="s">
        <v>538</v>
      </c>
      <c r="C357" s="14" t="s">
        <v>1312</v>
      </c>
      <c r="D357" s="151" t="s">
        <v>4147</v>
      </c>
      <c r="E357" s="14" t="s">
        <v>575</v>
      </c>
      <c r="F357" s="151" t="str">
        <f>IF(wskakunin_sekkei1_TOUROKU_KIKAN__label="","",wskakunin_sekkei1_TOUROKU_KIKAN__label)</f>
        <v>国土交通大臣</v>
      </c>
      <c r="G357" s="15"/>
      <c r="H357" s="15"/>
    </row>
    <row r="358" spans="1:8" ht="15" customHeight="1">
      <c r="A358" s="30"/>
      <c r="B358" s="75" t="s">
        <v>539</v>
      </c>
      <c r="C358" s="14" t="s">
        <v>572</v>
      </c>
      <c r="D358" s="233" t="s">
        <v>4151</v>
      </c>
      <c r="E358" s="14" t="s">
        <v>576</v>
      </c>
      <c r="F358" s="151" t="str">
        <f>IF(wskakunin_sekkei1_KENTIKUSI_NO="","",wskakunin_sekkei1_KENTIKUSI_NO)</f>
        <v>12121212</v>
      </c>
      <c r="G358" s="15"/>
      <c r="H358" s="15"/>
    </row>
    <row r="359" spans="1:8" ht="15" customHeight="1">
      <c r="A359" s="42"/>
      <c r="B359" s="75" t="s">
        <v>7</v>
      </c>
      <c r="C359" s="14" t="s">
        <v>80</v>
      </c>
      <c r="D359" s="151" t="s">
        <v>4152</v>
      </c>
      <c r="E359" s="14" t="s">
        <v>107</v>
      </c>
      <c r="F359" s="151" t="str">
        <f>IF(wskakunin_sekkei1_NAME="", "", wskakunin_sekkei1_NAME)</f>
        <v>髙橋　一郎</v>
      </c>
      <c r="G359" s="15"/>
      <c r="H359" s="15"/>
    </row>
    <row r="360" spans="1:8" ht="15" customHeight="1">
      <c r="A360" s="42"/>
      <c r="B360" s="75" t="s">
        <v>544</v>
      </c>
      <c r="C360" s="14" t="s">
        <v>566</v>
      </c>
      <c r="D360" s="151" t="s">
        <v>4141</v>
      </c>
      <c r="E360" s="14" t="s">
        <v>108</v>
      </c>
      <c r="F360" s="151" t="str">
        <f>IF(wskakunin_sekkei1_JIMU__sikaku="", "", wskakunin_sekkei1_JIMU__sikaku)</f>
        <v>一級建築士事務所東京都知事登録第11111号</v>
      </c>
      <c r="G360" s="15"/>
      <c r="H360" s="15"/>
    </row>
    <row r="361" spans="1:8" ht="15" customHeight="1">
      <c r="A361" s="42"/>
      <c r="B361" s="75" t="s">
        <v>36</v>
      </c>
      <c r="C361" s="14" t="s">
        <v>567</v>
      </c>
      <c r="D361" s="151" t="s">
        <v>120</v>
      </c>
      <c r="E361" s="14" t="s">
        <v>1400</v>
      </c>
      <c r="F361" s="151" t="str">
        <f>IF(wskakunin_sekkei1_JIMU_SIKAKU__label="","",wskakunin_sekkei1_JIMU_SIKAKU__label)</f>
        <v>一級</v>
      </c>
      <c r="G361" s="15"/>
      <c r="H361" s="15"/>
    </row>
    <row r="362" spans="1:8" ht="15" customHeight="1">
      <c r="A362" s="42"/>
      <c r="B362" s="75" t="s">
        <v>545</v>
      </c>
      <c r="C362" s="14" t="s">
        <v>1313</v>
      </c>
      <c r="D362" s="151" t="s">
        <v>475</v>
      </c>
      <c r="E362" s="14" t="s">
        <v>569</v>
      </c>
      <c r="F362" s="151" t="str">
        <f>IF(wskakunin_sekkei1_JIMU_TOUROKU_KIKAN__label="","",wskakunin_sekkei1_JIMU_TOUROKU_KIKAN__label)</f>
        <v>東京都</v>
      </c>
      <c r="G362" s="15"/>
      <c r="H362" s="15"/>
    </row>
    <row r="363" spans="1:8" ht="15" customHeight="1">
      <c r="A363" s="42"/>
      <c r="B363" s="75" t="s">
        <v>546</v>
      </c>
      <c r="C363" s="14" t="s">
        <v>568</v>
      </c>
      <c r="D363" s="233" t="s">
        <v>4143</v>
      </c>
      <c r="E363" s="14" t="s">
        <v>570</v>
      </c>
      <c r="F363" s="151" t="str">
        <f>IF(wskakunin_sekkei1_JIMU_NO="","",wskakunin_sekkei1_JIMU_NO)</f>
        <v>11111</v>
      </c>
      <c r="G363" s="15"/>
      <c r="H363" s="15"/>
    </row>
    <row r="364" spans="1:8" ht="15" customHeight="1">
      <c r="A364" s="58"/>
      <c r="B364" s="75" t="s">
        <v>37</v>
      </c>
      <c r="C364" s="14" t="s">
        <v>81</v>
      </c>
      <c r="D364" s="151" t="s">
        <v>4142</v>
      </c>
      <c r="E364" s="14" t="s">
        <v>109</v>
      </c>
      <c r="F364" s="151" t="str">
        <f>IF(wskakunin_sekkei1_JIMU_NAME="", "", wskakunin_sekkei1_JIMU_NAME)</f>
        <v>一級建築士事務所　UHEC</v>
      </c>
      <c r="G364" s="15"/>
      <c r="H364" s="15"/>
    </row>
    <row r="365" spans="1:8" ht="15" customHeight="1">
      <c r="A365" s="42"/>
      <c r="B365" s="75" t="s">
        <v>559</v>
      </c>
      <c r="D365" s="32"/>
      <c r="E365" s="14" t="s">
        <v>560</v>
      </c>
      <c r="F365" s="151" t="str">
        <f>wskakunin_sekkei1_JIMU_NAME&amp;" "&amp;wskakunin_sekkei1_NAME</f>
        <v>一級建築士事務所　UHEC 髙橋　一郎</v>
      </c>
      <c r="G365" s="15"/>
      <c r="H365" s="15"/>
    </row>
    <row r="366" spans="1:8" ht="15" customHeight="1">
      <c r="A366" s="58"/>
      <c r="B366" s="75" t="s">
        <v>8</v>
      </c>
      <c r="C366" s="14" t="s">
        <v>82</v>
      </c>
      <c r="D366" s="233" t="s">
        <v>4148</v>
      </c>
      <c r="E366" s="14" t="s">
        <v>110</v>
      </c>
      <c r="F366" s="151" t="str">
        <f>IF(wskakunin_sekkei1_ZIP="", "", wskakunin_sekkei1_ZIP)</f>
        <v>105-0001</v>
      </c>
      <c r="G366" s="15"/>
      <c r="H366" s="15" t="s">
        <v>577</v>
      </c>
    </row>
    <row r="367" spans="1:8" ht="15" customHeight="1">
      <c r="A367" s="58"/>
      <c r="B367" s="75" t="s">
        <v>12</v>
      </c>
      <c r="C367" s="14" t="s">
        <v>654</v>
      </c>
      <c r="D367" s="151" t="s">
        <v>4139</v>
      </c>
      <c r="E367" s="14" t="s">
        <v>655</v>
      </c>
      <c r="F367" s="151" t="str">
        <f>IF(wskakunin_sekkei1__address="", "", wskakunin_sekkei1__address)</f>
        <v>東京都港区虎ノ門1-1-21</v>
      </c>
      <c r="G367" s="15"/>
      <c r="H367" s="15"/>
    </row>
    <row r="368" spans="1:8" ht="15" customHeight="1">
      <c r="A368" s="58"/>
      <c r="B368" s="75" t="s">
        <v>10</v>
      </c>
      <c r="C368" s="14" t="s">
        <v>656</v>
      </c>
      <c r="D368" s="233" t="s">
        <v>4146</v>
      </c>
      <c r="E368" s="14" t="s">
        <v>657</v>
      </c>
      <c r="F368" s="151" t="str">
        <f>IF(wskakunin_sekkei1_TEL="", "", wskakunin_sekkei1_TEL)</f>
        <v>03-3504-2386</v>
      </c>
      <c r="G368" s="15"/>
      <c r="H368" s="15"/>
    </row>
    <row r="369" spans="1:8" ht="15" customHeight="1">
      <c r="A369" s="58"/>
      <c r="B369" s="75" t="s">
        <v>578</v>
      </c>
      <c r="C369" s="14" t="s">
        <v>658</v>
      </c>
      <c r="D369" s="233" t="s">
        <v>4161</v>
      </c>
      <c r="E369" s="14" t="s">
        <v>659</v>
      </c>
      <c r="F369" s="151" t="str">
        <f>IF(wskakunin_sekkei1_DOC="","",wskakunin_sekkei1_DOC)</f>
        <v>意匠図一式</v>
      </c>
      <c r="G369" s="15"/>
      <c r="H369" s="15"/>
    </row>
    <row r="370" spans="1:8" ht="15" customHeight="1">
      <c r="A370" s="58"/>
      <c r="B370" s="83"/>
      <c r="G370" s="15"/>
      <c r="H370" s="15"/>
    </row>
    <row r="371" spans="1:8" ht="15" customHeight="1">
      <c r="A371" s="1" t="s">
        <v>580</v>
      </c>
      <c r="B371" s="47"/>
      <c r="G371" s="15"/>
      <c r="H371" s="15"/>
    </row>
    <row r="372" spans="1:8" ht="15" customHeight="1">
      <c r="A372" s="25"/>
      <c r="B372" s="75" t="s">
        <v>542</v>
      </c>
      <c r="C372" s="14" t="s">
        <v>660</v>
      </c>
      <c r="D372" s="151" t="s">
        <v>4140</v>
      </c>
      <c r="E372" s="14" t="s">
        <v>661</v>
      </c>
      <c r="F372" s="151" t="str">
        <f>IF(wskakunin_sekkei2__sikaku="", "", wskakunin_sekkei2__sikaku)</f>
        <v>一級建築士国土交通大臣登録第111111号</v>
      </c>
      <c r="G372" s="15"/>
      <c r="H372" s="15"/>
    </row>
    <row r="373" spans="1:8" ht="15" customHeight="1">
      <c r="A373" s="30"/>
      <c r="B373" s="75" t="s">
        <v>543</v>
      </c>
      <c r="C373" s="14" t="s">
        <v>662</v>
      </c>
      <c r="D373" s="151" t="s">
        <v>120</v>
      </c>
      <c r="E373" s="14" t="s">
        <v>663</v>
      </c>
      <c r="F373" s="151" t="str">
        <f>IF(wskakunin_sekkei2_SIKAKU__label="","",wskakunin_sekkei2_SIKAKU__label)</f>
        <v>一級</v>
      </c>
      <c r="G373" s="15"/>
      <c r="H373" s="15"/>
    </row>
    <row r="374" spans="1:8" ht="15" customHeight="1">
      <c r="A374" s="30"/>
      <c r="B374" s="75" t="s">
        <v>538</v>
      </c>
      <c r="C374" s="14" t="s">
        <v>1314</v>
      </c>
      <c r="D374" s="151" t="s">
        <v>4147</v>
      </c>
      <c r="E374" s="14" t="s">
        <v>664</v>
      </c>
      <c r="F374" s="151" t="str">
        <f>IF(wskakunin_sekkei2_TOUROKU_KIKAN__label="","",wskakunin_sekkei2_TOUROKU_KIKAN__label)</f>
        <v>国土交通大臣</v>
      </c>
      <c r="G374" s="15"/>
      <c r="H374" s="15"/>
    </row>
    <row r="375" spans="1:8" ht="15" customHeight="1">
      <c r="A375" s="30"/>
      <c r="B375" s="75" t="s">
        <v>539</v>
      </c>
      <c r="C375" s="14" t="s">
        <v>665</v>
      </c>
      <c r="D375" s="233" t="s">
        <v>4144</v>
      </c>
      <c r="E375" s="14" t="s">
        <v>666</v>
      </c>
      <c r="F375" s="151" t="str">
        <f>IF(wskakunin_sekkei2_KENTIKUSI_NO="","",wskakunin_sekkei2_KENTIKUSI_NO)</f>
        <v>111111</v>
      </c>
      <c r="G375" s="15"/>
      <c r="H375" s="15"/>
    </row>
    <row r="376" spans="1:8" ht="15" customHeight="1">
      <c r="A376" s="42"/>
      <c r="B376" s="75" t="s">
        <v>7</v>
      </c>
      <c r="C376" s="14" t="s">
        <v>667</v>
      </c>
      <c r="D376" s="151" t="s">
        <v>4145</v>
      </c>
      <c r="E376" s="14" t="s">
        <v>668</v>
      </c>
      <c r="F376" s="151" t="str">
        <f>IF(wskakunin_sekkei2_NAME="", "", wskakunin_sekkei2_NAME)</f>
        <v>藤田　ゆき子</v>
      </c>
      <c r="G376" s="15"/>
      <c r="H376" s="15"/>
    </row>
    <row r="377" spans="1:8" ht="15" customHeight="1">
      <c r="A377" s="42"/>
      <c r="B377" s="75" t="s">
        <v>544</v>
      </c>
      <c r="C377" s="14" t="s">
        <v>669</v>
      </c>
      <c r="D377" s="151" t="s">
        <v>4141</v>
      </c>
      <c r="E377" s="14" t="s">
        <v>670</v>
      </c>
      <c r="F377" s="151" t="str">
        <f>IF(wskakunin_sekkei2_JIMU__sikaku="", "", wskakunin_sekkei2_JIMU__sikaku)</f>
        <v>一級建築士事務所東京都知事登録第11111号</v>
      </c>
      <c r="G377" s="15"/>
      <c r="H377" s="15"/>
    </row>
    <row r="378" spans="1:8" ht="15" customHeight="1">
      <c r="A378" s="42"/>
      <c r="B378" s="75" t="s">
        <v>36</v>
      </c>
      <c r="C378" s="14" t="s">
        <v>671</v>
      </c>
      <c r="D378" s="151" t="s">
        <v>120</v>
      </c>
      <c r="E378" s="14" t="s">
        <v>1401</v>
      </c>
      <c r="F378" s="151" t="str">
        <f>IF(wskakunin_sekkei2_JIMU_SIKAKU__label="","",wskakunin_sekkei2_JIMU_SIKAKU__label)</f>
        <v>一級</v>
      </c>
      <c r="G378" s="15"/>
      <c r="H378" s="15"/>
    </row>
    <row r="379" spans="1:8" ht="15" customHeight="1">
      <c r="A379" s="42"/>
      <c r="B379" s="75" t="s">
        <v>545</v>
      </c>
      <c r="C379" s="14" t="s">
        <v>1315</v>
      </c>
      <c r="D379" s="151" t="s">
        <v>475</v>
      </c>
      <c r="E379" s="14" t="s">
        <v>672</v>
      </c>
      <c r="F379" s="151" t="str">
        <f>IF(wskakunin_sekkei2_JIMU_TOUROKU_KIKAN__label="","",wskakunin_sekkei2_JIMU_TOUROKU_KIKAN__label)</f>
        <v>東京都</v>
      </c>
      <c r="G379" s="15"/>
      <c r="H379" s="15"/>
    </row>
    <row r="380" spans="1:8" ht="15" customHeight="1">
      <c r="A380" s="42"/>
      <c r="B380" s="75" t="s">
        <v>546</v>
      </c>
      <c r="C380" s="14" t="s">
        <v>673</v>
      </c>
      <c r="D380" s="233" t="s">
        <v>4143</v>
      </c>
      <c r="E380" s="14" t="s">
        <v>674</v>
      </c>
      <c r="F380" s="151" t="str">
        <f>IF(wskakunin_sekkei2_JIMU_NO="","",wskakunin_sekkei2_JIMU_NO)</f>
        <v>11111</v>
      </c>
      <c r="G380" s="15"/>
      <c r="H380" s="15"/>
    </row>
    <row r="381" spans="1:8" ht="15" customHeight="1">
      <c r="A381" s="58"/>
      <c r="B381" s="75" t="s">
        <v>37</v>
      </c>
      <c r="C381" s="14" t="s">
        <v>675</v>
      </c>
      <c r="D381" s="151" t="s">
        <v>4142</v>
      </c>
      <c r="E381" s="14" t="s">
        <v>676</v>
      </c>
      <c r="F381" s="151" t="str">
        <f>IF(wskakunin_sekkei2_JIMU_NAME="", "", wskakunin_sekkei2_JIMU_NAME)</f>
        <v>一級建築士事務所　UHEC</v>
      </c>
      <c r="G381" s="15"/>
      <c r="H381" s="15"/>
    </row>
    <row r="382" spans="1:8" ht="15" customHeight="1">
      <c r="A382" s="42"/>
      <c r="B382" s="75" t="s">
        <v>559</v>
      </c>
      <c r="D382" s="32"/>
      <c r="E382" s="14" t="s">
        <v>677</v>
      </c>
      <c r="F382" s="151" t="str">
        <f>wskakunin_sekkei2_JIMU_NAME&amp;" "&amp;wskakunin_sekkei2_NAME</f>
        <v>一級建築士事務所　UHEC 藤田　ゆき子</v>
      </c>
      <c r="G382" s="15"/>
      <c r="H382" s="15"/>
    </row>
    <row r="383" spans="1:8" ht="15" customHeight="1">
      <c r="A383" s="58"/>
      <c r="B383" s="75" t="s">
        <v>8</v>
      </c>
      <c r="C383" s="14" t="s">
        <v>678</v>
      </c>
      <c r="D383" s="233" t="s">
        <v>4148</v>
      </c>
      <c r="E383" s="14" t="s">
        <v>679</v>
      </c>
      <c r="F383" s="151" t="str">
        <f>IF(wskakunin_sekkei2_ZIP="", "", wskakunin_sekkei2_ZIP)</f>
        <v>105-0001</v>
      </c>
      <c r="G383" s="15"/>
      <c r="H383" s="15" t="s">
        <v>577</v>
      </c>
    </row>
    <row r="384" spans="1:8" ht="15" customHeight="1">
      <c r="A384" s="58"/>
      <c r="B384" s="75" t="s">
        <v>12</v>
      </c>
      <c r="C384" s="14" t="s">
        <v>680</v>
      </c>
      <c r="D384" s="151" t="s">
        <v>4139</v>
      </c>
      <c r="E384" s="14" t="s">
        <v>681</v>
      </c>
      <c r="F384" s="151" t="str">
        <f>IF(wskakunin_sekkei2__address="", "", wskakunin_sekkei2__address)</f>
        <v>東京都港区虎ノ門1-1-21</v>
      </c>
      <c r="G384" s="15"/>
      <c r="H384" s="15"/>
    </row>
    <row r="385" spans="1:8" ht="15" customHeight="1">
      <c r="A385" s="58"/>
      <c r="B385" s="75" t="s">
        <v>10</v>
      </c>
      <c r="C385" s="14" t="s">
        <v>682</v>
      </c>
      <c r="D385" s="233" t="s">
        <v>4146</v>
      </c>
      <c r="E385" s="14" t="s">
        <v>683</v>
      </c>
      <c r="F385" s="151" t="str">
        <f>IF(wskakunin_sekkei2_TEL="", "", wskakunin_sekkei2_TEL)</f>
        <v>03-3504-2386</v>
      </c>
      <c r="G385" s="15"/>
      <c r="H385" s="15"/>
    </row>
    <row r="386" spans="1:8" ht="15" customHeight="1">
      <c r="A386" s="58"/>
      <c r="B386" s="75" t="s">
        <v>578</v>
      </c>
      <c r="C386" s="14" t="s">
        <v>684</v>
      </c>
      <c r="D386" s="233" t="s">
        <v>485</v>
      </c>
      <c r="E386" s="14" t="s">
        <v>685</v>
      </c>
      <c r="F386" s="151" t="str">
        <f>IF(wskakunin_sekkei2_DOC="","",wskakunin_sekkei2_DOC)</f>
        <v>設計図書一式</v>
      </c>
      <c r="G386" s="15"/>
      <c r="H386" s="15"/>
    </row>
    <row r="387" spans="1:8" ht="15" customHeight="1">
      <c r="A387" s="58"/>
      <c r="B387" s="83"/>
      <c r="G387" s="15"/>
      <c r="H387" s="15"/>
    </row>
    <row r="388" spans="1:8" ht="15" customHeight="1">
      <c r="A388" s="1" t="s">
        <v>581</v>
      </c>
      <c r="B388" s="47"/>
      <c r="G388" s="15"/>
      <c r="H388" s="15"/>
    </row>
    <row r="389" spans="1:8" ht="15" customHeight="1">
      <c r="A389" s="25"/>
      <c r="B389" s="75" t="s">
        <v>542</v>
      </c>
      <c r="C389" s="14" t="s">
        <v>686</v>
      </c>
      <c r="D389" s="151" t="s">
        <v>4162</v>
      </c>
      <c r="E389" s="14" t="s">
        <v>687</v>
      </c>
      <c r="F389" s="151" t="str">
        <f>IF(wskakunin_sekkei3__sikaku="", "", wskakunin_sekkei3__sikaku)</f>
        <v>一級建築士国土交通大臣登録第1234556号</v>
      </c>
      <c r="G389" s="15"/>
      <c r="H389" s="15"/>
    </row>
    <row r="390" spans="1:8" ht="15" customHeight="1">
      <c r="A390" s="30"/>
      <c r="B390" s="75" t="s">
        <v>543</v>
      </c>
      <c r="C390" s="14" t="s">
        <v>688</v>
      </c>
      <c r="D390" s="151" t="s">
        <v>120</v>
      </c>
      <c r="E390" s="14" t="s">
        <v>689</v>
      </c>
      <c r="F390" s="151" t="str">
        <f>IF(wskakunin_sekkei3_SIKAKU__label="","",wskakunin_sekkei3_SIKAKU__label)</f>
        <v>一級</v>
      </c>
      <c r="G390" s="15"/>
      <c r="H390" s="15"/>
    </row>
    <row r="391" spans="1:8" ht="15" customHeight="1">
      <c r="A391" s="30"/>
      <c r="B391" s="75" t="s">
        <v>538</v>
      </c>
      <c r="C391" s="14" t="s">
        <v>1316</v>
      </c>
      <c r="D391" s="151" t="s">
        <v>4147</v>
      </c>
      <c r="E391" s="14" t="s">
        <v>690</v>
      </c>
      <c r="F391" s="151" t="str">
        <f>IF(wskakunin_sekkei3_TOUROKU_KIKAN__label="","",wskakunin_sekkei3_TOUROKU_KIKAN__label)</f>
        <v>国土交通大臣</v>
      </c>
      <c r="G391" s="15"/>
      <c r="H391" s="15"/>
    </row>
    <row r="392" spans="1:8" ht="15" customHeight="1">
      <c r="A392" s="30"/>
      <c r="B392" s="75" t="s">
        <v>539</v>
      </c>
      <c r="C392" s="14" t="s">
        <v>691</v>
      </c>
      <c r="D392" s="233" t="s">
        <v>4164</v>
      </c>
      <c r="E392" s="14" t="s">
        <v>692</v>
      </c>
      <c r="F392" s="151" t="str">
        <f>IF(wskakunin_sekkei3_KENTIKUSI_NO="","",wskakunin_sekkei3_KENTIKUSI_NO)</f>
        <v>1234556</v>
      </c>
      <c r="G392" s="15"/>
      <c r="H392" s="15"/>
    </row>
    <row r="393" spans="1:8" ht="15" customHeight="1">
      <c r="A393" s="42"/>
      <c r="B393" s="75" t="s">
        <v>7</v>
      </c>
      <c r="C393" s="14" t="s">
        <v>693</v>
      </c>
      <c r="D393" s="151" t="s">
        <v>4165</v>
      </c>
      <c r="E393" s="14" t="s">
        <v>694</v>
      </c>
      <c r="F393" s="151" t="str">
        <f>IF(wskakunin_sekkei3_NAME="", "", wskakunin_sekkei3_NAME)</f>
        <v>橋上　眞光</v>
      </c>
      <c r="G393" s="15"/>
      <c r="H393" s="15"/>
    </row>
    <row r="394" spans="1:8" ht="15" customHeight="1">
      <c r="A394" s="42"/>
      <c r="B394" s="75" t="s">
        <v>544</v>
      </c>
      <c r="C394" s="14" t="s">
        <v>695</v>
      </c>
      <c r="D394" s="151" t="s">
        <v>4141</v>
      </c>
      <c r="E394" s="14" t="s">
        <v>696</v>
      </c>
      <c r="F394" s="151" t="str">
        <f>IF(wskakunin_sekkei3_JIMU__sikaku="", "", wskakunin_sekkei3_JIMU__sikaku)</f>
        <v>一級建築士事務所東京都知事登録第11111号</v>
      </c>
      <c r="G394" s="15"/>
      <c r="H394" s="15"/>
    </row>
    <row r="395" spans="1:8" ht="15" customHeight="1">
      <c r="A395" s="42"/>
      <c r="B395" s="75" t="s">
        <v>36</v>
      </c>
      <c r="C395" s="14" t="s">
        <v>697</v>
      </c>
      <c r="D395" s="151" t="s">
        <v>120</v>
      </c>
      <c r="E395" s="14" t="s">
        <v>1402</v>
      </c>
      <c r="F395" s="151" t="str">
        <f>IF(wskakunin_sekkei3_JIMU_SIKAKU__label="","",wskakunin_sekkei3_JIMU_SIKAKU__label)</f>
        <v>一級</v>
      </c>
      <c r="G395" s="15"/>
      <c r="H395" s="15"/>
    </row>
    <row r="396" spans="1:8" ht="15" customHeight="1">
      <c r="A396" s="42"/>
      <c r="B396" s="75" t="s">
        <v>545</v>
      </c>
      <c r="C396" s="14" t="s">
        <v>1317</v>
      </c>
      <c r="D396" s="151" t="s">
        <v>475</v>
      </c>
      <c r="E396" s="14" t="s">
        <v>698</v>
      </c>
      <c r="F396" s="151" t="str">
        <f>IF(wskakunin_sekkei3_JIMU_TOUROKU_KIKAN__label="","",wskakunin_sekkei3_JIMU_TOUROKU_KIKAN__label)</f>
        <v>東京都</v>
      </c>
      <c r="G396" s="15"/>
      <c r="H396" s="15"/>
    </row>
    <row r="397" spans="1:8" ht="15" customHeight="1">
      <c r="A397" s="42"/>
      <c r="B397" s="75" t="s">
        <v>546</v>
      </c>
      <c r="C397" s="14" t="s">
        <v>699</v>
      </c>
      <c r="D397" s="233" t="s">
        <v>4143</v>
      </c>
      <c r="E397" s="14" t="s">
        <v>700</v>
      </c>
      <c r="F397" s="151" t="str">
        <f>IF(wskakunin_sekkei3_JIMU_NO="","",wskakunin_sekkei3_JIMU_NO)</f>
        <v>11111</v>
      </c>
      <c r="G397" s="15"/>
      <c r="H397" s="15"/>
    </row>
    <row r="398" spans="1:8" ht="15" customHeight="1">
      <c r="A398" s="58"/>
      <c r="B398" s="75" t="s">
        <v>37</v>
      </c>
      <c r="C398" s="14" t="s">
        <v>701</v>
      </c>
      <c r="D398" s="151" t="s">
        <v>4142</v>
      </c>
      <c r="E398" s="14" t="s">
        <v>702</v>
      </c>
      <c r="F398" s="151" t="str">
        <f>IF(wskakunin_sekkei3_JIMU_NAME="", "", wskakunin_sekkei3_JIMU_NAME)</f>
        <v>一級建築士事務所　UHEC</v>
      </c>
      <c r="G398" s="15"/>
      <c r="H398" s="15"/>
    </row>
    <row r="399" spans="1:8" ht="15" customHeight="1">
      <c r="A399" s="42"/>
      <c r="B399" s="75" t="s">
        <v>559</v>
      </c>
      <c r="D399" s="32"/>
      <c r="E399" s="14" t="s">
        <v>703</v>
      </c>
      <c r="F399" s="151" t="str">
        <f>wskakunin_sekkei3_JIMU_NAME&amp;" "&amp;wskakunin_sekkei3_NAME</f>
        <v>一級建築士事務所　UHEC 橋上　眞光</v>
      </c>
      <c r="G399" s="15"/>
      <c r="H399" s="15"/>
    </row>
    <row r="400" spans="1:8" ht="15" customHeight="1">
      <c r="A400" s="58"/>
      <c r="B400" s="75" t="s">
        <v>8</v>
      </c>
      <c r="C400" s="14" t="s">
        <v>704</v>
      </c>
      <c r="D400" s="233" t="s">
        <v>4148</v>
      </c>
      <c r="E400" s="14" t="s">
        <v>705</v>
      </c>
      <c r="F400" s="151" t="str">
        <f>IF(wskakunin_sekkei3_ZIP="", "", wskakunin_sekkei3_ZIP)</f>
        <v>105-0001</v>
      </c>
      <c r="G400" s="15"/>
      <c r="H400" s="15" t="s">
        <v>577</v>
      </c>
    </row>
    <row r="401" spans="1:8" ht="15" customHeight="1">
      <c r="A401" s="58"/>
      <c r="B401" s="75" t="s">
        <v>12</v>
      </c>
      <c r="C401" s="14" t="s">
        <v>706</v>
      </c>
      <c r="D401" s="151" t="s">
        <v>4139</v>
      </c>
      <c r="E401" s="14" t="s">
        <v>707</v>
      </c>
      <c r="F401" s="151" t="str">
        <f>IF(wskakunin_sekkei3__address="", "", wskakunin_sekkei3__address)</f>
        <v>東京都港区虎ノ門1-1-21</v>
      </c>
      <c r="G401" s="15"/>
      <c r="H401" s="15"/>
    </row>
    <row r="402" spans="1:8" ht="15" customHeight="1">
      <c r="A402" s="58"/>
      <c r="B402" s="75" t="s">
        <v>10</v>
      </c>
      <c r="C402" s="14" t="s">
        <v>708</v>
      </c>
      <c r="D402" s="233" t="s">
        <v>4146</v>
      </c>
      <c r="E402" s="14" t="s">
        <v>709</v>
      </c>
      <c r="F402" s="151" t="str">
        <f>IF(wskakunin_sekkei3_TEL="", "", wskakunin_sekkei3_TEL)</f>
        <v>03-3504-2386</v>
      </c>
      <c r="G402" s="15"/>
      <c r="H402" s="15"/>
    </row>
    <row r="403" spans="1:8" ht="15" customHeight="1">
      <c r="A403" s="58"/>
      <c r="B403" s="75" t="s">
        <v>578</v>
      </c>
      <c r="C403" s="14" t="s">
        <v>710</v>
      </c>
      <c r="D403" s="233" t="s">
        <v>4163</v>
      </c>
      <c r="E403" s="14" t="s">
        <v>711</v>
      </c>
      <c r="F403" s="151" t="str">
        <f>IF(wskakunin_sekkei3_DOC="","",wskakunin_sekkei3_DOC)</f>
        <v>意匠図</v>
      </c>
      <c r="G403" s="15"/>
      <c r="H403" s="15"/>
    </row>
    <row r="404" spans="1:8" ht="15" customHeight="1">
      <c r="A404" s="58"/>
      <c r="B404" s="83"/>
      <c r="G404" s="15"/>
      <c r="H404" s="15"/>
    </row>
    <row r="405" spans="1:8" ht="15" customHeight="1">
      <c r="A405" s="44" t="s">
        <v>582</v>
      </c>
      <c r="B405" s="47"/>
      <c r="G405" s="15"/>
      <c r="H405" s="15"/>
    </row>
    <row r="406" spans="1:8" ht="15" customHeight="1">
      <c r="A406" s="81"/>
      <c r="B406" s="75" t="s">
        <v>542</v>
      </c>
      <c r="C406" s="14" t="s">
        <v>712</v>
      </c>
      <c r="D406" s="151" t="s">
        <v>4166</v>
      </c>
      <c r="E406" s="14" t="s">
        <v>713</v>
      </c>
      <c r="F406" s="151" t="str">
        <f>IF(wskakunin_sekkei4__sikaku="", "", wskakunin_sekkei4__sikaku)</f>
        <v>一級建築士国土交通大臣登録第9876543号</v>
      </c>
      <c r="G406" s="15"/>
      <c r="H406" s="15"/>
    </row>
    <row r="407" spans="1:8" ht="15" customHeight="1">
      <c r="A407" s="81"/>
      <c r="B407" s="75" t="s">
        <v>543</v>
      </c>
      <c r="C407" s="14" t="s">
        <v>714</v>
      </c>
      <c r="D407" s="151" t="s">
        <v>120</v>
      </c>
      <c r="E407" s="14" t="s">
        <v>715</v>
      </c>
      <c r="F407" s="151" t="str">
        <f>IF(wskakunin_sekkei4_SIKAKU__label="","",wskakunin_sekkei4_SIKAKU__label)</f>
        <v>一級</v>
      </c>
      <c r="G407" s="15"/>
      <c r="H407" s="15"/>
    </row>
    <row r="408" spans="1:8" ht="15" customHeight="1">
      <c r="A408" s="81"/>
      <c r="B408" s="75" t="s">
        <v>538</v>
      </c>
      <c r="C408" s="14" t="s">
        <v>1318</v>
      </c>
      <c r="D408" s="151" t="s">
        <v>4147</v>
      </c>
      <c r="E408" s="14" t="s">
        <v>716</v>
      </c>
      <c r="F408" s="151" t="str">
        <f>IF(wskakunin_sekkei4_TOUROKU_KIKAN__label="","",wskakunin_sekkei4_TOUROKU_KIKAN__label)</f>
        <v>国土交通大臣</v>
      </c>
      <c r="G408" s="15"/>
      <c r="H408" s="15"/>
    </row>
    <row r="409" spans="1:8" ht="15" customHeight="1">
      <c r="A409" s="81"/>
      <c r="B409" s="75" t="s">
        <v>539</v>
      </c>
      <c r="C409" s="14" t="s">
        <v>717</v>
      </c>
      <c r="D409" s="233" t="s">
        <v>4168</v>
      </c>
      <c r="E409" s="14" t="s">
        <v>718</v>
      </c>
      <c r="F409" s="151" t="str">
        <f>IF(wskakunin_sekkei4_KENTIKUSI_NO="","",wskakunin_sekkei4_KENTIKUSI_NO)</f>
        <v>9876543</v>
      </c>
      <c r="G409" s="15"/>
      <c r="H409" s="15"/>
    </row>
    <row r="410" spans="1:8" ht="15" customHeight="1">
      <c r="A410" s="48"/>
      <c r="B410" s="75" t="s">
        <v>7</v>
      </c>
      <c r="C410" s="14" t="s">
        <v>719</v>
      </c>
      <c r="D410" s="151" t="s">
        <v>4131</v>
      </c>
      <c r="E410" s="14" t="s">
        <v>720</v>
      </c>
      <c r="F410" s="151" t="str">
        <f>IF(wskakunin_sekkei4_NAME="", "", wskakunin_sekkei4_NAME)</f>
        <v>櫻井　誠一</v>
      </c>
      <c r="G410" s="15"/>
      <c r="H410" s="15"/>
    </row>
    <row r="411" spans="1:8" ht="15" customHeight="1">
      <c r="A411" s="48"/>
      <c r="B411" s="75" t="s">
        <v>544</v>
      </c>
      <c r="C411" s="14" t="s">
        <v>721</v>
      </c>
      <c r="D411" s="151" t="s">
        <v>4141</v>
      </c>
      <c r="E411" s="14" t="s">
        <v>722</v>
      </c>
      <c r="F411" s="151" t="str">
        <f>IF(wskakunin_sekkei4_JIMU__sikaku="", "", wskakunin_sekkei4_JIMU__sikaku)</f>
        <v>一級建築士事務所東京都知事登録第11111号</v>
      </c>
      <c r="G411" s="15"/>
      <c r="H411" s="15"/>
    </row>
    <row r="412" spans="1:8" ht="15" customHeight="1">
      <c r="A412" s="48"/>
      <c r="B412" s="75" t="s">
        <v>36</v>
      </c>
      <c r="C412" s="14" t="s">
        <v>723</v>
      </c>
      <c r="D412" s="151" t="s">
        <v>120</v>
      </c>
      <c r="E412" s="14" t="s">
        <v>1403</v>
      </c>
      <c r="F412" s="151" t="str">
        <f>IF(wskakunin_sekkei4_JIMU_SIKAKU__label="","",wskakunin_sekkei4_JIMU_SIKAKU__label)</f>
        <v>一級</v>
      </c>
      <c r="G412" s="15"/>
      <c r="H412" s="15"/>
    </row>
    <row r="413" spans="1:8" ht="15" customHeight="1">
      <c r="A413" s="48"/>
      <c r="B413" s="75" t="s">
        <v>545</v>
      </c>
      <c r="C413" s="14" t="s">
        <v>1319</v>
      </c>
      <c r="D413" s="151" t="s">
        <v>475</v>
      </c>
      <c r="E413" s="14" t="s">
        <v>724</v>
      </c>
      <c r="F413" s="151" t="str">
        <f>IF(wskakunin_sekkei4_JIMU_TOUROKU_KIKAN__label="","",wskakunin_sekkei4_JIMU_TOUROKU_KIKAN__label)</f>
        <v>東京都</v>
      </c>
      <c r="G413" s="15"/>
      <c r="H413" s="15"/>
    </row>
    <row r="414" spans="1:8" ht="15" customHeight="1">
      <c r="A414" s="48"/>
      <c r="B414" s="75" t="s">
        <v>546</v>
      </c>
      <c r="C414" s="14" t="s">
        <v>725</v>
      </c>
      <c r="D414" s="233" t="s">
        <v>4143</v>
      </c>
      <c r="E414" s="14" t="s">
        <v>726</v>
      </c>
      <c r="F414" s="151" t="str">
        <f>IF(wskakunin_sekkei4_JIMU_NO="","",wskakunin_sekkei4_JIMU_NO)</f>
        <v>11111</v>
      </c>
      <c r="G414" s="15"/>
      <c r="H414" s="15"/>
    </row>
    <row r="415" spans="1:8" ht="15" customHeight="1">
      <c r="A415" s="48"/>
      <c r="B415" s="75" t="s">
        <v>37</v>
      </c>
      <c r="C415" s="14" t="s">
        <v>727</v>
      </c>
      <c r="D415" s="151" t="s">
        <v>4142</v>
      </c>
      <c r="E415" s="14" t="s">
        <v>728</v>
      </c>
      <c r="F415" s="151" t="str">
        <f>IF(wskakunin_sekkei4_JIMU_NAME="", "", wskakunin_sekkei4_JIMU_NAME)</f>
        <v>一級建築士事務所　UHEC</v>
      </c>
      <c r="G415" s="15"/>
      <c r="H415" s="15"/>
    </row>
    <row r="416" spans="1:8" ht="15" customHeight="1">
      <c r="A416" s="48"/>
      <c r="B416" s="75" t="s">
        <v>559</v>
      </c>
      <c r="D416" s="32"/>
      <c r="E416" s="14" t="s">
        <v>729</v>
      </c>
      <c r="F416" s="151" t="str">
        <f>wskakunin_sekkei4_JIMU_NAME&amp;" "&amp;wskakunin_sekkei4_NAME</f>
        <v>一級建築士事務所　UHEC 櫻井　誠一</v>
      </c>
      <c r="G416" s="15"/>
      <c r="H416" s="15"/>
    </row>
    <row r="417" spans="1:8" ht="15" customHeight="1">
      <c r="A417" s="48"/>
      <c r="B417" s="75" t="s">
        <v>8</v>
      </c>
      <c r="C417" s="14" t="s">
        <v>730</v>
      </c>
      <c r="D417" s="233" t="s">
        <v>4148</v>
      </c>
      <c r="E417" s="14" t="s">
        <v>731</v>
      </c>
      <c r="F417" s="151" t="str">
        <f>IF(wskakunin_sekkei4_ZIP="", "", wskakunin_sekkei4_ZIP)</f>
        <v>105-0001</v>
      </c>
      <c r="G417" s="15"/>
      <c r="H417" s="15" t="s">
        <v>577</v>
      </c>
    </row>
    <row r="418" spans="1:8" ht="15" customHeight="1">
      <c r="A418" s="48"/>
      <c r="B418" s="75" t="s">
        <v>12</v>
      </c>
      <c r="C418" s="14" t="s">
        <v>732</v>
      </c>
      <c r="D418" s="151" t="s">
        <v>4139</v>
      </c>
      <c r="E418" s="14" t="s">
        <v>733</v>
      </c>
      <c r="F418" s="151" t="str">
        <f>IF(wskakunin_sekkei4__address="", "", wskakunin_sekkei4__address)</f>
        <v>東京都港区虎ノ門1-1-21</v>
      </c>
      <c r="G418" s="15"/>
      <c r="H418" s="15"/>
    </row>
    <row r="419" spans="1:8" ht="15" customHeight="1">
      <c r="A419" s="48"/>
      <c r="B419" s="75" t="s">
        <v>10</v>
      </c>
      <c r="C419" s="14" t="s">
        <v>734</v>
      </c>
      <c r="D419" s="233" t="s">
        <v>4146</v>
      </c>
      <c r="E419" s="14" t="s">
        <v>735</v>
      </c>
      <c r="F419" s="151" t="str">
        <f>IF(wskakunin_sekkei4_TEL="", "", wskakunin_sekkei4_TEL)</f>
        <v>03-3504-2386</v>
      </c>
      <c r="G419" s="15"/>
      <c r="H419" s="15"/>
    </row>
    <row r="420" spans="1:8" ht="15" customHeight="1">
      <c r="A420" s="48"/>
      <c r="B420" s="75" t="s">
        <v>578</v>
      </c>
      <c r="C420" s="14" t="s">
        <v>736</v>
      </c>
      <c r="D420" s="233" t="s">
        <v>4167</v>
      </c>
      <c r="E420" s="14" t="s">
        <v>737</v>
      </c>
      <c r="F420" s="151" t="str">
        <f>IF(wskakunin_sekkei4_DOC="","",wskakunin_sekkei4_DOC)</f>
        <v>構造図一式</v>
      </c>
      <c r="G420" s="15"/>
      <c r="H420" s="15"/>
    </row>
    <row r="421" spans="1:8" ht="15" customHeight="1">
      <c r="A421" s="49"/>
      <c r="B421" s="83"/>
      <c r="G421" s="15"/>
      <c r="H421" s="15"/>
    </row>
    <row r="422" spans="1:8" ht="15" customHeight="1">
      <c r="A422" s="1" t="s">
        <v>1681</v>
      </c>
      <c r="B422" s="47"/>
      <c r="G422" s="15"/>
      <c r="H422" s="15"/>
    </row>
    <row r="423" spans="1:8" ht="15" customHeight="1">
      <c r="A423" s="25"/>
      <c r="B423" s="75" t="s">
        <v>542</v>
      </c>
      <c r="C423" s="14" t="s">
        <v>1682</v>
      </c>
      <c r="D423" s="151" t="s">
        <v>4169</v>
      </c>
      <c r="E423" s="14" t="s">
        <v>1683</v>
      </c>
      <c r="F423" s="151" t="str">
        <f>IF(wskakunin_sekkei5__sikaku="", "", wskakunin_sekkei5__sikaku)</f>
        <v>一級建築士国土交通大臣登録第555788号</v>
      </c>
      <c r="H423" s="15"/>
    </row>
    <row r="424" spans="1:8" ht="15" customHeight="1">
      <c r="A424" s="30"/>
      <c r="B424" s="75" t="s">
        <v>543</v>
      </c>
      <c r="C424" s="14" t="s">
        <v>1684</v>
      </c>
      <c r="D424" s="151" t="s">
        <v>120</v>
      </c>
      <c r="E424" s="14" t="s">
        <v>1685</v>
      </c>
      <c r="F424" s="151" t="str">
        <f>IF(wskakunin_sekkei5_SIKAKU__label="","",wskakunin_sekkei5_SIKAKU__label)</f>
        <v>一級</v>
      </c>
      <c r="H424" s="15"/>
    </row>
    <row r="425" spans="1:8" ht="15" customHeight="1">
      <c r="A425" s="30"/>
      <c r="B425" s="75" t="s">
        <v>538</v>
      </c>
      <c r="C425" s="14" t="s">
        <v>1686</v>
      </c>
      <c r="D425" s="151" t="s">
        <v>4147</v>
      </c>
      <c r="E425" s="14" t="s">
        <v>1687</v>
      </c>
      <c r="F425" s="151" t="str">
        <f>IF(wskakunin_sekkei5_TOUROKU_KIKAN__label="","",wskakunin_sekkei5_TOUROKU_KIKAN__label)</f>
        <v>国土交通大臣</v>
      </c>
      <c r="H425" s="15"/>
    </row>
    <row r="426" spans="1:8" ht="15" customHeight="1">
      <c r="A426" s="30"/>
      <c r="B426" s="75" t="s">
        <v>539</v>
      </c>
      <c r="C426" s="14" t="s">
        <v>1688</v>
      </c>
      <c r="D426" s="233" t="s">
        <v>4171</v>
      </c>
      <c r="E426" s="14" t="s">
        <v>1689</v>
      </c>
      <c r="F426" s="151" t="str">
        <f>IF(wskakunin_sekkei5_KENTIKUSI_NO="","",wskakunin_sekkei5_KENTIKUSI_NO)</f>
        <v>555788</v>
      </c>
      <c r="H426" s="15"/>
    </row>
    <row r="427" spans="1:8" ht="15" customHeight="1">
      <c r="A427" s="42"/>
      <c r="B427" s="75" t="s">
        <v>7</v>
      </c>
      <c r="C427" s="14" t="s">
        <v>1690</v>
      </c>
      <c r="D427" s="151" t="s">
        <v>4132</v>
      </c>
      <c r="E427" s="14" t="s">
        <v>1691</v>
      </c>
      <c r="F427" s="151" t="str">
        <f>IF(wskakunin_sekkei5_NAME="", "", wskakunin_sekkei5_NAME)</f>
        <v>市川　治</v>
      </c>
      <c r="H427" s="15"/>
    </row>
    <row r="428" spans="1:8" ht="15" customHeight="1">
      <c r="A428" s="42"/>
      <c r="B428" s="75" t="s">
        <v>544</v>
      </c>
      <c r="C428" s="14" t="s">
        <v>1692</v>
      </c>
      <c r="D428" s="151" t="s">
        <v>4141</v>
      </c>
      <c r="E428" s="14" t="s">
        <v>1693</v>
      </c>
      <c r="F428" s="151" t="str">
        <f>IF(wskakunin_sekkei5_JIMU__sikaku="", "", wskakunin_sekkei5_JIMU__sikaku)</f>
        <v>一級建築士事務所東京都知事登録第11111号</v>
      </c>
      <c r="H428" s="15"/>
    </row>
    <row r="429" spans="1:8" ht="15" customHeight="1">
      <c r="A429" s="42"/>
      <c r="B429" s="75" t="s">
        <v>36</v>
      </c>
      <c r="C429" s="14" t="s">
        <v>1694</v>
      </c>
      <c r="D429" s="151" t="s">
        <v>120</v>
      </c>
      <c r="E429" s="14" t="s">
        <v>1695</v>
      </c>
      <c r="F429" s="151" t="str">
        <f>IF(wskakunin_sekkei5_JIMU_SIKAKU__label="","",wskakunin_sekkei5_JIMU_SIKAKU__label)</f>
        <v>一級</v>
      </c>
      <c r="H429" s="15"/>
    </row>
    <row r="430" spans="1:8" ht="15" customHeight="1">
      <c r="A430" s="42"/>
      <c r="B430" s="75" t="s">
        <v>545</v>
      </c>
      <c r="C430" s="14" t="s">
        <v>1696</v>
      </c>
      <c r="D430" s="151" t="s">
        <v>475</v>
      </c>
      <c r="E430" s="14" t="s">
        <v>1697</v>
      </c>
      <c r="F430" s="151" t="str">
        <f>IF(wskakunin_sekkei5_JIMU_TOUROKU_KIKAN__label="","",wskakunin_sekkei5_JIMU_TOUROKU_KIKAN__label)</f>
        <v>東京都</v>
      </c>
      <c r="H430" s="15"/>
    </row>
    <row r="431" spans="1:8" ht="15" customHeight="1">
      <c r="A431" s="42"/>
      <c r="B431" s="75" t="s">
        <v>546</v>
      </c>
      <c r="C431" s="14" t="s">
        <v>1698</v>
      </c>
      <c r="D431" s="233" t="s">
        <v>4143</v>
      </c>
      <c r="E431" s="14" t="s">
        <v>1699</v>
      </c>
      <c r="F431" s="151" t="str">
        <f>IF(wskakunin_sekkei5_JIMU_NO="","",wskakunin_sekkei5_JIMU_NO)</f>
        <v>11111</v>
      </c>
      <c r="H431" s="15"/>
    </row>
    <row r="432" spans="1:8" ht="15" customHeight="1">
      <c r="A432" s="58"/>
      <c r="B432" s="75" t="s">
        <v>37</v>
      </c>
      <c r="C432" s="14" t="s">
        <v>1700</v>
      </c>
      <c r="D432" s="151" t="s">
        <v>4142</v>
      </c>
      <c r="E432" s="14" t="s">
        <v>1701</v>
      </c>
      <c r="F432" s="151" t="str">
        <f>IF(wskakunin_sekkei5_JIMU_NAME="", "", wskakunin_sekkei5_JIMU_NAME)</f>
        <v>一級建築士事務所　UHEC</v>
      </c>
      <c r="H432" s="15"/>
    </row>
    <row r="433" spans="1:8" ht="15" customHeight="1">
      <c r="A433" s="42"/>
      <c r="B433" s="75" t="s">
        <v>559</v>
      </c>
      <c r="D433" s="32"/>
      <c r="E433" s="14" t="s">
        <v>1702</v>
      </c>
      <c r="F433" s="151" t="str">
        <f>wskakunin_sekkei5_JIMU_NAME&amp;" "&amp;wskakunin_sekkei5_NAME</f>
        <v>一級建築士事務所　UHEC 市川　治</v>
      </c>
      <c r="H433" s="15"/>
    </row>
    <row r="434" spans="1:8" ht="15" customHeight="1">
      <c r="A434" s="58"/>
      <c r="B434" s="75" t="s">
        <v>8</v>
      </c>
      <c r="C434" s="14" t="s">
        <v>1703</v>
      </c>
      <c r="D434" s="233" t="s">
        <v>4148</v>
      </c>
      <c r="E434" s="14" t="s">
        <v>1704</v>
      </c>
      <c r="F434" s="151" t="str">
        <f>IF(wskakunin_sekkei5_ZIP="", "", wskakunin_sekkei5_ZIP)</f>
        <v>105-0001</v>
      </c>
      <c r="H434" s="15" t="s">
        <v>577</v>
      </c>
    </row>
    <row r="435" spans="1:8" ht="15" customHeight="1">
      <c r="A435" s="58"/>
      <c r="B435" s="75" t="s">
        <v>12</v>
      </c>
      <c r="C435" s="14" t="s">
        <v>1705</v>
      </c>
      <c r="D435" s="151" t="s">
        <v>4139</v>
      </c>
      <c r="E435" s="14" t="s">
        <v>1706</v>
      </c>
      <c r="F435" s="151" t="str">
        <f>IF(wskakunin_sekkei5__address="", "", wskakunin_sekkei5__address)</f>
        <v>東京都港区虎ノ門1-1-21</v>
      </c>
      <c r="H435" s="15"/>
    </row>
    <row r="436" spans="1:8" ht="15" customHeight="1">
      <c r="A436" s="58"/>
      <c r="B436" s="75" t="s">
        <v>10</v>
      </c>
      <c r="C436" s="14" t="s">
        <v>1707</v>
      </c>
      <c r="D436" s="233" t="s">
        <v>4146</v>
      </c>
      <c r="E436" s="14" t="s">
        <v>1708</v>
      </c>
      <c r="F436" s="151" t="str">
        <f>IF(wskakunin_sekkei5_TEL="", "", wskakunin_sekkei5_TEL)</f>
        <v>03-3504-2386</v>
      </c>
      <c r="H436" s="15"/>
    </row>
    <row r="437" spans="1:8" ht="15" customHeight="1">
      <c r="A437" s="58"/>
      <c r="B437" s="75" t="s">
        <v>578</v>
      </c>
      <c r="C437" s="14" t="s">
        <v>1709</v>
      </c>
      <c r="D437" s="233" t="s">
        <v>4170</v>
      </c>
      <c r="E437" s="14" t="s">
        <v>1710</v>
      </c>
      <c r="F437" s="151" t="str">
        <f>IF(wskakunin_sekkei5_DOC="","",wskakunin_sekkei5_DOC)</f>
        <v>設備図一式</v>
      </c>
      <c r="H437" s="15"/>
    </row>
    <row r="438" spans="1:8" ht="15" customHeight="1">
      <c r="A438" s="58"/>
      <c r="B438" s="83"/>
      <c r="H438" s="15"/>
    </row>
    <row r="439" spans="1:8" ht="15" customHeight="1">
      <c r="A439" s="1" t="s">
        <v>1886</v>
      </c>
      <c r="B439" s="47"/>
      <c r="H439" s="15"/>
    </row>
    <row r="440" spans="1:8" ht="15" customHeight="1">
      <c r="A440" s="25"/>
      <c r="B440" s="75" t="s">
        <v>542</v>
      </c>
      <c r="C440" s="14" t="s">
        <v>1711</v>
      </c>
      <c r="D440" s="151" t="s">
        <v>4140</v>
      </c>
      <c r="E440" s="14" t="s">
        <v>1712</v>
      </c>
      <c r="F440" s="151" t="str">
        <f>IF(wskakunin_sekkei6__sikaku="", "", wskakunin_sekkei6__sikaku)</f>
        <v>一級建築士国土交通大臣登録第111111号</v>
      </c>
      <c r="H440" s="15"/>
    </row>
    <row r="441" spans="1:8" ht="15" customHeight="1">
      <c r="A441" s="30"/>
      <c r="B441" s="75" t="s">
        <v>543</v>
      </c>
      <c r="C441" s="14" t="s">
        <v>1713</v>
      </c>
      <c r="D441" s="151" t="s">
        <v>120</v>
      </c>
      <c r="E441" s="14" t="s">
        <v>1714</v>
      </c>
      <c r="F441" s="151" t="str">
        <f>IF(wskakunin_sekkei6_SIKAKU__label="","",wskakunin_sekkei6_SIKAKU__label)</f>
        <v>一級</v>
      </c>
      <c r="H441" s="15"/>
    </row>
    <row r="442" spans="1:8" ht="15" customHeight="1">
      <c r="A442" s="30"/>
      <c r="B442" s="75" t="s">
        <v>538</v>
      </c>
      <c r="C442" s="14" t="s">
        <v>1715</v>
      </c>
      <c r="D442" s="151" t="s">
        <v>4147</v>
      </c>
      <c r="E442" s="14" t="s">
        <v>1716</v>
      </c>
      <c r="F442" s="151" t="str">
        <f>IF(wskakunin_sekkei6_TOUROKU_KIKAN__label="","",wskakunin_sekkei6_TOUROKU_KIKAN__label)</f>
        <v>国土交通大臣</v>
      </c>
      <c r="H442" s="15"/>
    </row>
    <row r="443" spans="1:8" ht="15" customHeight="1">
      <c r="A443" s="30"/>
      <c r="B443" s="75" t="s">
        <v>539</v>
      </c>
      <c r="C443" s="14" t="s">
        <v>1717</v>
      </c>
      <c r="D443" s="233" t="s">
        <v>4144</v>
      </c>
      <c r="E443" s="14" t="s">
        <v>1718</v>
      </c>
      <c r="F443" s="151" t="str">
        <f>IF(wskakunin_sekkei6_KENTIKUSI_NO="","",wskakunin_sekkei6_KENTIKUSI_NO)</f>
        <v>111111</v>
      </c>
      <c r="H443" s="15"/>
    </row>
    <row r="444" spans="1:8" ht="15" customHeight="1">
      <c r="A444" s="42"/>
      <c r="B444" s="75" t="s">
        <v>7</v>
      </c>
      <c r="C444" s="14" t="s">
        <v>1719</v>
      </c>
      <c r="D444" s="151" t="s">
        <v>4145</v>
      </c>
      <c r="E444" s="14" t="s">
        <v>1720</v>
      </c>
      <c r="F444" s="151" t="str">
        <f>IF(wskakunin_sekkei6_NAME="", "", wskakunin_sekkei6_NAME)</f>
        <v>藤田　ゆき子</v>
      </c>
      <c r="H444" s="15"/>
    </row>
    <row r="445" spans="1:8" ht="15" customHeight="1">
      <c r="A445" s="42"/>
      <c r="B445" s="75" t="s">
        <v>544</v>
      </c>
      <c r="C445" s="14" t="s">
        <v>1721</v>
      </c>
      <c r="D445" s="151" t="s">
        <v>4141</v>
      </c>
      <c r="E445" s="14" t="s">
        <v>1722</v>
      </c>
      <c r="F445" s="151" t="str">
        <f>IF(wskakunin_sekkei6_JIMU__sikaku="", "", wskakunin_sekkei6_JIMU__sikaku)</f>
        <v>一級建築士事務所東京都知事登録第11111号</v>
      </c>
      <c r="H445" s="15"/>
    </row>
    <row r="446" spans="1:8" ht="15" customHeight="1">
      <c r="A446" s="42"/>
      <c r="B446" s="75" t="s">
        <v>36</v>
      </c>
      <c r="C446" s="14" t="s">
        <v>1723</v>
      </c>
      <c r="D446" s="151" t="s">
        <v>120</v>
      </c>
      <c r="E446" s="14" t="s">
        <v>1724</v>
      </c>
      <c r="F446" s="151" t="str">
        <f>IF(wskakunin_sekkei6_JIMU_SIKAKU__label="","",wskakunin_sekkei6_JIMU_SIKAKU__label)</f>
        <v>一級</v>
      </c>
      <c r="H446" s="15"/>
    </row>
    <row r="447" spans="1:8" ht="15" customHeight="1">
      <c r="A447" s="42"/>
      <c r="B447" s="75" t="s">
        <v>545</v>
      </c>
      <c r="C447" s="14" t="s">
        <v>1725</v>
      </c>
      <c r="D447" s="151" t="s">
        <v>475</v>
      </c>
      <c r="E447" s="14" t="s">
        <v>1726</v>
      </c>
      <c r="F447" s="151" t="str">
        <f>IF(wskakunin_sekkei6_JIMU_TOUROKU_KIKAN__label="","",wskakunin_sekkei6_JIMU_TOUROKU_KIKAN__label)</f>
        <v>東京都</v>
      </c>
      <c r="H447" s="15"/>
    </row>
    <row r="448" spans="1:8" ht="15" customHeight="1">
      <c r="A448" s="42"/>
      <c r="B448" s="75" t="s">
        <v>546</v>
      </c>
      <c r="C448" s="14" t="s">
        <v>1727</v>
      </c>
      <c r="D448" s="233" t="s">
        <v>4143</v>
      </c>
      <c r="E448" s="14" t="s">
        <v>1728</v>
      </c>
      <c r="F448" s="151" t="str">
        <f>IF(wskakunin_sekkei6_JIMU_NO="","",wskakunin_sekkei6_JIMU_NO)</f>
        <v>11111</v>
      </c>
      <c r="H448" s="15"/>
    </row>
    <row r="449" spans="1:8" ht="15" customHeight="1">
      <c r="A449" s="58"/>
      <c r="B449" s="75" t="s">
        <v>37</v>
      </c>
      <c r="C449" s="14" t="s">
        <v>1729</v>
      </c>
      <c r="D449" s="151" t="s">
        <v>4142</v>
      </c>
      <c r="E449" s="14" t="s">
        <v>1730</v>
      </c>
      <c r="F449" s="151" t="str">
        <f>IF(wskakunin_sekkei6_JIMU_NAME="", "", wskakunin_sekkei6_JIMU_NAME)</f>
        <v>一級建築士事務所　UHEC</v>
      </c>
      <c r="H449" s="15"/>
    </row>
    <row r="450" spans="1:8" ht="15" customHeight="1">
      <c r="A450" s="42"/>
      <c r="B450" s="75" t="s">
        <v>559</v>
      </c>
      <c r="D450" s="32"/>
      <c r="E450" s="14" t="s">
        <v>1731</v>
      </c>
      <c r="F450" s="151" t="str">
        <f>wskakunin_sekkei6_JIMU_NAME&amp;" "&amp;wskakunin_sekkei6_NAME</f>
        <v>一級建築士事務所　UHEC 藤田　ゆき子</v>
      </c>
      <c r="H450" s="15"/>
    </row>
    <row r="451" spans="1:8" ht="15" customHeight="1">
      <c r="A451" s="58"/>
      <c r="B451" s="75" t="s">
        <v>8</v>
      </c>
      <c r="C451" s="14" t="s">
        <v>1732</v>
      </c>
      <c r="D451" s="233" t="s">
        <v>4148</v>
      </c>
      <c r="E451" s="14" t="s">
        <v>1733</v>
      </c>
      <c r="F451" s="151" t="str">
        <f>IF(wskakunin_sekkei6_ZIP="", "", wskakunin_sekkei6_ZIP)</f>
        <v>105-0001</v>
      </c>
      <c r="H451" s="15" t="s">
        <v>577</v>
      </c>
    </row>
    <row r="452" spans="1:8" ht="15" customHeight="1">
      <c r="A452" s="58"/>
      <c r="B452" s="75" t="s">
        <v>12</v>
      </c>
      <c r="C452" s="14" t="s">
        <v>1734</v>
      </c>
      <c r="D452" s="151" t="s">
        <v>4139</v>
      </c>
      <c r="E452" s="14" t="s">
        <v>1735</v>
      </c>
      <c r="F452" s="151" t="str">
        <f>IF(wskakunin_sekkei6__address="", "", wskakunin_sekkei6__address)</f>
        <v>東京都港区虎ノ門1-1-21</v>
      </c>
      <c r="H452" s="15"/>
    </row>
    <row r="453" spans="1:8" ht="15" customHeight="1">
      <c r="A453" s="58"/>
      <c r="B453" s="75" t="s">
        <v>10</v>
      </c>
      <c r="C453" s="14" t="s">
        <v>1736</v>
      </c>
      <c r="D453" s="233" t="s">
        <v>4146</v>
      </c>
      <c r="E453" s="14" t="s">
        <v>1737</v>
      </c>
      <c r="F453" s="151" t="str">
        <f>IF(wskakunin_sekkei6_TEL="", "", wskakunin_sekkei6_TEL)</f>
        <v>03-3504-2386</v>
      </c>
      <c r="H453" s="15"/>
    </row>
    <row r="454" spans="1:8" ht="15" customHeight="1">
      <c r="A454" s="58"/>
      <c r="B454" s="75" t="s">
        <v>578</v>
      </c>
      <c r="C454" s="14" t="s">
        <v>1738</v>
      </c>
      <c r="D454" s="233" t="s">
        <v>4170</v>
      </c>
      <c r="E454" s="14" t="s">
        <v>1739</v>
      </c>
      <c r="F454" s="151" t="str">
        <f>IF(wskakunin_sekkei6_DOC="","",wskakunin_sekkei6_DOC)</f>
        <v>設備図一式</v>
      </c>
      <c r="H454" s="15"/>
    </row>
    <row r="455" spans="1:8" ht="15" customHeight="1">
      <c r="A455" s="58"/>
      <c r="B455" s="83"/>
      <c r="H455" s="15"/>
    </row>
    <row r="456" spans="1:8" ht="15" customHeight="1">
      <c r="A456" s="1" t="s">
        <v>1887</v>
      </c>
      <c r="B456" s="47"/>
      <c r="H456" s="15"/>
    </row>
    <row r="457" spans="1:8" ht="15" customHeight="1">
      <c r="A457" s="25"/>
      <c r="B457" s="75" t="s">
        <v>542</v>
      </c>
      <c r="C457" s="14" t="s">
        <v>1740</v>
      </c>
      <c r="D457" s="151"/>
      <c r="E457" s="14" t="s">
        <v>1741</v>
      </c>
      <c r="F457" s="151" t="str">
        <f>IF(wskakunin_sekkei7__sikaku="", "", wskakunin_sekkei7__sikaku)</f>
        <v/>
      </c>
      <c r="H457" s="15"/>
    </row>
    <row r="458" spans="1:8" ht="15" customHeight="1">
      <c r="A458" s="30"/>
      <c r="B458" s="75" t="s">
        <v>543</v>
      </c>
      <c r="C458" s="14" t="s">
        <v>1742</v>
      </c>
      <c r="D458" s="151"/>
      <c r="E458" s="14" t="s">
        <v>1743</v>
      </c>
      <c r="F458" s="151" t="str">
        <f>IF(wskakunin_sekkei7_SIKAKU__label="","",wskakunin_sekkei7_SIKAKU__label)</f>
        <v/>
      </c>
      <c r="H458" s="15"/>
    </row>
    <row r="459" spans="1:8" ht="15" customHeight="1">
      <c r="A459" s="30"/>
      <c r="B459" s="75" t="s">
        <v>538</v>
      </c>
      <c r="C459" s="14" t="s">
        <v>1744</v>
      </c>
      <c r="D459" s="151"/>
      <c r="E459" s="14" t="s">
        <v>1745</v>
      </c>
      <c r="F459" s="151" t="str">
        <f>IF(wskakunin_sekkei7_TOUROKU_KIKAN__label="","",wskakunin_sekkei7_TOUROKU_KIKAN__label)</f>
        <v/>
      </c>
      <c r="H459" s="15"/>
    </row>
    <row r="460" spans="1:8" ht="15" customHeight="1">
      <c r="A460" s="30"/>
      <c r="B460" s="75" t="s">
        <v>539</v>
      </c>
      <c r="C460" s="14" t="s">
        <v>1746</v>
      </c>
      <c r="D460" s="233"/>
      <c r="E460" s="14" t="s">
        <v>1747</v>
      </c>
      <c r="F460" s="151" t="str">
        <f>IF(wskakunin_sekkei7_KENTIKUSI_NO="","",wskakunin_sekkei7_KENTIKUSI_NO)</f>
        <v/>
      </c>
      <c r="H460" s="15"/>
    </row>
    <row r="461" spans="1:8" ht="15" customHeight="1">
      <c r="A461" s="42"/>
      <c r="B461" s="75" t="s">
        <v>7</v>
      </c>
      <c r="C461" s="14" t="s">
        <v>1748</v>
      </c>
      <c r="D461" s="151"/>
      <c r="E461" s="14" t="s">
        <v>1749</v>
      </c>
      <c r="F461" s="151" t="str">
        <f>IF(wskakunin_sekkei7_NAME="", "", wskakunin_sekkei7_NAME)</f>
        <v/>
      </c>
      <c r="H461" s="15"/>
    </row>
    <row r="462" spans="1:8" ht="15" customHeight="1">
      <c r="A462" s="42"/>
      <c r="B462" s="75" t="s">
        <v>544</v>
      </c>
      <c r="C462" s="14" t="s">
        <v>1750</v>
      </c>
      <c r="D462" s="151"/>
      <c r="E462" s="14" t="s">
        <v>1751</v>
      </c>
      <c r="F462" s="151" t="str">
        <f>IF(wskakunin_sekkei7_JIMU__sikaku="", "", wskakunin_sekkei7_JIMU__sikaku)</f>
        <v/>
      </c>
      <c r="H462" s="15"/>
    </row>
    <row r="463" spans="1:8" ht="15" customHeight="1">
      <c r="A463" s="42"/>
      <c r="B463" s="75" t="s">
        <v>36</v>
      </c>
      <c r="C463" s="14" t="s">
        <v>1752</v>
      </c>
      <c r="D463" s="151"/>
      <c r="E463" s="14" t="s">
        <v>1753</v>
      </c>
      <c r="F463" s="151" t="str">
        <f>IF(wskakunin_sekkei7_JIMU_SIKAKU__label="","",wskakunin_sekkei7_JIMU_SIKAKU__label)</f>
        <v/>
      </c>
      <c r="H463" s="15"/>
    </row>
    <row r="464" spans="1:8" ht="15" customHeight="1">
      <c r="A464" s="42"/>
      <c r="B464" s="75" t="s">
        <v>545</v>
      </c>
      <c r="C464" s="14" t="s">
        <v>1754</v>
      </c>
      <c r="D464" s="151"/>
      <c r="E464" s="14" t="s">
        <v>1755</v>
      </c>
      <c r="F464" s="151" t="str">
        <f>IF(wskakunin_sekkei7_JIMU_TOUROKU_KIKAN__label="","",wskakunin_sekkei7_JIMU_TOUROKU_KIKAN__label)</f>
        <v/>
      </c>
      <c r="H464" s="15"/>
    </row>
    <row r="465" spans="1:8" ht="15" customHeight="1">
      <c r="A465" s="42"/>
      <c r="B465" s="75" t="s">
        <v>546</v>
      </c>
      <c r="C465" s="14" t="s">
        <v>1756</v>
      </c>
      <c r="D465" s="233"/>
      <c r="E465" s="14" t="s">
        <v>1757</v>
      </c>
      <c r="F465" s="151" t="str">
        <f>IF(wskakunin_sekkei7_JIMU_NO="","",wskakunin_sekkei7_JIMU_NO)</f>
        <v/>
      </c>
      <c r="H465" s="15"/>
    </row>
    <row r="466" spans="1:8" ht="15" customHeight="1">
      <c r="A466" s="58"/>
      <c r="B466" s="75" t="s">
        <v>37</v>
      </c>
      <c r="C466" s="14" t="s">
        <v>1758</v>
      </c>
      <c r="D466" s="151"/>
      <c r="E466" s="14" t="s">
        <v>1759</v>
      </c>
      <c r="F466" s="151" t="str">
        <f>IF(wskakunin_sekkei7_JIMU_NAME="", "", wskakunin_sekkei7_JIMU_NAME)</f>
        <v/>
      </c>
      <c r="H466" s="15"/>
    </row>
    <row r="467" spans="1:8" ht="15" customHeight="1">
      <c r="A467" s="42"/>
      <c r="B467" s="75" t="s">
        <v>559</v>
      </c>
      <c r="D467" s="32"/>
      <c r="E467" s="14" t="s">
        <v>1760</v>
      </c>
      <c r="F467" s="151" t="str">
        <f>wskakunin_sekkei7_JIMU_NAME&amp;" "&amp;wskakunin_sekkei7_NAME</f>
        <v xml:space="preserve"> </v>
      </c>
      <c r="H467" s="15"/>
    </row>
    <row r="468" spans="1:8" ht="15" customHeight="1">
      <c r="A468" s="58"/>
      <c r="B468" s="75" t="s">
        <v>8</v>
      </c>
      <c r="C468" s="14" t="s">
        <v>1761</v>
      </c>
      <c r="D468" s="233"/>
      <c r="E468" s="14" t="s">
        <v>1762</v>
      </c>
      <c r="F468" s="151" t="str">
        <f>IF(wskakunin_sekkei7_ZIP="", "", wskakunin_sekkei7_ZIP)</f>
        <v/>
      </c>
      <c r="H468" s="15" t="s">
        <v>577</v>
      </c>
    </row>
    <row r="469" spans="1:8" ht="15" customHeight="1">
      <c r="A469" s="58"/>
      <c r="B469" s="75" t="s">
        <v>12</v>
      </c>
      <c r="C469" s="14" t="s">
        <v>1763</v>
      </c>
      <c r="D469" s="151"/>
      <c r="E469" s="14" t="s">
        <v>1764</v>
      </c>
      <c r="F469" s="151" t="str">
        <f>IF(wskakunin_sekkei7__address="", "", wskakunin_sekkei7__address)</f>
        <v/>
      </c>
      <c r="H469" s="15"/>
    </row>
    <row r="470" spans="1:8" ht="15" customHeight="1">
      <c r="A470" s="58"/>
      <c r="B470" s="75" t="s">
        <v>10</v>
      </c>
      <c r="C470" s="14" t="s">
        <v>1765</v>
      </c>
      <c r="D470" s="233"/>
      <c r="E470" s="14" t="s">
        <v>1766</v>
      </c>
      <c r="F470" s="151" t="str">
        <f>IF(wskakunin_sekkei7_TEL="", "", wskakunin_sekkei7_TEL)</f>
        <v/>
      </c>
      <c r="H470" s="15"/>
    </row>
    <row r="471" spans="1:8" ht="15" customHeight="1">
      <c r="A471" s="58"/>
      <c r="B471" s="75" t="s">
        <v>578</v>
      </c>
      <c r="C471" s="14" t="s">
        <v>1767</v>
      </c>
      <c r="D471" s="233"/>
      <c r="E471" s="14" t="s">
        <v>1768</v>
      </c>
      <c r="F471" s="151" t="str">
        <f>IF(wskakunin_sekkei7_DOC="","",wskakunin_sekkei7_DOC)</f>
        <v/>
      </c>
      <c r="H471" s="15"/>
    </row>
    <row r="472" spans="1:8" ht="15" customHeight="1">
      <c r="A472" s="58"/>
      <c r="B472" s="83"/>
      <c r="H472" s="15"/>
    </row>
    <row r="473" spans="1:8" ht="15" customHeight="1">
      <c r="A473" s="1" t="s">
        <v>1888</v>
      </c>
      <c r="B473" s="47"/>
      <c r="H473" s="15"/>
    </row>
    <row r="474" spans="1:8" ht="15" customHeight="1">
      <c r="A474" s="25"/>
      <c r="B474" s="75" t="s">
        <v>542</v>
      </c>
      <c r="C474" s="14" t="s">
        <v>1769</v>
      </c>
      <c r="D474" s="151"/>
      <c r="E474" s="14" t="s">
        <v>1770</v>
      </c>
      <c r="F474" s="151" t="str">
        <f>IF(wskakunin_sekkei8__sikaku="", "", wskakunin_sekkei8__sikaku)</f>
        <v/>
      </c>
      <c r="H474" s="15"/>
    </row>
    <row r="475" spans="1:8" ht="15" customHeight="1">
      <c r="A475" s="30"/>
      <c r="B475" s="75" t="s">
        <v>543</v>
      </c>
      <c r="C475" s="14" t="s">
        <v>1771</v>
      </c>
      <c r="D475" s="151"/>
      <c r="E475" s="14" t="s">
        <v>1772</v>
      </c>
      <c r="F475" s="151" t="str">
        <f>IF(wskakunin_sekkei8_SIKAKU__label="","",wskakunin_sekkei8_SIKAKU__label)</f>
        <v/>
      </c>
      <c r="H475" s="15"/>
    </row>
    <row r="476" spans="1:8" ht="15" customHeight="1">
      <c r="A476" s="30"/>
      <c r="B476" s="75" t="s">
        <v>538</v>
      </c>
      <c r="C476" s="14" t="s">
        <v>1773</v>
      </c>
      <c r="D476" s="151"/>
      <c r="E476" s="14" t="s">
        <v>1774</v>
      </c>
      <c r="F476" s="151" t="str">
        <f>IF(wskakunin_sekkei8_TOUROKU_KIKAN__label="","",wskakunin_sekkei8_TOUROKU_KIKAN__label)</f>
        <v/>
      </c>
      <c r="H476" s="15"/>
    </row>
    <row r="477" spans="1:8" ht="15" customHeight="1">
      <c r="A477" s="30"/>
      <c r="B477" s="75" t="s">
        <v>539</v>
      </c>
      <c r="C477" s="14" t="s">
        <v>1775</v>
      </c>
      <c r="D477" s="233"/>
      <c r="E477" s="14" t="s">
        <v>1776</v>
      </c>
      <c r="F477" s="151" t="str">
        <f>IF(wskakunin_sekkei8_KENTIKUSI_NO="","",wskakunin_sekkei8_KENTIKUSI_NO)</f>
        <v/>
      </c>
      <c r="H477" s="15"/>
    </row>
    <row r="478" spans="1:8" ht="15" customHeight="1">
      <c r="A478" s="42"/>
      <c r="B478" s="75" t="s">
        <v>7</v>
      </c>
      <c r="C478" s="14" t="s">
        <v>1777</v>
      </c>
      <c r="D478" s="151"/>
      <c r="E478" s="14" t="s">
        <v>1778</v>
      </c>
      <c r="F478" s="151" t="str">
        <f>IF(wskakunin_sekkei8_NAME="", "", wskakunin_sekkei8_NAME)</f>
        <v/>
      </c>
      <c r="H478" s="15"/>
    </row>
    <row r="479" spans="1:8" ht="15" customHeight="1">
      <c r="A479" s="42"/>
      <c r="B479" s="75" t="s">
        <v>544</v>
      </c>
      <c r="C479" s="14" t="s">
        <v>1779</v>
      </c>
      <c r="D479" s="151"/>
      <c r="E479" s="14" t="s">
        <v>1780</v>
      </c>
      <c r="F479" s="151" t="str">
        <f>IF(wskakunin_sekkei8_JIMU__sikaku="", "", wskakunin_sekkei8_JIMU__sikaku)</f>
        <v/>
      </c>
      <c r="H479" s="15"/>
    </row>
    <row r="480" spans="1:8" ht="15" customHeight="1">
      <c r="A480" s="42"/>
      <c r="B480" s="75" t="s">
        <v>36</v>
      </c>
      <c r="C480" s="14" t="s">
        <v>1781</v>
      </c>
      <c r="D480" s="151"/>
      <c r="E480" s="14" t="s">
        <v>1782</v>
      </c>
      <c r="F480" s="151" t="str">
        <f>IF(wskakunin_sekkei8_JIMU_SIKAKU__label="","",wskakunin_sekkei8_JIMU_SIKAKU__label)</f>
        <v/>
      </c>
      <c r="H480" s="15"/>
    </row>
    <row r="481" spans="1:8" ht="15" customHeight="1">
      <c r="A481" s="42"/>
      <c r="B481" s="75" t="s">
        <v>545</v>
      </c>
      <c r="C481" s="14" t="s">
        <v>1783</v>
      </c>
      <c r="D481" s="151"/>
      <c r="E481" s="14" t="s">
        <v>1784</v>
      </c>
      <c r="F481" s="151" t="str">
        <f>IF(wskakunin_sekkei8_JIMU_TOUROKU_KIKAN__label="","",wskakunin_sekkei8_JIMU_TOUROKU_KIKAN__label)</f>
        <v/>
      </c>
      <c r="H481" s="15"/>
    </row>
    <row r="482" spans="1:8" ht="15" customHeight="1">
      <c r="A482" s="42"/>
      <c r="B482" s="75" t="s">
        <v>546</v>
      </c>
      <c r="C482" s="14" t="s">
        <v>1785</v>
      </c>
      <c r="D482" s="233"/>
      <c r="E482" s="14" t="s">
        <v>1786</v>
      </c>
      <c r="F482" s="151" t="str">
        <f>IF(wskakunin_sekkei8_JIMU_NO="","",wskakunin_sekkei8_JIMU_NO)</f>
        <v/>
      </c>
      <c r="H482" s="15"/>
    </row>
    <row r="483" spans="1:8" ht="15" customHeight="1">
      <c r="A483" s="58"/>
      <c r="B483" s="75" t="s">
        <v>37</v>
      </c>
      <c r="C483" s="14" t="s">
        <v>1787</v>
      </c>
      <c r="D483" s="151"/>
      <c r="E483" s="14" t="s">
        <v>1788</v>
      </c>
      <c r="F483" s="151" t="str">
        <f>IF(wskakunin_sekkei8_JIMU_NAME="", "", wskakunin_sekkei8_JIMU_NAME)</f>
        <v/>
      </c>
      <c r="H483" s="15"/>
    </row>
    <row r="484" spans="1:8" ht="15" customHeight="1">
      <c r="A484" s="42"/>
      <c r="B484" s="75" t="s">
        <v>559</v>
      </c>
      <c r="D484" s="32"/>
      <c r="E484" s="14" t="s">
        <v>1789</v>
      </c>
      <c r="F484" s="151" t="str">
        <f>wskakunin_sekkei8_JIMU_NAME&amp;" "&amp;wskakunin_sekkei8_NAME</f>
        <v xml:space="preserve"> </v>
      </c>
      <c r="H484" s="15"/>
    </row>
    <row r="485" spans="1:8" ht="15" customHeight="1">
      <c r="A485" s="58"/>
      <c r="B485" s="75" t="s">
        <v>8</v>
      </c>
      <c r="C485" s="14" t="s">
        <v>1790</v>
      </c>
      <c r="D485" s="233"/>
      <c r="E485" s="14" t="s">
        <v>1791</v>
      </c>
      <c r="F485" s="151" t="str">
        <f>IF(wskakunin_sekkei8_ZIP="", "", wskakunin_sekkei8_ZIP)</f>
        <v/>
      </c>
      <c r="H485" s="15" t="s">
        <v>577</v>
      </c>
    </row>
    <row r="486" spans="1:8" ht="15" customHeight="1">
      <c r="A486" s="58"/>
      <c r="B486" s="75" t="s">
        <v>12</v>
      </c>
      <c r="C486" s="14" t="s">
        <v>1792</v>
      </c>
      <c r="D486" s="151"/>
      <c r="E486" s="14" t="s">
        <v>1793</v>
      </c>
      <c r="F486" s="151" t="str">
        <f>IF(wskakunin_sekkei8__address="", "", wskakunin_sekkei8__address)</f>
        <v/>
      </c>
      <c r="H486" s="15"/>
    </row>
    <row r="487" spans="1:8" ht="15" customHeight="1">
      <c r="A487" s="58"/>
      <c r="B487" s="75" t="s">
        <v>10</v>
      </c>
      <c r="C487" s="14" t="s">
        <v>1794</v>
      </c>
      <c r="D487" s="233"/>
      <c r="E487" s="14" t="s">
        <v>1795</v>
      </c>
      <c r="F487" s="151" t="str">
        <f>IF(wskakunin_sekkei8_TEL="", "", wskakunin_sekkei8_TEL)</f>
        <v/>
      </c>
      <c r="H487" s="15"/>
    </row>
    <row r="488" spans="1:8" ht="15" customHeight="1">
      <c r="A488" s="58"/>
      <c r="B488" s="75" t="s">
        <v>578</v>
      </c>
      <c r="C488" s="14" t="s">
        <v>1796</v>
      </c>
      <c r="D488" s="233"/>
      <c r="E488" s="14" t="s">
        <v>1797</v>
      </c>
      <c r="F488" s="151" t="str">
        <f>IF(wskakunin_sekkei8_DOC="","",wskakunin_sekkei8_DOC)</f>
        <v/>
      </c>
      <c r="H488" s="15"/>
    </row>
    <row r="489" spans="1:8" ht="15" customHeight="1">
      <c r="A489" s="58"/>
      <c r="B489" s="83"/>
      <c r="H489" s="15"/>
    </row>
    <row r="490" spans="1:8" ht="15" customHeight="1">
      <c r="A490" s="1" t="s">
        <v>1889</v>
      </c>
      <c r="B490" s="47"/>
      <c r="H490" s="15"/>
    </row>
    <row r="491" spans="1:8" ht="15" customHeight="1">
      <c r="A491" s="25"/>
      <c r="B491" s="75" t="s">
        <v>542</v>
      </c>
      <c r="C491" s="14" t="s">
        <v>1798</v>
      </c>
      <c r="D491" s="151"/>
      <c r="E491" s="14" t="s">
        <v>1799</v>
      </c>
      <c r="F491" s="151" t="str">
        <f>IF(wskakunin_sekkei9__sikaku="", "", wskakunin_sekkei9__sikaku)</f>
        <v/>
      </c>
      <c r="H491" s="15"/>
    </row>
    <row r="492" spans="1:8" ht="15" customHeight="1">
      <c r="A492" s="30"/>
      <c r="B492" s="75" t="s">
        <v>543</v>
      </c>
      <c r="C492" s="14" t="s">
        <v>1800</v>
      </c>
      <c r="D492" s="151"/>
      <c r="E492" s="14" t="s">
        <v>1801</v>
      </c>
      <c r="F492" s="151" t="str">
        <f>IF(wskakunin_sekkei9_SIKAKU__label="","",wskakunin_sekkei9_SIKAKU__label)</f>
        <v/>
      </c>
      <c r="H492" s="15"/>
    </row>
    <row r="493" spans="1:8" ht="15" customHeight="1">
      <c r="A493" s="30"/>
      <c r="B493" s="75" t="s">
        <v>538</v>
      </c>
      <c r="C493" s="14" t="s">
        <v>1802</v>
      </c>
      <c r="D493" s="151"/>
      <c r="E493" s="14" t="s">
        <v>1803</v>
      </c>
      <c r="F493" s="151" t="str">
        <f>IF(wskakunin_sekkei9_TOUROKU_KIKAN__label="","",wskakunin_sekkei9_TOUROKU_KIKAN__label)</f>
        <v/>
      </c>
      <c r="H493" s="15"/>
    </row>
    <row r="494" spans="1:8" ht="15" customHeight="1">
      <c r="A494" s="30"/>
      <c r="B494" s="75" t="s">
        <v>539</v>
      </c>
      <c r="C494" s="14" t="s">
        <v>1804</v>
      </c>
      <c r="D494" s="233"/>
      <c r="E494" s="14" t="s">
        <v>1805</v>
      </c>
      <c r="F494" s="151" t="str">
        <f>IF(wskakunin_sekkei9_KENTIKUSI_NO="","",wskakunin_sekkei9_KENTIKUSI_NO)</f>
        <v/>
      </c>
      <c r="H494" s="15"/>
    </row>
    <row r="495" spans="1:8" ht="15" customHeight="1">
      <c r="A495" s="42"/>
      <c r="B495" s="75" t="s">
        <v>7</v>
      </c>
      <c r="C495" s="14" t="s">
        <v>1806</v>
      </c>
      <c r="D495" s="151"/>
      <c r="E495" s="14" t="s">
        <v>1807</v>
      </c>
      <c r="F495" s="151" t="str">
        <f>IF(wskakunin_sekkei9_NAME="", "", wskakunin_sekkei9_NAME)</f>
        <v/>
      </c>
      <c r="H495" s="15"/>
    </row>
    <row r="496" spans="1:8" ht="15" customHeight="1">
      <c r="A496" s="42"/>
      <c r="B496" s="75" t="s">
        <v>544</v>
      </c>
      <c r="C496" s="14" t="s">
        <v>1808</v>
      </c>
      <c r="D496" s="151"/>
      <c r="E496" s="14" t="s">
        <v>1809</v>
      </c>
      <c r="F496" s="151" t="str">
        <f>IF(wskakunin_sekkei9_JIMU__sikaku="", "", wskakunin_sekkei9_JIMU__sikaku)</f>
        <v/>
      </c>
      <c r="H496" s="15"/>
    </row>
    <row r="497" spans="1:8" ht="15" customHeight="1">
      <c r="A497" s="42"/>
      <c r="B497" s="75" t="s">
        <v>36</v>
      </c>
      <c r="C497" s="14" t="s">
        <v>1810</v>
      </c>
      <c r="D497" s="151"/>
      <c r="E497" s="14" t="s">
        <v>1811</v>
      </c>
      <c r="F497" s="151" t="str">
        <f>IF(wskakunin_sekkei9_JIMU_SIKAKU__label="","",wskakunin_sekkei9_JIMU_SIKAKU__label)</f>
        <v/>
      </c>
      <c r="H497" s="15"/>
    </row>
    <row r="498" spans="1:8" ht="15" customHeight="1">
      <c r="A498" s="42"/>
      <c r="B498" s="75" t="s">
        <v>545</v>
      </c>
      <c r="C498" s="14" t="s">
        <v>1812</v>
      </c>
      <c r="D498" s="151"/>
      <c r="E498" s="14" t="s">
        <v>1813</v>
      </c>
      <c r="F498" s="151" t="str">
        <f>IF(wskakunin_sekkei9_JIMU_TOUROKU_KIKAN__label="","",wskakunin_sekkei9_JIMU_TOUROKU_KIKAN__label)</f>
        <v/>
      </c>
      <c r="H498" s="15"/>
    </row>
    <row r="499" spans="1:8" ht="15" customHeight="1">
      <c r="A499" s="42"/>
      <c r="B499" s="75" t="s">
        <v>546</v>
      </c>
      <c r="C499" s="14" t="s">
        <v>1814</v>
      </c>
      <c r="D499" s="233"/>
      <c r="E499" s="14" t="s">
        <v>1815</v>
      </c>
      <c r="F499" s="151" t="str">
        <f>IF(wskakunin_sekkei9_JIMU_NO="","",wskakunin_sekkei9_JIMU_NO)</f>
        <v/>
      </c>
      <c r="H499" s="15"/>
    </row>
    <row r="500" spans="1:8" ht="15" customHeight="1">
      <c r="A500" s="58"/>
      <c r="B500" s="75" t="s">
        <v>37</v>
      </c>
      <c r="C500" s="14" t="s">
        <v>1816</v>
      </c>
      <c r="D500" s="151"/>
      <c r="E500" s="14" t="s">
        <v>1817</v>
      </c>
      <c r="F500" s="151" t="str">
        <f>IF(wskakunin_sekkei9_JIMU_NAME="", "", wskakunin_sekkei9_JIMU_NAME)</f>
        <v/>
      </c>
      <c r="H500" s="15"/>
    </row>
    <row r="501" spans="1:8" ht="15" customHeight="1">
      <c r="A501" s="42"/>
      <c r="B501" s="75" t="s">
        <v>559</v>
      </c>
      <c r="D501" s="32"/>
      <c r="E501" s="14" t="s">
        <v>1818</v>
      </c>
      <c r="F501" s="151" t="str">
        <f>wskakunin_sekkei9_JIMU_NAME&amp;" "&amp;wskakunin_sekkei9_NAME</f>
        <v xml:space="preserve"> </v>
      </c>
      <c r="H501" s="15"/>
    </row>
    <row r="502" spans="1:8" ht="15" customHeight="1">
      <c r="A502" s="58"/>
      <c r="B502" s="75" t="s">
        <v>8</v>
      </c>
      <c r="C502" s="14" t="s">
        <v>1819</v>
      </c>
      <c r="D502" s="233"/>
      <c r="E502" s="14" t="s">
        <v>1820</v>
      </c>
      <c r="F502" s="151" t="str">
        <f>IF(wskakunin_sekkei9_ZIP="", "", wskakunin_sekkei9_ZIP)</f>
        <v/>
      </c>
      <c r="H502" s="15" t="s">
        <v>577</v>
      </c>
    </row>
    <row r="503" spans="1:8" ht="15" customHeight="1">
      <c r="A503" s="58"/>
      <c r="B503" s="75" t="s">
        <v>12</v>
      </c>
      <c r="C503" s="14" t="s">
        <v>1821</v>
      </c>
      <c r="D503" s="151"/>
      <c r="E503" s="14" t="s">
        <v>1822</v>
      </c>
      <c r="F503" s="151" t="str">
        <f>IF(wskakunin_sekkei9__address="", "", wskakunin_sekkei9__address)</f>
        <v/>
      </c>
      <c r="H503" s="15"/>
    </row>
    <row r="504" spans="1:8" ht="15" customHeight="1">
      <c r="A504" s="58"/>
      <c r="B504" s="75" t="s">
        <v>10</v>
      </c>
      <c r="C504" s="14" t="s">
        <v>1823</v>
      </c>
      <c r="D504" s="233"/>
      <c r="E504" s="14" t="s">
        <v>1824</v>
      </c>
      <c r="F504" s="151" t="str">
        <f>IF(wskakunin_sekkei9_TEL="", "", wskakunin_sekkei9_TEL)</f>
        <v/>
      </c>
      <c r="H504" s="15"/>
    </row>
    <row r="505" spans="1:8" ht="15" customHeight="1">
      <c r="A505" s="58"/>
      <c r="B505" s="75" t="s">
        <v>578</v>
      </c>
      <c r="C505" s="14" t="s">
        <v>1825</v>
      </c>
      <c r="D505" s="233"/>
      <c r="E505" s="14" t="s">
        <v>1826</v>
      </c>
      <c r="F505" s="151" t="str">
        <f>IF(wskakunin_sekkei9_DOC="","",wskakunin_sekkei9_DOC)</f>
        <v/>
      </c>
      <c r="H505" s="15"/>
    </row>
    <row r="506" spans="1:8" ht="15" customHeight="1">
      <c r="A506" s="58"/>
      <c r="B506" s="83"/>
      <c r="H506" s="15"/>
    </row>
    <row r="507" spans="1:8" ht="15" customHeight="1">
      <c r="A507" s="1" t="s">
        <v>1890</v>
      </c>
      <c r="B507" s="47"/>
      <c r="H507" s="15"/>
    </row>
    <row r="508" spans="1:8" ht="15" customHeight="1">
      <c r="A508" s="25"/>
      <c r="B508" s="75" t="s">
        <v>542</v>
      </c>
      <c r="C508" s="14" t="s">
        <v>1827</v>
      </c>
      <c r="D508" s="151"/>
      <c r="E508" s="14" t="s">
        <v>1828</v>
      </c>
      <c r="F508" s="151" t="str">
        <f>IF(wskakunin_sekkei10__sikaku="", "", wskakunin_sekkei10__sikaku)</f>
        <v/>
      </c>
      <c r="H508" s="15"/>
    </row>
    <row r="509" spans="1:8" ht="15" customHeight="1">
      <c r="A509" s="30"/>
      <c r="B509" s="75" t="s">
        <v>543</v>
      </c>
      <c r="C509" s="14" t="s">
        <v>1829</v>
      </c>
      <c r="D509" s="151"/>
      <c r="E509" s="14" t="s">
        <v>1830</v>
      </c>
      <c r="F509" s="151" t="str">
        <f>IF(wskakunin_sekkei10_SIKAKU__label="","",wskakunin_sekkei10_SIKAKU__label)</f>
        <v/>
      </c>
      <c r="H509" s="15"/>
    </row>
    <row r="510" spans="1:8" ht="15" customHeight="1">
      <c r="A510" s="30"/>
      <c r="B510" s="75" t="s">
        <v>538</v>
      </c>
      <c r="C510" s="14" t="s">
        <v>1831</v>
      </c>
      <c r="D510" s="151"/>
      <c r="E510" s="14" t="s">
        <v>1832</v>
      </c>
      <c r="F510" s="151" t="str">
        <f>IF(wskakunin_sekkei10_TOUROKU_KIKAN__label="","",wskakunin_sekkei10_TOUROKU_KIKAN__label)</f>
        <v/>
      </c>
      <c r="H510" s="15"/>
    </row>
    <row r="511" spans="1:8" ht="15" customHeight="1">
      <c r="A511" s="30"/>
      <c r="B511" s="75" t="s">
        <v>539</v>
      </c>
      <c r="C511" s="14" t="s">
        <v>1833</v>
      </c>
      <c r="D511" s="233"/>
      <c r="E511" s="14" t="s">
        <v>1834</v>
      </c>
      <c r="F511" s="151" t="str">
        <f>IF(wskakunin_sekkei10_KENTIKUSI_NO="","",wskakunin_sekkei10_KENTIKUSI_NO)</f>
        <v/>
      </c>
      <c r="H511" s="15"/>
    </row>
    <row r="512" spans="1:8" ht="15" customHeight="1">
      <c r="A512" s="42"/>
      <c r="B512" s="75" t="s">
        <v>7</v>
      </c>
      <c r="C512" s="14" t="s">
        <v>1835</v>
      </c>
      <c r="D512" s="151"/>
      <c r="E512" s="14" t="s">
        <v>1836</v>
      </c>
      <c r="F512" s="151" t="str">
        <f>IF(wskakunin_sekkei10_NAME="", "", wskakunin_sekkei10_NAME)</f>
        <v/>
      </c>
      <c r="H512" s="15"/>
    </row>
    <row r="513" spans="1:8" ht="15" customHeight="1">
      <c r="A513" s="42"/>
      <c r="B513" s="75" t="s">
        <v>544</v>
      </c>
      <c r="C513" s="14" t="s">
        <v>1837</v>
      </c>
      <c r="D513" s="151"/>
      <c r="E513" s="14" t="s">
        <v>1838</v>
      </c>
      <c r="F513" s="151" t="str">
        <f>IF(wskakunin_sekkei10_JIMU__sikaku="", "", wskakunin_sekkei10_JIMU__sikaku)</f>
        <v/>
      </c>
      <c r="H513" s="15"/>
    </row>
    <row r="514" spans="1:8" ht="15" customHeight="1">
      <c r="A514" s="42"/>
      <c r="B514" s="75" t="s">
        <v>36</v>
      </c>
      <c r="C514" s="14" t="s">
        <v>1839</v>
      </c>
      <c r="D514" s="151"/>
      <c r="E514" s="14" t="s">
        <v>1840</v>
      </c>
      <c r="F514" s="151" t="str">
        <f>IF(wskakunin_sekkei10_JIMU_SIKAKU__label="","",wskakunin_sekkei10_JIMU_SIKAKU__label)</f>
        <v/>
      </c>
      <c r="H514" s="15"/>
    </row>
    <row r="515" spans="1:8" ht="15" customHeight="1">
      <c r="A515" s="42"/>
      <c r="B515" s="75" t="s">
        <v>545</v>
      </c>
      <c r="C515" s="14" t="s">
        <v>1841</v>
      </c>
      <c r="D515" s="151"/>
      <c r="E515" s="14" t="s">
        <v>1842</v>
      </c>
      <c r="F515" s="151" t="str">
        <f>IF(wskakunin_sekkei10_JIMU_TOUROKU_KIKAN__label="","",wskakunin_sekkei10_JIMU_TOUROKU_KIKAN__label)</f>
        <v/>
      </c>
      <c r="H515" s="15"/>
    </row>
    <row r="516" spans="1:8" ht="15" customHeight="1">
      <c r="A516" s="42"/>
      <c r="B516" s="75" t="s">
        <v>546</v>
      </c>
      <c r="C516" s="14" t="s">
        <v>1843</v>
      </c>
      <c r="D516" s="233"/>
      <c r="E516" s="14" t="s">
        <v>1844</v>
      </c>
      <c r="F516" s="151" t="str">
        <f>IF(wskakunin_sekkei10_JIMU_NO="","",wskakunin_sekkei10_JIMU_NO)</f>
        <v/>
      </c>
      <c r="H516" s="15"/>
    </row>
    <row r="517" spans="1:8" ht="15" customHeight="1">
      <c r="A517" s="58"/>
      <c r="B517" s="75" t="s">
        <v>37</v>
      </c>
      <c r="C517" s="14" t="s">
        <v>1845</v>
      </c>
      <c r="D517" s="151"/>
      <c r="E517" s="14" t="s">
        <v>1846</v>
      </c>
      <c r="F517" s="151" t="str">
        <f>IF(wskakunin_sekkei10_JIMU_NAME="", "", wskakunin_sekkei10_JIMU_NAME)</f>
        <v/>
      </c>
      <c r="H517" s="15"/>
    </row>
    <row r="518" spans="1:8" ht="15" customHeight="1">
      <c r="A518" s="42"/>
      <c r="B518" s="75" t="s">
        <v>559</v>
      </c>
      <c r="D518" s="32"/>
      <c r="E518" s="14" t="s">
        <v>1847</v>
      </c>
      <c r="F518" s="151" t="str">
        <f>wskakunin_sekkei10_JIMU_NAME&amp;" "&amp;wskakunin_sekkei10_NAME</f>
        <v xml:space="preserve"> </v>
      </c>
      <c r="H518" s="15"/>
    </row>
    <row r="519" spans="1:8" ht="15" customHeight="1">
      <c r="A519" s="58"/>
      <c r="B519" s="75" t="s">
        <v>8</v>
      </c>
      <c r="C519" s="14" t="s">
        <v>1848</v>
      </c>
      <c r="D519" s="233"/>
      <c r="E519" s="14" t="s">
        <v>1849</v>
      </c>
      <c r="F519" s="151" t="str">
        <f>IF(wskakunin_sekkei10_ZIP="", "", wskakunin_sekkei10_ZIP)</f>
        <v/>
      </c>
      <c r="H519" s="15" t="s">
        <v>577</v>
      </c>
    </row>
    <row r="520" spans="1:8" ht="15" customHeight="1">
      <c r="A520" s="58"/>
      <c r="B520" s="75" t="s">
        <v>12</v>
      </c>
      <c r="C520" s="14" t="s">
        <v>1850</v>
      </c>
      <c r="D520" s="151"/>
      <c r="E520" s="14" t="s">
        <v>1851</v>
      </c>
      <c r="F520" s="151" t="str">
        <f>IF(wskakunin_sekkei10__address="", "", wskakunin_sekkei10__address)</f>
        <v/>
      </c>
      <c r="H520" s="15"/>
    </row>
    <row r="521" spans="1:8" ht="15" customHeight="1">
      <c r="A521" s="58"/>
      <c r="B521" s="75" t="s">
        <v>10</v>
      </c>
      <c r="C521" s="14" t="s">
        <v>1852</v>
      </c>
      <c r="D521" s="233"/>
      <c r="E521" s="14" t="s">
        <v>1853</v>
      </c>
      <c r="F521" s="151" t="str">
        <f>IF(wskakunin_sekkei10_TEL="", "", wskakunin_sekkei10_TEL)</f>
        <v/>
      </c>
      <c r="H521" s="15"/>
    </row>
    <row r="522" spans="1:8" ht="15" customHeight="1">
      <c r="A522" s="58"/>
      <c r="B522" s="75" t="s">
        <v>578</v>
      </c>
      <c r="C522" s="14" t="s">
        <v>1854</v>
      </c>
      <c r="D522" s="233"/>
      <c r="E522" s="14" t="s">
        <v>1855</v>
      </c>
      <c r="F522" s="151" t="str">
        <f>IF(wskakunin_sekkei10_DOC="","",wskakunin_sekkei10_DOC)</f>
        <v/>
      </c>
      <c r="H522" s="15"/>
    </row>
    <row r="523" spans="1:8" ht="15" customHeight="1">
      <c r="A523" s="58"/>
      <c r="B523" s="83"/>
      <c r="H523" s="15"/>
    </row>
    <row r="524" spans="1:8" ht="15" customHeight="1">
      <c r="A524" s="1" t="s">
        <v>1885</v>
      </c>
      <c r="B524" s="47"/>
      <c r="H524" s="15"/>
    </row>
    <row r="525" spans="1:8" ht="15" customHeight="1">
      <c r="A525" s="25"/>
      <c r="B525" s="75" t="s">
        <v>542</v>
      </c>
      <c r="C525" s="14" t="s">
        <v>1856</v>
      </c>
      <c r="D525" s="151"/>
      <c r="E525" s="14" t="s">
        <v>1857</v>
      </c>
      <c r="F525" s="151" t="str">
        <f>IF(wskakunin_sekkei11__sikaku="", "", wskakunin_sekkei11__sikaku)</f>
        <v/>
      </c>
      <c r="H525" s="15"/>
    </row>
    <row r="526" spans="1:8" ht="15" customHeight="1">
      <c r="A526" s="30"/>
      <c r="B526" s="75" t="s">
        <v>543</v>
      </c>
      <c r="C526" s="14" t="s">
        <v>1858</v>
      </c>
      <c r="D526" s="151"/>
      <c r="E526" s="14" t="s">
        <v>1859</v>
      </c>
      <c r="F526" s="151" t="str">
        <f>IF(wskakunin_sekkei11_SIKAKU__label="","",wskakunin_sekkei11_SIKAKU__label)</f>
        <v/>
      </c>
      <c r="H526" s="15"/>
    </row>
    <row r="527" spans="1:8" ht="15" customHeight="1">
      <c r="A527" s="30"/>
      <c r="B527" s="75" t="s">
        <v>538</v>
      </c>
      <c r="C527" s="14" t="s">
        <v>1860</v>
      </c>
      <c r="D527" s="151"/>
      <c r="E527" s="14" t="s">
        <v>1861</v>
      </c>
      <c r="F527" s="151" t="str">
        <f>IF(wskakunin_sekkei11_TOUROKU_KIKAN__label="","",wskakunin_sekkei11_TOUROKU_KIKAN__label)</f>
        <v/>
      </c>
      <c r="H527" s="15"/>
    </row>
    <row r="528" spans="1:8" ht="15" customHeight="1">
      <c r="A528" s="30"/>
      <c r="B528" s="75" t="s">
        <v>539</v>
      </c>
      <c r="C528" s="14" t="s">
        <v>1862</v>
      </c>
      <c r="D528" s="233"/>
      <c r="E528" s="14" t="s">
        <v>1863</v>
      </c>
      <c r="F528" s="151" t="str">
        <f>IF(wskakunin_sekkei11_KENTIKUSI_NO="","",wskakunin_sekkei11_KENTIKUSI_NO)</f>
        <v/>
      </c>
      <c r="H528" s="15"/>
    </row>
    <row r="529" spans="1:8" ht="15" customHeight="1">
      <c r="A529" s="42"/>
      <c r="B529" s="75" t="s">
        <v>7</v>
      </c>
      <c r="C529" s="14" t="s">
        <v>1864</v>
      </c>
      <c r="D529" s="151"/>
      <c r="E529" s="14" t="s">
        <v>1865</v>
      </c>
      <c r="F529" s="151" t="str">
        <f>IF(wskakunin_sekkei11_NAME="", "", wskakunin_sekkei11_NAME)</f>
        <v/>
      </c>
      <c r="H529" s="15"/>
    </row>
    <row r="530" spans="1:8" ht="15" customHeight="1">
      <c r="A530" s="42"/>
      <c r="B530" s="75" t="s">
        <v>544</v>
      </c>
      <c r="C530" s="14" t="s">
        <v>1866</v>
      </c>
      <c r="D530" s="151"/>
      <c r="E530" s="14" t="s">
        <v>1867</v>
      </c>
      <c r="F530" s="151" t="str">
        <f>IF(wskakunin_sekkei11_JIMU__sikaku="", "", wskakunin_sekkei11_JIMU__sikaku)</f>
        <v/>
      </c>
      <c r="H530" s="15"/>
    </row>
    <row r="531" spans="1:8" ht="15" customHeight="1">
      <c r="A531" s="42"/>
      <c r="B531" s="75" t="s">
        <v>36</v>
      </c>
      <c r="C531" s="14" t="s">
        <v>1868</v>
      </c>
      <c r="D531" s="151"/>
      <c r="E531" s="14" t="s">
        <v>1869</v>
      </c>
      <c r="F531" s="151" t="str">
        <f>IF(wskakunin_sekkei11_JIMU_SIKAKU__label="","",wskakunin_sekkei11_JIMU_SIKAKU__label)</f>
        <v/>
      </c>
      <c r="H531" s="15"/>
    </row>
    <row r="532" spans="1:8" ht="15" customHeight="1">
      <c r="A532" s="42"/>
      <c r="B532" s="75" t="s">
        <v>545</v>
      </c>
      <c r="C532" s="14" t="s">
        <v>1870</v>
      </c>
      <c r="D532" s="151"/>
      <c r="E532" s="14" t="s">
        <v>1871</v>
      </c>
      <c r="F532" s="151" t="str">
        <f>IF(wskakunin_sekkei11_JIMU_TOUROKU_KIKAN__label="","",wskakunin_sekkei11_JIMU_TOUROKU_KIKAN__label)</f>
        <v/>
      </c>
      <c r="H532" s="15"/>
    </row>
    <row r="533" spans="1:8" ht="15" customHeight="1">
      <c r="A533" s="42"/>
      <c r="B533" s="75" t="s">
        <v>546</v>
      </c>
      <c r="C533" s="14" t="s">
        <v>1872</v>
      </c>
      <c r="D533" s="233"/>
      <c r="E533" s="14" t="s">
        <v>1873</v>
      </c>
      <c r="F533" s="151" t="str">
        <f>IF(wskakunin_sekkei11_JIMU_NO="","",wskakunin_sekkei11_JIMU_NO)</f>
        <v/>
      </c>
      <c r="H533" s="15"/>
    </row>
    <row r="534" spans="1:8" ht="15" customHeight="1">
      <c r="A534" s="58"/>
      <c r="B534" s="75" t="s">
        <v>37</v>
      </c>
      <c r="C534" s="14" t="s">
        <v>1874</v>
      </c>
      <c r="D534" s="151"/>
      <c r="E534" s="14" t="s">
        <v>1875</v>
      </c>
      <c r="F534" s="151" t="str">
        <f>IF(wskakunin_sekkei11_JIMU_NAME="", "", wskakunin_sekkei11_JIMU_NAME)</f>
        <v/>
      </c>
      <c r="H534" s="15"/>
    </row>
    <row r="535" spans="1:8" ht="15" customHeight="1">
      <c r="A535" s="42"/>
      <c r="B535" s="75" t="s">
        <v>559</v>
      </c>
      <c r="D535" s="32"/>
      <c r="E535" s="14" t="s">
        <v>1876</v>
      </c>
      <c r="F535" s="151" t="str">
        <f>wskakunin_sekkei11_JIMU_NAME&amp;" "&amp;wskakunin_sekkei11_NAME</f>
        <v xml:space="preserve"> </v>
      </c>
      <c r="H535" s="15"/>
    </row>
    <row r="536" spans="1:8" ht="15" customHeight="1">
      <c r="A536" s="58"/>
      <c r="B536" s="75" t="s">
        <v>8</v>
      </c>
      <c r="C536" s="14" t="s">
        <v>1877</v>
      </c>
      <c r="D536" s="233"/>
      <c r="E536" s="14" t="s">
        <v>1878</v>
      </c>
      <c r="F536" s="151" t="str">
        <f>IF(wskakunin_sekkei11_ZIP="", "", wskakunin_sekkei11_ZIP)</f>
        <v/>
      </c>
      <c r="H536" s="15" t="s">
        <v>577</v>
      </c>
    </row>
    <row r="537" spans="1:8" ht="15" customHeight="1">
      <c r="A537" s="58"/>
      <c r="B537" s="75" t="s">
        <v>12</v>
      </c>
      <c r="C537" s="14" t="s">
        <v>1879</v>
      </c>
      <c r="D537" s="151"/>
      <c r="E537" s="14" t="s">
        <v>1880</v>
      </c>
      <c r="F537" s="151" t="str">
        <f>IF(wskakunin_sekkei11__address="", "", wskakunin_sekkei11__address)</f>
        <v/>
      </c>
      <c r="H537" s="15"/>
    </row>
    <row r="538" spans="1:8" ht="15" customHeight="1">
      <c r="A538" s="58"/>
      <c r="B538" s="75" t="s">
        <v>10</v>
      </c>
      <c r="C538" s="14" t="s">
        <v>1881</v>
      </c>
      <c r="D538" s="233"/>
      <c r="E538" s="14" t="s">
        <v>1882</v>
      </c>
      <c r="F538" s="151" t="str">
        <f>IF(wskakunin_sekkei11_TEL="", "", wskakunin_sekkei11_TEL)</f>
        <v/>
      </c>
      <c r="H538" s="15"/>
    </row>
    <row r="539" spans="1:8" ht="15" customHeight="1">
      <c r="A539" s="58"/>
      <c r="B539" s="75" t="s">
        <v>578</v>
      </c>
      <c r="C539" s="14" t="s">
        <v>1883</v>
      </c>
      <c r="D539" s="233"/>
      <c r="E539" s="14" t="s">
        <v>1884</v>
      </c>
      <c r="F539" s="151" t="str">
        <f>IF(wskakunin_sekkei11_DOC="","",wskakunin_sekkei11_DOC)</f>
        <v/>
      </c>
      <c r="H539" s="15"/>
    </row>
    <row r="540" spans="1:8" ht="15" customHeight="1">
      <c r="A540" s="58"/>
      <c r="B540" s="83"/>
      <c r="G540" s="15"/>
      <c r="H540" s="15"/>
    </row>
    <row r="541" spans="1:8" ht="15" customHeight="1">
      <c r="A541" s="1" t="s">
        <v>2212</v>
      </c>
      <c r="B541" s="47"/>
      <c r="H541" s="15"/>
    </row>
    <row r="542" spans="1:8" ht="15" customHeight="1">
      <c r="A542" s="25"/>
      <c r="B542" s="75" t="s">
        <v>542</v>
      </c>
      <c r="C542" s="14" t="s">
        <v>2183</v>
      </c>
      <c r="D542" s="151"/>
      <c r="E542" s="14" t="s">
        <v>2184</v>
      </c>
      <c r="F542" s="151" t="str">
        <f>IF(wskakunin_sekkei12__sikaku="", "", wskakunin_sekkei12__sikaku)</f>
        <v/>
      </c>
      <c r="H542" s="15"/>
    </row>
    <row r="543" spans="1:8" ht="15" customHeight="1">
      <c r="A543" s="30"/>
      <c r="B543" s="75" t="s">
        <v>543</v>
      </c>
      <c r="C543" s="14" t="s">
        <v>2185</v>
      </c>
      <c r="D543" s="151"/>
      <c r="E543" s="14" t="s">
        <v>2186</v>
      </c>
      <c r="F543" s="151" t="str">
        <f>IF(wskakunin_sekkei12_SIKAKU__label="","",wskakunin_sekkei12_SIKAKU__label)</f>
        <v/>
      </c>
      <c r="H543" s="15"/>
    </row>
    <row r="544" spans="1:8" ht="15" customHeight="1">
      <c r="A544" s="30"/>
      <c r="B544" s="75" t="s">
        <v>538</v>
      </c>
      <c r="C544" s="14" t="s">
        <v>2187</v>
      </c>
      <c r="D544" s="151"/>
      <c r="E544" s="14" t="s">
        <v>2188</v>
      </c>
      <c r="F544" s="151" t="str">
        <f>IF(wskakunin_sekkei12_TOUROKU_KIKAN__label="","",wskakunin_sekkei12_TOUROKU_KIKAN__label)</f>
        <v/>
      </c>
      <c r="H544" s="15"/>
    </row>
    <row r="545" spans="1:8" ht="15" customHeight="1">
      <c r="A545" s="30"/>
      <c r="B545" s="75" t="s">
        <v>539</v>
      </c>
      <c r="C545" s="14" t="s">
        <v>2189</v>
      </c>
      <c r="D545" s="233"/>
      <c r="E545" s="14" t="s">
        <v>2190</v>
      </c>
      <c r="F545" s="151" t="str">
        <f>IF(wskakunin_sekkei12_KENTIKUSI_NO="","",wskakunin_sekkei12_KENTIKUSI_NO)</f>
        <v/>
      </c>
      <c r="H545" s="15"/>
    </row>
    <row r="546" spans="1:8" ht="15" customHeight="1">
      <c r="A546" s="42"/>
      <c r="B546" s="75" t="s">
        <v>7</v>
      </c>
      <c r="C546" s="14" t="s">
        <v>2191</v>
      </c>
      <c r="D546" s="151"/>
      <c r="E546" s="14" t="s">
        <v>2192</v>
      </c>
      <c r="F546" s="151" t="str">
        <f>IF(wskakunin_sekkei12_NAME="", "", wskakunin_sekkei12_NAME)</f>
        <v/>
      </c>
      <c r="H546" s="15"/>
    </row>
    <row r="547" spans="1:8" ht="15" customHeight="1">
      <c r="A547" s="42"/>
      <c r="B547" s="75" t="s">
        <v>544</v>
      </c>
      <c r="C547" s="14" t="s">
        <v>2193</v>
      </c>
      <c r="D547" s="151"/>
      <c r="E547" s="14" t="s">
        <v>2194</v>
      </c>
      <c r="F547" s="151" t="str">
        <f>IF(wskakunin_sekkei12_JIMU__sikaku="", "", wskakunin_sekkei12_JIMU__sikaku)</f>
        <v/>
      </c>
      <c r="H547" s="15"/>
    </row>
    <row r="548" spans="1:8" ht="15" customHeight="1">
      <c r="A548" s="42"/>
      <c r="B548" s="75" t="s">
        <v>36</v>
      </c>
      <c r="C548" s="14" t="s">
        <v>2195</v>
      </c>
      <c r="D548" s="151"/>
      <c r="E548" s="14" t="s">
        <v>2196</v>
      </c>
      <c r="F548" s="151" t="str">
        <f>IF(wskakunin_sekkei12_JIMU_SIKAKU__label="","",wskakunin_sekkei12_JIMU_SIKAKU__label)</f>
        <v/>
      </c>
      <c r="H548" s="15"/>
    </row>
    <row r="549" spans="1:8" ht="15" customHeight="1">
      <c r="A549" s="42"/>
      <c r="B549" s="75" t="s">
        <v>545</v>
      </c>
      <c r="C549" s="14" t="s">
        <v>2197</v>
      </c>
      <c r="D549" s="151"/>
      <c r="E549" s="14" t="s">
        <v>2198</v>
      </c>
      <c r="F549" s="151" t="str">
        <f>IF(wskakunin_sekkei12_JIMU_TOUROKU_KIKAN__label="","",wskakunin_sekkei12_JIMU_TOUROKU_KIKAN__label)</f>
        <v/>
      </c>
      <c r="H549" s="15"/>
    </row>
    <row r="550" spans="1:8" ht="15" customHeight="1">
      <c r="A550" s="42"/>
      <c r="B550" s="75" t="s">
        <v>546</v>
      </c>
      <c r="C550" s="14" t="s">
        <v>2199</v>
      </c>
      <c r="D550" s="233"/>
      <c r="E550" s="14" t="s">
        <v>2200</v>
      </c>
      <c r="F550" s="151" t="str">
        <f>IF(wskakunin_sekkei12_JIMU_NO="","",wskakunin_sekkei12_JIMU_NO)</f>
        <v/>
      </c>
      <c r="H550" s="15"/>
    </row>
    <row r="551" spans="1:8" ht="15" customHeight="1">
      <c r="A551" s="58"/>
      <c r="B551" s="75" t="s">
        <v>37</v>
      </c>
      <c r="C551" s="14" t="s">
        <v>2201</v>
      </c>
      <c r="D551" s="151"/>
      <c r="E551" s="14" t="s">
        <v>2202</v>
      </c>
      <c r="F551" s="151" t="str">
        <f>IF(wskakunin_sekkei12_JIMU_NAME="", "", wskakunin_sekkei12_JIMU_NAME)</f>
        <v/>
      </c>
      <c r="H551" s="15"/>
    </row>
    <row r="552" spans="1:8" ht="15" customHeight="1">
      <c r="A552" s="42"/>
      <c r="B552" s="75" t="s">
        <v>559</v>
      </c>
      <c r="D552" s="32"/>
      <c r="E552" s="14" t="s">
        <v>2203</v>
      </c>
      <c r="F552" s="151" t="str">
        <f>wskakunin_sekkei12_JIMU_NAME&amp;" "&amp;wskakunin_sekkei12_NAME</f>
        <v xml:space="preserve"> </v>
      </c>
      <c r="H552" s="15"/>
    </row>
    <row r="553" spans="1:8" ht="15" customHeight="1">
      <c r="A553" s="58"/>
      <c r="B553" s="75" t="s">
        <v>8</v>
      </c>
      <c r="C553" s="14" t="s">
        <v>2204</v>
      </c>
      <c r="D553" s="233"/>
      <c r="E553" s="14" t="s">
        <v>2205</v>
      </c>
      <c r="F553" s="151" t="str">
        <f>IF(wskakunin_sekkei12_ZIP="", "", wskakunin_sekkei12_ZIP)</f>
        <v/>
      </c>
      <c r="H553" s="15" t="s">
        <v>577</v>
      </c>
    </row>
    <row r="554" spans="1:8" ht="15" customHeight="1">
      <c r="A554" s="58"/>
      <c r="B554" s="75" t="s">
        <v>12</v>
      </c>
      <c r="C554" s="14" t="s">
        <v>2206</v>
      </c>
      <c r="D554" s="151"/>
      <c r="E554" s="14" t="s">
        <v>2207</v>
      </c>
      <c r="F554" s="151" t="str">
        <f>IF(wskakunin_sekkei12__address="", "", wskakunin_sekkei12__address)</f>
        <v/>
      </c>
      <c r="H554" s="15"/>
    </row>
    <row r="555" spans="1:8" ht="15" customHeight="1">
      <c r="A555" s="58"/>
      <c r="B555" s="75" t="s">
        <v>10</v>
      </c>
      <c r="C555" s="14" t="s">
        <v>2208</v>
      </c>
      <c r="D555" s="233"/>
      <c r="E555" s="14" t="s">
        <v>2209</v>
      </c>
      <c r="F555" s="151" t="str">
        <f>IF(wskakunin_sekkei12_TEL="", "", wskakunin_sekkei12_TEL)</f>
        <v/>
      </c>
      <c r="H555" s="15"/>
    </row>
    <row r="556" spans="1:8" ht="15" customHeight="1">
      <c r="A556" s="58"/>
      <c r="B556" s="75" t="s">
        <v>578</v>
      </c>
      <c r="C556" s="14" t="s">
        <v>2210</v>
      </c>
      <c r="D556" s="233"/>
      <c r="E556" s="14" t="s">
        <v>2211</v>
      </c>
      <c r="F556" s="151" t="str">
        <f>IF(wskakunin_sekkei12_DOC="","",wskakunin_sekkei12_DOC)</f>
        <v/>
      </c>
      <c r="H556" s="15"/>
    </row>
    <row r="557" spans="1:8" ht="15" customHeight="1">
      <c r="A557" s="58"/>
      <c r="B557" s="83"/>
      <c r="G557" s="15"/>
      <c r="H557" s="15"/>
    </row>
    <row r="558" spans="1:8" s="18" customFormat="1" ht="15" customHeight="1">
      <c r="A558" s="79" t="s">
        <v>738</v>
      </c>
      <c r="B558" s="99"/>
    </row>
    <row r="559" spans="1:8" s="18" customFormat="1" ht="15" customHeight="1">
      <c r="A559" s="40" t="s">
        <v>739</v>
      </c>
      <c r="B559" s="100"/>
    </row>
    <row r="560" spans="1:8" s="18" customFormat="1" ht="15" customHeight="1">
      <c r="A560" s="101"/>
      <c r="B560" s="72" t="s">
        <v>585</v>
      </c>
      <c r="C560" s="31" t="s">
        <v>740</v>
      </c>
      <c r="D560" s="242" t="s">
        <v>4131</v>
      </c>
      <c r="E560" s="31" t="s">
        <v>741</v>
      </c>
      <c r="F560" s="244" t="str">
        <f>IF(wskakunin_20kouzou101_NAME="","",wskakunin_20kouzou101_NAME)</f>
        <v>櫻井　誠一</v>
      </c>
    </row>
    <row r="561" spans="1:6" s="18" customFormat="1" ht="15" customHeight="1">
      <c r="A561" s="101"/>
      <c r="B561" s="72" t="s">
        <v>583</v>
      </c>
      <c r="C561" s="31" t="s">
        <v>2484</v>
      </c>
      <c r="D561" s="242" t="s">
        <v>4130</v>
      </c>
      <c r="E561" s="31" t="s">
        <v>2485</v>
      </c>
      <c r="F561" s="245" t="str">
        <f>IF(wskakunin_20kouzou101_KOUZOUSEKKEI_KOUFU_NO="","",wskakunin_20kouzou101_KOUZOUSEKKEI_KOUFU_NO)</f>
        <v>5678</v>
      </c>
    </row>
    <row r="562" spans="1:6" s="18" customFormat="1" ht="15" customHeight="1">
      <c r="A562" s="101"/>
      <c r="B562" s="72" t="s">
        <v>585</v>
      </c>
      <c r="C562" s="31" t="s">
        <v>2505</v>
      </c>
      <c r="D562" s="242"/>
      <c r="E562" s="31" t="s">
        <v>2506</v>
      </c>
      <c r="F562" s="245" t="str">
        <f>IF(wskakunin_20kouzou102_NAME="","",wskakunin_20kouzou102_NAME)</f>
        <v/>
      </c>
    </row>
    <row r="563" spans="1:6" s="18" customFormat="1" ht="15" customHeight="1">
      <c r="A563" s="101"/>
      <c r="B563" s="72" t="s">
        <v>583</v>
      </c>
      <c r="C563" s="31" t="s">
        <v>2507</v>
      </c>
      <c r="D563" s="242"/>
      <c r="E563" s="31" t="s">
        <v>2508</v>
      </c>
      <c r="F563" s="245" t="str">
        <f>IF(wskakunin_20kouzou102_KOUZOUSEKKEI_KOUFU_NO="","",wskakunin_20kouzou102_KOUZOUSEKKEI_KOUFU_NO)</f>
        <v/>
      </c>
    </row>
    <row r="564" spans="1:6" s="18" customFormat="1" ht="15" customHeight="1">
      <c r="A564" s="101"/>
      <c r="B564" s="72" t="s">
        <v>585</v>
      </c>
      <c r="C564" s="31" t="s">
        <v>2509</v>
      </c>
      <c r="D564" s="242"/>
      <c r="E564" s="31" t="s">
        <v>2510</v>
      </c>
      <c r="F564" s="245" t="str">
        <f>IF(wskakunin_20kouzou103_NAME="","",wskakunin_20kouzou103_NAME)</f>
        <v/>
      </c>
    </row>
    <row r="565" spans="1:6" s="18" customFormat="1" ht="15" customHeight="1">
      <c r="A565" s="101"/>
      <c r="B565" s="72" t="s">
        <v>583</v>
      </c>
      <c r="C565" s="31" t="s">
        <v>2511</v>
      </c>
      <c r="D565" s="242"/>
      <c r="E565" s="31" t="s">
        <v>2512</v>
      </c>
      <c r="F565" s="245" t="str">
        <f>IF(wskakunin_20kouzou103_KOUZOUSEKKEI_KOUFU_NO="","",wskakunin_20kouzou103_KOUZOUSEKKEI_KOUFU_NO)</f>
        <v/>
      </c>
    </row>
    <row r="566" spans="1:6" s="18" customFormat="1" ht="15" customHeight="1">
      <c r="A566" s="101"/>
      <c r="B566" s="72" t="s">
        <v>585</v>
      </c>
      <c r="C566" s="31" t="s">
        <v>2513</v>
      </c>
      <c r="D566" s="242"/>
      <c r="E566" s="31" t="s">
        <v>2514</v>
      </c>
      <c r="F566" s="245" t="str">
        <f>IF(wskakunin_20kouzou104_NAME="","",wskakunin_20kouzou104_NAME)</f>
        <v/>
      </c>
    </row>
    <row r="567" spans="1:6" s="18" customFormat="1" ht="15" customHeight="1">
      <c r="A567" s="101"/>
      <c r="B567" s="72" t="s">
        <v>583</v>
      </c>
      <c r="C567" s="31" t="s">
        <v>2515</v>
      </c>
      <c r="D567" s="242"/>
      <c r="E567" s="31" t="s">
        <v>2516</v>
      </c>
      <c r="F567" s="245" t="str">
        <f>IF(wskakunin_20kouzou104_KOUZOUSEKKEI_KOUFU_NO="","",wskakunin_20kouzou104_KOUZOUSEKKEI_KOUFU_NO)</f>
        <v/>
      </c>
    </row>
    <row r="568" spans="1:6" s="18" customFormat="1" ht="15" customHeight="1">
      <c r="A568" s="101"/>
      <c r="B568" s="72" t="s">
        <v>585</v>
      </c>
      <c r="C568" s="31" t="s">
        <v>2517</v>
      </c>
      <c r="D568" s="243"/>
      <c r="E568" s="31" t="s">
        <v>2518</v>
      </c>
      <c r="F568" s="245" t="str">
        <f>IF(wskakunin_20kouzou105_NAME="","",wskakunin_20kouzou105_NAME)</f>
        <v/>
      </c>
    </row>
    <row r="569" spans="1:6" s="18" customFormat="1" ht="15" customHeight="1">
      <c r="A569" s="101"/>
      <c r="B569" s="72" t="s">
        <v>583</v>
      </c>
      <c r="C569" s="31" t="s">
        <v>2519</v>
      </c>
      <c r="D569" s="242"/>
      <c r="E569" s="31" t="s">
        <v>2520</v>
      </c>
      <c r="F569" s="245" t="str">
        <f>IF(wskakunin_20kouzou105_KOUZOUSEKKEI_KOUFU_NO="","",wskakunin_20kouzou105_KOUZOUSEKKEI_KOUFU_NO)</f>
        <v/>
      </c>
    </row>
    <row r="570" spans="1:6" ht="15" customHeight="1">
      <c r="A570" s="48"/>
      <c r="B570" s="72"/>
    </row>
    <row r="571" spans="1:6" s="18" customFormat="1" ht="15" customHeight="1">
      <c r="A571" s="40" t="s">
        <v>742</v>
      </c>
      <c r="B571" s="100"/>
      <c r="C571" s="205"/>
      <c r="D571" s="206"/>
      <c r="E571" s="205"/>
      <c r="F571" s="205"/>
    </row>
    <row r="572" spans="1:6" s="18" customFormat="1" ht="15" customHeight="1">
      <c r="A572" s="101"/>
      <c r="B572" s="72" t="s">
        <v>585</v>
      </c>
      <c r="C572" s="31" t="s">
        <v>743</v>
      </c>
      <c r="D572" s="242" t="s">
        <v>4131</v>
      </c>
      <c r="E572" s="31" t="s">
        <v>744</v>
      </c>
      <c r="F572" s="244" t="str">
        <f>IF(wskakunin_20kouzou301_NAME="","",wskakunin_20kouzou301_NAME)</f>
        <v>櫻井　誠一</v>
      </c>
    </row>
    <row r="573" spans="1:6" s="18" customFormat="1" ht="15" customHeight="1">
      <c r="A573" s="101"/>
      <c r="B573" s="72" t="s">
        <v>583</v>
      </c>
      <c r="C573" s="205" t="s">
        <v>2486</v>
      </c>
      <c r="D573" s="242" t="s">
        <v>4130</v>
      </c>
      <c r="E573" s="205" t="s">
        <v>2487</v>
      </c>
      <c r="F573" s="244" t="str">
        <f>IF(wskakunin_20kouzou301_KOUZOUSEKKEI_KOUFU_NO="","",wskakunin_20kouzou301_KOUZOUSEKKEI_KOUFU_NO)</f>
        <v>5678</v>
      </c>
    </row>
    <row r="574" spans="1:6" s="18" customFormat="1" ht="15" customHeight="1">
      <c r="A574" s="101"/>
      <c r="B574" s="72" t="s">
        <v>585</v>
      </c>
      <c r="C574" s="205" t="s">
        <v>2521</v>
      </c>
      <c r="D574" s="242"/>
      <c r="E574" s="205" t="s">
        <v>2522</v>
      </c>
      <c r="F574" s="244" t="str">
        <f>IF(wskakunin_20kouzou302_NAME="","",wskakunin_20kouzou302_NAME)</f>
        <v/>
      </c>
    </row>
    <row r="575" spans="1:6" s="18" customFormat="1" ht="15" customHeight="1">
      <c r="A575" s="101"/>
      <c r="B575" s="72" t="s">
        <v>583</v>
      </c>
      <c r="C575" s="205" t="s">
        <v>2523</v>
      </c>
      <c r="D575" s="242"/>
      <c r="E575" s="205" t="s">
        <v>2524</v>
      </c>
      <c r="F575" s="244" t="str">
        <f>IF(wskakunin_20kouzou302_KOUZOUSEKKEI_KOUFU_NO="","",wskakunin_20kouzou302_KOUZOUSEKKEI_KOUFU_NO)</f>
        <v/>
      </c>
    </row>
    <row r="576" spans="1:6" s="18" customFormat="1" ht="15" customHeight="1">
      <c r="A576" s="101"/>
      <c r="B576" s="72" t="s">
        <v>585</v>
      </c>
      <c r="C576" s="205" t="s">
        <v>2525</v>
      </c>
      <c r="D576" s="242"/>
      <c r="E576" s="205" t="s">
        <v>2526</v>
      </c>
      <c r="F576" s="244" t="str">
        <f>IF(wskakunin_20kouzou303_NAME="","",wskakunin_20kouzou303_NAME)</f>
        <v/>
      </c>
    </row>
    <row r="577" spans="1:6" s="18" customFormat="1" ht="15" customHeight="1">
      <c r="A577" s="101"/>
      <c r="B577" s="72" t="s">
        <v>583</v>
      </c>
      <c r="C577" s="205" t="s">
        <v>2527</v>
      </c>
      <c r="D577" s="242"/>
      <c r="E577" s="205" t="s">
        <v>2528</v>
      </c>
      <c r="F577" s="244" t="str">
        <f>IF(wskakunin_20kouzou303_KOUZOUSEKKEI_KOUFU_NO="","",wskakunin_20kouzou303_KOUZOUSEKKEI_KOUFU_NO)</f>
        <v/>
      </c>
    </row>
    <row r="578" spans="1:6" s="18" customFormat="1" ht="15" customHeight="1">
      <c r="A578" s="101"/>
      <c r="B578" s="72" t="s">
        <v>585</v>
      </c>
      <c r="C578" s="205" t="s">
        <v>2529</v>
      </c>
      <c r="D578" s="242"/>
      <c r="E578" s="205" t="s">
        <v>2530</v>
      </c>
      <c r="F578" s="244" t="str">
        <f>IF(wskakunin_20kouzou304_NAME="","",wskakunin_20kouzou304_NAME)</f>
        <v/>
      </c>
    </row>
    <row r="579" spans="1:6" s="18" customFormat="1" ht="15" customHeight="1">
      <c r="A579" s="101"/>
      <c r="B579" s="72" t="s">
        <v>583</v>
      </c>
      <c r="C579" s="205" t="s">
        <v>2531</v>
      </c>
      <c r="D579" s="242"/>
      <c r="E579" s="205" t="s">
        <v>2532</v>
      </c>
      <c r="F579" s="244" t="str">
        <f>IF(wskakunin_20kouzou304_KOUZOUSEKKEI_KOUFU_NO="","",wskakunin_20kouzou304_KOUZOUSEKKEI_KOUFU_NO)</f>
        <v/>
      </c>
    </row>
    <row r="580" spans="1:6" s="18" customFormat="1" ht="15" customHeight="1">
      <c r="A580" s="101"/>
      <c r="B580" s="72" t="s">
        <v>585</v>
      </c>
      <c r="C580" s="205" t="s">
        <v>2533</v>
      </c>
      <c r="D580" s="242"/>
      <c r="E580" s="205" t="s">
        <v>2534</v>
      </c>
      <c r="F580" s="244" t="str">
        <f>IF(wskakunin_20kouzou305_NAME="","",wskakunin_20kouzou305_NAME)</f>
        <v/>
      </c>
    </row>
    <row r="581" spans="1:6" s="18" customFormat="1" ht="15" customHeight="1">
      <c r="A581" s="101"/>
      <c r="B581" s="72" t="s">
        <v>583</v>
      </c>
      <c r="C581" s="205" t="s">
        <v>2535</v>
      </c>
      <c r="D581" s="242"/>
      <c r="E581" s="205" t="s">
        <v>2536</v>
      </c>
      <c r="F581" s="244" t="str">
        <f>IF(wskakunin_20kouzou305_KOUZOUSEKKEI_KOUFU_NO="","",wskakunin_20kouzou305_KOUZOUSEKKEI_KOUFU_NO)</f>
        <v/>
      </c>
    </row>
    <row r="582" spans="1:6" ht="15" customHeight="1">
      <c r="A582" s="48"/>
      <c r="B582" s="72"/>
    </row>
    <row r="583" spans="1:6" s="18" customFormat="1" ht="15" customHeight="1">
      <c r="A583" s="40" t="s">
        <v>745</v>
      </c>
      <c r="B583" s="100"/>
      <c r="C583" s="205"/>
      <c r="D583" s="206"/>
      <c r="E583" s="205"/>
      <c r="F583" s="205"/>
    </row>
    <row r="584" spans="1:6" s="18" customFormat="1" ht="15" customHeight="1">
      <c r="A584" s="101"/>
      <c r="B584" s="72" t="s">
        <v>585</v>
      </c>
      <c r="C584" s="31" t="s">
        <v>746</v>
      </c>
      <c r="D584" s="242" t="s">
        <v>4132</v>
      </c>
      <c r="E584" s="31" t="s">
        <v>747</v>
      </c>
      <c r="F584" s="245" t="str">
        <f>IF(wskakunin_20setubi101_NAME="","",wskakunin_20setubi101_NAME)</f>
        <v>市川　治</v>
      </c>
    </row>
    <row r="585" spans="1:6" s="18" customFormat="1" ht="15" customHeight="1">
      <c r="A585" s="101"/>
      <c r="B585" s="72" t="s">
        <v>748</v>
      </c>
      <c r="C585" s="31" t="s">
        <v>2488</v>
      </c>
      <c r="D585" s="242" t="s">
        <v>4133</v>
      </c>
      <c r="E585" s="31" t="s">
        <v>2489</v>
      </c>
      <c r="F585" s="245" t="str">
        <f>IF(wskakunin_20setubi101_SETUBISEKKEI_KOUFU_NO="","",wskakunin_20setubi101_SETUBISEKKEI_KOUFU_NO)</f>
        <v>5555</v>
      </c>
    </row>
    <row r="586" spans="1:6" s="18" customFormat="1" ht="15" customHeight="1">
      <c r="A586" s="101"/>
      <c r="B586" s="72" t="s">
        <v>585</v>
      </c>
      <c r="C586" s="31" t="s">
        <v>749</v>
      </c>
      <c r="D586" s="242"/>
      <c r="E586" s="31" t="s">
        <v>750</v>
      </c>
      <c r="F586" s="245" t="str">
        <f>IF(wskakunin_20setubi102_NAME="","",wskakunin_20setubi102_NAME)</f>
        <v/>
      </c>
    </row>
    <row r="587" spans="1:6" s="18" customFormat="1" ht="15" customHeight="1">
      <c r="A587" s="101"/>
      <c r="B587" s="72" t="s">
        <v>748</v>
      </c>
      <c r="C587" s="31" t="s">
        <v>2490</v>
      </c>
      <c r="D587" s="242"/>
      <c r="E587" s="31" t="s">
        <v>2491</v>
      </c>
      <c r="F587" s="245" t="str">
        <f>IF(wskakunin_20setubi102_SETUBISEKKEI_KOUFU_NO="","",wskakunin_20setubi102_SETUBISEKKEI_KOUFU_NO)</f>
        <v/>
      </c>
    </row>
    <row r="588" spans="1:6" s="18" customFormat="1" ht="15" customHeight="1">
      <c r="A588" s="101"/>
      <c r="B588" s="72" t="s">
        <v>585</v>
      </c>
      <c r="C588" s="31" t="s">
        <v>751</v>
      </c>
      <c r="D588" s="242"/>
      <c r="E588" s="31" t="s">
        <v>752</v>
      </c>
      <c r="F588" s="245" t="str">
        <f>IF(wskakunin_20setubi103_NAME="","",wskakunin_20setubi103_NAME)</f>
        <v/>
      </c>
    </row>
    <row r="589" spans="1:6" s="18" customFormat="1" ht="15" customHeight="1">
      <c r="A589" s="101"/>
      <c r="B589" s="72" t="s">
        <v>748</v>
      </c>
      <c r="C589" s="31" t="s">
        <v>2492</v>
      </c>
      <c r="D589" s="242"/>
      <c r="E589" s="31" t="s">
        <v>2493</v>
      </c>
      <c r="F589" s="245" t="str">
        <f>IF(wskakunin_20setubi103_SETUBISEKKEI_KOUFU_NO="","",wskakunin_20setubi103_SETUBISEKKEI_KOUFU_NO)</f>
        <v/>
      </c>
    </row>
    <row r="590" spans="1:6" s="18" customFormat="1" ht="15" customHeight="1">
      <c r="A590" s="101"/>
      <c r="B590" s="72" t="s">
        <v>585</v>
      </c>
      <c r="C590" s="31" t="s">
        <v>2537</v>
      </c>
      <c r="D590" s="242"/>
      <c r="E590" s="31" t="s">
        <v>2538</v>
      </c>
      <c r="F590" s="245" t="str">
        <f>IF(wskakunin_20setubi104_NAME="","",wskakunin_20setubi104_NAME)</f>
        <v/>
      </c>
    </row>
    <row r="591" spans="1:6" s="18" customFormat="1" ht="15" customHeight="1">
      <c r="A591" s="101"/>
      <c r="B591" s="72" t="s">
        <v>748</v>
      </c>
      <c r="C591" s="31" t="s">
        <v>2539</v>
      </c>
      <c r="D591" s="242"/>
      <c r="E591" s="31" t="s">
        <v>2540</v>
      </c>
      <c r="F591" s="245" t="str">
        <f>IF(wskakunin_20setubi104_SETUBISEKKEI_KOUFU_NO="","",wskakunin_20setubi104_SETUBISEKKEI_KOUFU_NO)</f>
        <v/>
      </c>
    </row>
    <row r="592" spans="1:6" s="18" customFormat="1" ht="15" customHeight="1">
      <c r="A592" s="101"/>
      <c r="B592" s="72" t="s">
        <v>585</v>
      </c>
      <c r="C592" s="31" t="s">
        <v>2541</v>
      </c>
      <c r="D592" s="242"/>
      <c r="E592" s="31" t="s">
        <v>2542</v>
      </c>
      <c r="F592" s="245" t="str">
        <f>IF(wskakunin_20setubi105_NAME="","",wskakunin_20setubi105_NAME)</f>
        <v/>
      </c>
    </row>
    <row r="593" spans="1:6" s="18" customFormat="1" ht="15" customHeight="1">
      <c r="A593" s="101"/>
      <c r="B593" s="72" t="s">
        <v>748</v>
      </c>
      <c r="C593" s="31" t="s">
        <v>2543</v>
      </c>
      <c r="D593" s="242"/>
      <c r="E593" s="31" t="s">
        <v>2544</v>
      </c>
      <c r="F593" s="245" t="str">
        <f>IF(wskakunin_20setubi105_SETUBISEKKEI_KOUFU_NO="","",wskakunin_20setubi105_SETUBISEKKEI_KOUFU_NO)</f>
        <v/>
      </c>
    </row>
    <row r="594" spans="1:6" ht="15" customHeight="1">
      <c r="A594" s="48"/>
      <c r="B594" s="72"/>
    </row>
    <row r="595" spans="1:6" s="18" customFormat="1" ht="15" customHeight="1">
      <c r="A595" s="40" t="s">
        <v>753</v>
      </c>
      <c r="B595" s="100"/>
      <c r="C595" s="205"/>
      <c r="D595" s="206"/>
      <c r="E595" s="205"/>
      <c r="F595" s="205"/>
    </row>
    <row r="596" spans="1:6" s="18" customFormat="1" ht="15" customHeight="1">
      <c r="A596" s="101"/>
      <c r="B596" s="72" t="s">
        <v>585</v>
      </c>
      <c r="C596" s="31" t="s">
        <v>754</v>
      </c>
      <c r="D596" s="242" t="s">
        <v>4132</v>
      </c>
      <c r="E596" s="31" t="s">
        <v>755</v>
      </c>
      <c r="F596" s="245" t="str">
        <f>IF(wskakunin_20setubi301_NAME="","",wskakunin_20setubi301_NAME)</f>
        <v>市川　治</v>
      </c>
    </row>
    <row r="597" spans="1:6" s="18" customFormat="1" ht="15" customHeight="1">
      <c r="A597" s="101"/>
      <c r="B597" s="72" t="s">
        <v>748</v>
      </c>
      <c r="C597" s="31" t="s">
        <v>2494</v>
      </c>
      <c r="D597" s="242" t="s">
        <v>4133</v>
      </c>
      <c r="E597" s="31" t="s">
        <v>2495</v>
      </c>
      <c r="F597" s="245" t="str">
        <f>IF(wskakunin_20setubi301_SETUBISEKKEI_KOUFU_NO="","",wskakunin_20setubi301_SETUBISEKKEI_KOUFU_NO)</f>
        <v>5555</v>
      </c>
    </row>
    <row r="598" spans="1:6" s="18" customFormat="1" ht="15" customHeight="1">
      <c r="A598" s="101"/>
      <c r="B598" s="72" t="s">
        <v>585</v>
      </c>
      <c r="C598" s="31" t="s">
        <v>756</v>
      </c>
      <c r="D598" s="242"/>
      <c r="E598" s="31" t="s">
        <v>757</v>
      </c>
      <c r="F598" s="245" t="str">
        <f>IF(wskakunin_20setubi302_NAME="","",wskakunin_20setubi302_NAME)</f>
        <v/>
      </c>
    </row>
    <row r="599" spans="1:6" s="18" customFormat="1" ht="15" customHeight="1">
      <c r="A599" s="101"/>
      <c r="B599" s="72" t="s">
        <v>748</v>
      </c>
      <c r="C599" s="31" t="s">
        <v>2496</v>
      </c>
      <c r="D599" s="242"/>
      <c r="E599" s="31" t="s">
        <v>2497</v>
      </c>
      <c r="F599" s="245" t="str">
        <f>IF(wskakunin_20setubi302_SETUBISEKKEI_KOUFU_NO="","",wskakunin_20setubi302_SETUBISEKKEI_KOUFU_NO)</f>
        <v/>
      </c>
    </row>
    <row r="600" spans="1:6" s="18" customFormat="1" ht="15" customHeight="1">
      <c r="A600" s="101"/>
      <c r="B600" s="72" t="s">
        <v>585</v>
      </c>
      <c r="C600" s="31" t="s">
        <v>758</v>
      </c>
      <c r="D600" s="242"/>
      <c r="E600" s="31" t="s">
        <v>759</v>
      </c>
      <c r="F600" s="245" t="str">
        <f>IF(wskakunin_20setubi303_NAME="","",wskakunin_20setubi303_NAME)</f>
        <v/>
      </c>
    </row>
    <row r="601" spans="1:6" s="18" customFormat="1" ht="15" customHeight="1">
      <c r="A601" s="101"/>
      <c r="B601" s="72" t="s">
        <v>748</v>
      </c>
      <c r="C601" s="31" t="s">
        <v>2498</v>
      </c>
      <c r="D601" s="242"/>
      <c r="E601" s="31" t="s">
        <v>2499</v>
      </c>
      <c r="F601" s="245" t="str">
        <f>IF(wskakunin_20setubi303_SETUBISEKKEI_KOUFU_NO="","",wskakunin_20setubi303_SETUBISEKKEI_KOUFU_NO)</f>
        <v/>
      </c>
    </row>
    <row r="602" spans="1:6" s="18" customFormat="1" ht="15" customHeight="1">
      <c r="A602" s="101"/>
      <c r="B602" s="72" t="s">
        <v>585</v>
      </c>
      <c r="C602" s="31" t="s">
        <v>2545</v>
      </c>
      <c r="D602" s="242"/>
      <c r="E602" s="31" t="s">
        <v>2546</v>
      </c>
      <c r="F602" s="245" t="str">
        <f>IF(wskakunin_20setubi304_NAME="","",wskakunin_20setubi304_NAME)</f>
        <v/>
      </c>
    </row>
    <row r="603" spans="1:6" s="18" customFormat="1" ht="15" customHeight="1">
      <c r="A603" s="101"/>
      <c r="B603" s="72" t="s">
        <v>748</v>
      </c>
      <c r="C603" s="31" t="s">
        <v>2547</v>
      </c>
      <c r="D603" s="242"/>
      <c r="E603" s="31" t="s">
        <v>2548</v>
      </c>
      <c r="F603" s="245" t="str">
        <f>IF(wskakunin_20setubi304_SETUBISEKKEI_KOUFU_NO="","",wskakunin_20setubi304_SETUBISEKKEI_KOUFU_NO)</f>
        <v/>
      </c>
    </row>
    <row r="604" spans="1:6" s="18" customFormat="1" ht="15" customHeight="1">
      <c r="A604" s="101"/>
      <c r="B604" s="72" t="s">
        <v>585</v>
      </c>
      <c r="C604" s="31" t="s">
        <v>2549</v>
      </c>
      <c r="D604" s="242"/>
      <c r="E604" s="31" t="s">
        <v>2550</v>
      </c>
      <c r="F604" s="245" t="str">
        <f>IF(wskakunin_20setubi305_NAME="","",wskakunin_20setubi305_NAME)</f>
        <v/>
      </c>
    </row>
    <row r="605" spans="1:6" s="18" customFormat="1" ht="15" customHeight="1">
      <c r="A605" s="101"/>
      <c r="B605" s="72" t="s">
        <v>748</v>
      </c>
      <c r="C605" s="31" t="s">
        <v>2551</v>
      </c>
      <c r="D605" s="242"/>
      <c r="E605" s="31" t="s">
        <v>2552</v>
      </c>
      <c r="F605" s="245" t="str">
        <f>IF(wskakunin_20setubi305_SETUBISEKKEI_KOUFU_NO="","",wskakunin_20setubi305_SETUBISEKKEI_KOUFU_NO)</f>
        <v/>
      </c>
    </row>
    <row r="606" spans="1:6" ht="15" customHeight="1">
      <c r="A606" s="49"/>
      <c r="B606" s="73"/>
    </row>
    <row r="607" spans="1:6" s="15" customFormat="1" ht="15" customHeight="1">
      <c r="A607" s="35" t="s">
        <v>554</v>
      </c>
      <c r="B607" s="36"/>
      <c r="C607" s="32"/>
      <c r="D607" s="32"/>
      <c r="E607" s="32"/>
    </row>
    <row r="608" spans="1:6" s="15" customFormat="1" ht="15" customHeight="1">
      <c r="A608" s="38" t="s">
        <v>584</v>
      </c>
      <c r="B608" s="39"/>
      <c r="C608" s="32"/>
      <c r="D608" s="32"/>
      <c r="E608" s="32"/>
    </row>
    <row r="609" spans="1:22" s="33" customFormat="1" ht="15" customHeight="1">
      <c r="A609" s="37"/>
      <c r="B609" s="76" t="s">
        <v>585</v>
      </c>
      <c r="C609" s="14" t="s">
        <v>1332</v>
      </c>
      <c r="D609" s="233"/>
      <c r="E609" s="14" t="s">
        <v>1328</v>
      </c>
      <c r="F609" s="42" t="str">
        <f>IF(wskakunin_iken1_NAME="","",wskakunin_iken1_NAME)</f>
        <v/>
      </c>
      <c r="G609" s="15"/>
    </row>
    <row r="610" spans="1:22" s="33" customFormat="1" ht="15" customHeight="1">
      <c r="A610" s="37"/>
      <c r="B610" s="76" t="s">
        <v>586</v>
      </c>
      <c r="C610" s="14" t="s">
        <v>1333</v>
      </c>
      <c r="D610" s="234"/>
      <c r="E610" s="14" t="s">
        <v>1339</v>
      </c>
      <c r="F610" s="42" t="str">
        <f>IF(wskakunin_iken1_JIMU_NAME="","",wskakunin_iken1_JIMU_NAME)</f>
        <v/>
      </c>
      <c r="G610" s="15"/>
    </row>
    <row r="611" spans="1:22" s="33" customFormat="1" ht="15" customHeight="1">
      <c r="A611" s="37"/>
      <c r="B611" s="76" t="s">
        <v>553</v>
      </c>
      <c r="C611" s="14" t="s">
        <v>1334</v>
      </c>
      <c r="D611" s="234"/>
      <c r="E611" s="14" t="s">
        <v>1340</v>
      </c>
      <c r="F611" s="42" t="str">
        <f>IF(wskakunin_iken1_ZIP="","",wskakunin_iken1_ZIP)</f>
        <v/>
      </c>
      <c r="G611" s="15"/>
      <c r="I611" s="34"/>
      <c r="J611" s="34"/>
      <c r="K611" s="34"/>
      <c r="L611" s="34"/>
      <c r="M611" s="34"/>
      <c r="N611" s="34"/>
      <c r="O611" s="34"/>
      <c r="P611" s="34"/>
      <c r="Q611" s="34"/>
      <c r="R611" s="34"/>
      <c r="S611" s="34"/>
      <c r="T611" s="34"/>
      <c r="U611" s="34"/>
      <c r="V611" s="34"/>
    </row>
    <row r="612" spans="1:22" s="33" customFormat="1" ht="15" customHeight="1">
      <c r="A612" s="37"/>
      <c r="B612" s="76" t="s">
        <v>587</v>
      </c>
      <c r="C612" s="14" t="s">
        <v>1335</v>
      </c>
      <c r="D612" s="234"/>
      <c r="E612" s="14" t="s">
        <v>1329</v>
      </c>
      <c r="F612" s="42" t="str">
        <f>IF(wskakunin_iken1__address="","",wskakunin_iken1__address)</f>
        <v/>
      </c>
      <c r="G612" s="15"/>
      <c r="I612" s="34"/>
      <c r="J612" s="34"/>
      <c r="K612" s="34"/>
      <c r="L612" s="34"/>
      <c r="M612" s="34"/>
      <c r="N612" s="34"/>
      <c r="O612" s="34"/>
      <c r="P612" s="34"/>
      <c r="Q612" s="34"/>
      <c r="R612" s="34"/>
      <c r="S612" s="34"/>
      <c r="T612" s="34"/>
      <c r="U612" s="34"/>
      <c r="V612" s="34"/>
    </row>
    <row r="613" spans="1:22" s="33" customFormat="1" ht="15" customHeight="1">
      <c r="A613" s="37"/>
      <c r="B613" s="76" t="s">
        <v>555</v>
      </c>
      <c r="C613" s="14" t="s">
        <v>1336</v>
      </c>
      <c r="D613" s="234"/>
      <c r="E613" s="14" t="s">
        <v>1330</v>
      </c>
      <c r="F613" s="42" t="str">
        <f>IF(wskakunin_iken1_TEL="","",wskakunin_iken1_TEL)</f>
        <v/>
      </c>
      <c r="G613" s="15"/>
      <c r="I613" s="34"/>
      <c r="J613" s="34"/>
      <c r="K613" s="34"/>
      <c r="L613" s="34"/>
      <c r="M613" s="34"/>
      <c r="N613" s="34"/>
      <c r="O613" s="34"/>
      <c r="P613" s="34"/>
      <c r="Q613" s="34"/>
      <c r="R613" s="34"/>
      <c r="S613" s="34"/>
      <c r="T613" s="34"/>
      <c r="U613" s="34"/>
      <c r="V613" s="34"/>
    </row>
    <row r="614" spans="1:22" s="33" customFormat="1" ht="15" customHeight="1">
      <c r="A614" s="37"/>
      <c r="B614" s="76" t="s">
        <v>556</v>
      </c>
      <c r="C614" s="14" t="s">
        <v>1337</v>
      </c>
      <c r="D614" s="234"/>
      <c r="E614" s="14" t="s">
        <v>1341</v>
      </c>
      <c r="F614" s="42" t="str">
        <f>IF(wskakunin_iken1_IKEN_NO="","",wskakunin_iken1_IKEN_NO)</f>
        <v/>
      </c>
      <c r="G614" s="15"/>
    </row>
    <row r="615" spans="1:22" s="15" customFormat="1" ht="15" customHeight="1">
      <c r="A615" s="35"/>
      <c r="B615" s="77" t="s">
        <v>557</v>
      </c>
      <c r="C615" s="32" t="s">
        <v>1338</v>
      </c>
      <c r="D615" s="233"/>
      <c r="E615" s="32" t="s">
        <v>1331</v>
      </c>
      <c r="F615" s="151" t="str">
        <f>IF(wskakunin_iken1_DOC="","",wskakunin_iken1_DOC)</f>
        <v/>
      </c>
    </row>
    <row r="616" spans="1:22" s="15" customFormat="1" ht="15" customHeight="1">
      <c r="A616" s="35"/>
      <c r="B616" s="78"/>
      <c r="C616" s="32"/>
    </row>
    <row r="617" spans="1:22" s="15" customFormat="1" ht="15" customHeight="1">
      <c r="A617" s="38" t="s">
        <v>588</v>
      </c>
      <c r="B617" s="39"/>
      <c r="C617" s="32"/>
      <c r="D617" s="32"/>
    </row>
    <row r="618" spans="1:22" s="33" customFormat="1" ht="15" customHeight="1">
      <c r="A618" s="37"/>
      <c r="B618" s="76" t="s">
        <v>585</v>
      </c>
      <c r="C618" s="14" t="s">
        <v>1349</v>
      </c>
      <c r="D618" s="246"/>
      <c r="E618" s="14" t="s">
        <v>1342</v>
      </c>
      <c r="F618" s="42" t="str">
        <f>IF(wskakunin_iken2_NAME="","",wskakunin_iken2_NAME)</f>
        <v/>
      </c>
      <c r="G618" s="15"/>
    </row>
    <row r="619" spans="1:22" s="33" customFormat="1" ht="15" customHeight="1">
      <c r="A619" s="37"/>
      <c r="B619" s="76" t="s">
        <v>586</v>
      </c>
      <c r="C619" s="14" t="s">
        <v>1350</v>
      </c>
      <c r="D619" s="246"/>
      <c r="E619" s="14" t="s">
        <v>1346</v>
      </c>
      <c r="F619" s="42" t="str">
        <f>IF(wskakunin_iken2_JIMU_NAME="","",wskakunin_iken2_JIMU_NAME)</f>
        <v/>
      </c>
      <c r="G619" s="15"/>
    </row>
    <row r="620" spans="1:22" s="33" customFormat="1" ht="15" customHeight="1">
      <c r="A620" s="37"/>
      <c r="B620" s="76" t="s">
        <v>553</v>
      </c>
      <c r="C620" s="14" t="s">
        <v>1351</v>
      </c>
      <c r="D620" s="246"/>
      <c r="E620" s="14" t="s">
        <v>1347</v>
      </c>
      <c r="F620" s="42" t="str">
        <f>IF(wskakunin_iken2_ZIP="","",wskakunin_iken2_ZIP)</f>
        <v/>
      </c>
      <c r="G620" s="15"/>
      <c r="I620" s="34"/>
      <c r="J620" s="34"/>
      <c r="K620" s="34"/>
      <c r="L620" s="34"/>
      <c r="M620" s="34"/>
      <c r="N620" s="34"/>
      <c r="O620" s="34"/>
      <c r="P620" s="34"/>
      <c r="Q620" s="34"/>
      <c r="R620" s="34"/>
      <c r="S620" s="34"/>
      <c r="T620" s="34"/>
      <c r="U620" s="34"/>
      <c r="V620" s="34"/>
    </row>
    <row r="621" spans="1:22" s="33" customFormat="1" ht="15" customHeight="1">
      <c r="A621" s="37"/>
      <c r="B621" s="76" t="s">
        <v>587</v>
      </c>
      <c r="C621" s="14" t="s">
        <v>1352</v>
      </c>
      <c r="D621" s="246"/>
      <c r="E621" s="14" t="s">
        <v>1343</v>
      </c>
      <c r="F621" s="42" t="str">
        <f>IF(wskakunin_iken2__address="","",wskakunin_iken2__address)</f>
        <v/>
      </c>
      <c r="G621" s="15"/>
      <c r="I621" s="34"/>
      <c r="J621" s="34"/>
      <c r="K621" s="34"/>
      <c r="L621" s="34"/>
      <c r="M621" s="34"/>
      <c r="N621" s="34"/>
      <c r="O621" s="34"/>
      <c r="P621" s="34"/>
      <c r="Q621" s="34"/>
      <c r="R621" s="34"/>
      <c r="S621" s="34"/>
      <c r="T621" s="34"/>
      <c r="U621" s="34"/>
      <c r="V621" s="34"/>
    </row>
    <row r="622" spans="1:22" s="33" customFormat="1" ht="15" customHeight="1">
      <c r="A622" s="37"/>
      <c r="B622" s="76" t="s">
        <v>555</v>
      </c>
      <c r="C622" s="14" t="s">
        <v>1353</v>
      </c>
      <c r="D622" s="246"/>
      <c r="E622" s="14" t="s">
        <v>1344</v>
      </c>
      <c r="F622" s="42" t="str">
        <f>IF(wskakunin_iken2_TEL="","",wskakunin_iken2_TEL)</f>
        <v/>
      </c>
      <c r="G622" s="15"/>
      <c r="I622" s="34"/>
      <c r="J622" s="34"/>
      <c r="K622" s="34"/>
      <c r="L622" s="34"/>
      <c r="M622" s="34"/>
      <c r="N622" s="34"/>
      <c r="O622" s="34"/>
      <c r="P622" s="34"/>
      <c r="Q622" s="34"/>
      <c r="R622" s="34"/>
      <c r="S622" s="34"/>
      <c r="T622" s="34"/>
      <c r="U622" s="34"/>
      <c r="V622" s="34"/>
    </row>
    <row r="623" spans="1:22" s="33" customFormat="1" ht="15" customHeight="1">
      <c r="A623" s="37"/>
      <c r="B623" s="76" t="s">
        <v>556</v>
      </c>
      <c r="C623" s="14" t="s">
        <v>1354</v>
      </c>
      <c r="D623" s="246"/>
      <c r="E623" s="14" t="s">
        <v>1348</v>
      </c>
      <c r="F623" s="42" t="str">
        <f>IF(wskakunin_iken2_IKEN_NO="","",wskakunin_iken2_IKEN_NO)</f>
        <v/>
      </c>
      <c r="G623" s="15"/>
    </row>
    <row r="624" spans="1:22" s="15" customFormat="1" ht="15" customHeight="1">
      <c r="A624" s="35"/>
      <c r="B624" s="77" t="s">
        <v>557</v>
      </c>
      <c r="C624" s="32" t="s">
        <v>1355</v>
      </c>
      <c r="D624" s="233"/>
      <c r="E624" s="32" t="s">
        <v>1345</v>
      </c>
      <c r="F624" s="151" t="str">
        <f>IF(wskakunin_iken2_DOC="","",wskakunin_iken2_DOC)</f>
        <v/>
      </c>
    </row>
    <row r="625" spans="1:22" s="15" customFormat="1" ht="15" customHeight="1">
      <c r="A625" s="35"/>
      <c r="B625" s="78"/>
      <c r="C625" s="32"/>
      <c r="D625" s="32"/>
    </row>
    <row r="626" spans="1:22" s="15" customFormat="1" ht="15" customHeight="1">
      <c r="A626" s="38" t="s">
        <v>589</v>
      </c>
      <c r="B626" s="39"/>
      <c r="C626" s="32"/>
      <c r="D626" s="32"/>
    </row>
    <row r="627" spans="1:22" s="33" customFormat="1" ht="15" customHeight="1">
      <c r="A627" s="37"/>
      <c r="B627" s="76" t="s">
        <v>585</v>
      </c>
      <c r="C627" s="14" t="s">
        <v>1372</v>
      </c>
      <c r="D627" s="234"/>
      <c r="E627" s="14" t="s">
        <v>1358</v>
      </c>
      <c r="F627" s="42" t="str">
        <f>IF(wskakunin_iken3_NAME="","",wskakunin_iken3_NAME)</f>
        <v/>
      </c>
      <c r="G627" s="15"/>
    </row>
    <row r="628" spans="1:22" s="33" customFormat="1" ht="15" customHeight="1">
      <c r="A628" s="37"/>
      <c r="B628" s="76" t="s">
        <v>586</v>
      </c>
      <c r="C628" s="14" t="s">
        <v>1373</v>
      </c>
      <c r="D628" s="234"/>
      <c r="E628" s="14" t="s">
        <v>1359</v>
      </c>
      <c r="F628" s="42" t="str">
        <f>IF(wskakunin_iken3_JIMU_NAME="","",wskakunin_iken3_JIMU_NAME)</f>
        <v/>
      </c>
      <c r="G628" s="15"/>
    </row>
    <row r="629" spans="1:22" s="33" customFormat="1" ht="15" customHeight="1">
      <c r="A629" s="37"/>
      <c r="B629" s="76" t="s">
        <v>553</v>
      </c>
      <c r="C629" s="14" t="s">
        <v>1374</v>
      </c>
      <c r="D629" s="234"/>
      <c r="E629" s="14" t="s">
        <v>1360</v>
      </c>
      <c r="F629" s="42" t="str">
        <f>IF(wskakunin_iken3_ZIP="","",wskakunin_iken3_ZIP)</f>
        <v/>
      </c>
      <c r="G629" s="15"/>
      <c r="I629" s="34"/>
      <c r="J629" s="34"/>
      <c r="K629" s="34"/>
      <c r="L629" s="34"/>
      <c r="M629" s="34"/>
      <c r="N629" s="34"/>
      <c r="O629" s="34"/>
      <c r="P629" s="34"/>
      <c r="Q629" s="34"/>
      <c r="R629" s="34"/>
      <c r="S629" s="34"/>
      <c r="T629" s="34"/>
      <c r="U629" s="34"/>
      <c r="V629" s="34"/>
    </row>
    <row r="630" spans="1:22" s="33" customFormat="1" ht="15" customHeight="1">
      <c r="A630" s="37"/>
      <c r="B630" s="76" t="s">
        <v>587</v>
      </c>
      <c r="C630" s="14" t="s">
        <v>1375</v>
      </c>
      <c r="D630" s="234"/>
      <c r="E630" s="14" t="s">
        <v>1361</v>
      </c>
      <c r="F630" s="42" t="str">
        <f>IF(wskakunin_iken3__address="","",wskakunin_iken3__address)</f>
        <v/>
      </c>
      <c r="G630" s="15"/>
      <c r="I630" s="34"/>
      <c r="J630" s="34"/>
      <c r="K630" s="34"/>
      <c r="L630" s="34"/>
      <c r="M630" s="34"/>
      <c r="N630" s="34"/>
      <c r="O630" s="34"/>
      <c r="P630" s="34"/>
      <c r="Q630" s="34"/>
      <c r="R630" s="34"/>
      <c r="S630" s="34"/>
      <c r="T630" s="34"/>
      <c r="U630" s="34"/>
      <c r="V630" s="34"/>
    </row>
    <row r="631" spans="1:22" s="33" customFormat="1" ht="15" customHeight="1">
      <c r="A631" s="37"/>
      <c r="B631" s="76" t="s">
        <v>555</v>
      </c>
      <c r="C631" s="14" t="s">
        <v>1376</v>
      </c>
      <c r="D631" s="234"/>
      <c r="E631" s="14" t="s">
        <v>1362</v>
      </c>
      <c r="F631" s="42" t="str">
        <f>IF(wskakunin_iken3_TEL="","",wskakunin_iken3_TEL)</f>
        <v/>
      </c>
      <c r="G631" s="15"/>
      <c r="I631" s="34"/>
      <c r="J631" s="34"/>
      <c r="K631" s="34"/>
      <c r="L631" s="34"/>
      <c r="M631" s="34"/>
      <c r="N631" s="34"/>
      <c r="O631" s="34"/>
      <c r="P631" s="34"/>
      <c r="Q631" s="34"/>
      <c r="R631" s="34"/>
      <c r="S631" s="34"/>
      <c r="T631" s="34"/>
      <c r="U631" s="34"/>
      <c r="V631" s="34"/>
    </row>
    <row r="632" spans="1:22" s="33" customFormat="1" ht="15" customHeight="1">
      <c r="A632" s="37"/>
      <c r="B632" s="76" t="s">
        <v>556</v>
      </c>
      <c r="C632" s="14" t="s">
        <v>1377</v>
      </c>
      <c r="D632" s="234"/>
      <c r="E632" s="14" t="s">
        <v>1363</v>
      </c>
      <c r="F632" s="42" t="str">
        <f>IF(wskakunin_iken3_IKEN_NO="","",wskakunin_iken3_IKEN_NO)</f>
        <v/>
      </c>
      <c r="G632" s="15"/>
    </row>
    <row r="633" spans="1:22" s="15" customFormat="1" ht="15" customHeight="1">
      <c r="A633" s="35"/>
      <c r="B633" s="77" t="s">
        <v>557</v>
      </c>
      <c r="C633" s="32" t="s">
        <v>1378</v>
      </c>
      <c r="D633" s="233"/>
      <c r="E633" s="32" t="s">
        <v>1364</v>
      </c>
      <c r="F633" s="151" t="str">
        <f>IF(wskakunin_iken3_DOC="","",wskakunin_iken3_DOC)</f>
        <v/>
      </c>
    </row>
    <row r="634" spans="1:22" s="15" customFormat="1" ht="15" customHeight="1">
      <c r="A634" s="35"/>
      <c r="B634" s="78"/>
      <c r="C634" s="32"/>
      <c r="D634" s="32"/>
    </row>
    <row r="635" spans="1:22" s="15" customFormat="1" ht="15" customHeight="1">
      <c r="A635" s="38" t="s">
        <v>590</v>
      </c>
      <c r="B635" s="39"/>
      <c r="C635" s="32"/>
      <c r="D635" s="32"/>
    </row>
    <row r="636" spans="1:22" s="33" customFormat="1" ht="15" customHeight="1">
      <c r="A636" s="37"/>
      <c r="B636" s="76" t="s">
        <v>585</v>
      </c>
      <c r="C636" s="14" t="s">
        <v>1379</v>
      </c>
      <c r="D636" s="234"/>
      <c r="E636" s="14" t="s">
        <v>1365</v>
      </c>
      <c r="F636" s="42" t="str">
        <f>IF(wskakunin_iken4_NAME="","",wskakunin_iken4_NAME)</f>
        <v/>
      </c>
      <c r="G636" s="15"/>
    </row>
    <row r="637" spans="1:22" s="33" customFormat="1" ht="15" customHeight="1">
      <c r="A637" s="37"/>
      <c r="B637" s="76" t="s">
        <v>586</v>
      </c>
      <c r="C637" s="14" t="s">
        <v>1380</v>
      </c>
      <c r="D637" s="234"/>
      <c r="E637" s="14" t="s">
        <v>1366</v>
      </c>
      <c r="F637" s="42" t="str">
        <f>IF(wskakunin_iken4_JIMU_NAME="","",wskakunin_iken4_JIMU_NAME)</f>
        <v/>
      </c>
      <c r="G637" s="15"/>
    </row>
    <row r="638" spans="1:22" s="33" customFormat="1" ht="15" customHeight="1">
      <c r="A638" s="37"/>
      <c r="B638" s="76" t="s">
        <v>553</v>
      </c>
      <c r="C638" s="14" t="s">
        <v>1381</v>
      </c>
      <c r="D638" s="234"/>
      <c r="E638" s="14" t="s">
        <v>1367</v>
      </c>
      <c r="F638" s="42" t="str">
        <f>IF(wskakunin_iken4_ZIP="","",wskakunin_iken4_ZIP)</f>
        <v/>
      </c>
      <c r="G638" s="15"/>
      <c r="I638" s="34"/>
      <c r="J638" s="34"/>
      <c r="K638" s="34"/>
      <c r="L638" s="34"/>
      <c r="M638" s="34"/>
      <c r="N638" s="34"/>
      <c r="O638" s="34"/>
      <c r="P638" s="34"/>
      <c r="Q638" s="34"/>
      <c r="R638" s="34"/>
      <c r="S638" s="34"/>
      <c r="T638" s="34"/>
      <c r="U638" s="34"/>
      <c r="V638" s="34"/>
    </row>
    <row r="639" spans="1:22" s="33" customFormat="1" ht="15" customHeight="1">
      <c r="A639" s="37"/>
      <c r="B639" s="76" t="s">
        <v>587</v>
      </c>
      <c r="C639" s="14" t="s">
        <v>1382</v>
      </c>
      <c r="D639" s="234"/>
      <c r="E639" s="14" t="s">
        <v>1368</v>
      </c>
      <c r="F639" s="42" t="str">
        <f>IF(wskakunin_iken4__address="","",wskakunin_iken4__address)</f>
        <v/>
      </c>
      <c r="G639" s="15"/>
      <c r="I639" s="34"/>
      <c r="J639" s="34"/>
      <c r="K639" s="34"/>
      <c r="L639" s="34"/>
      <c r="M639" s="34"/>
      <c r="N639" s="34"/>
      <c r="O639" s="34"/>
      <c r="P639" s="34"/>
      <c r="Q639" s="34"/>
      <c r="R639" s="34"/>
      <c r="S639" s="34"/>
      <c r="T639" s="34"/>
      <c r="U639" s="34"/>
      <c r="V639" s="34"/>
    </row>
    <row r="640" spans="1:22" s="33" customFormat="1" ht="15" customHeight="1">
      <c r="A640" s="37"/>
      <c r="B640" s="76" t="s">
        <v>555</v>
      </c>
      <c r="C640" s="14" t="s">
        <v>1383</v>
      </c>
      <c r="D640" s="234"/>
      <c r="E640" s="14" t="s">
        <v>1369</v>
      </c>
      <c r="F640" s="42" t="str">
        <f>IF(wskakunin_iken4_TEL="","",wskakunin_iken4_TEL)</f>
        <v/>
      </c>
      <c r="G640" s="15"/>
      <c r="I640" s="34"/>
      <c r="J640" s="34"/>
      <c r="K640" s="34"/>
      <c r="L640" s="34"/>
      <c r="M640" s="34"/>
      <c r="N640" s="34"/>
      <c r="O640" s="34"/>
      <c r="P640" s="34"/>
      <c r="Q640" s="34"/>
      <c r="R640" s="34"/>
      <c r="S640" s="34"/>
      <c r="T640" s="34"/>
      <c r="U640" s="34"/>
      <c r="V640" s="34"/>
    </row>
    <row r="641" spans="1:8" s="33" customFormat="1" ht="15" customHeight="1">
      <c r="A641" s="37"/>
      <c r="B641" s="76" t="s">
        <v>556</v>
      </c>
      <c r="C641" s="14" t="s">
        <v>1384</v>
      </c>
      <c r="D641" s="234"/>
      <c r="E641" s="14" t="s">
        <v>1370</v>
      </c>
      <c r="F641" s="42" t="str">
        <f>IF(wskakunin_iken4_IKEN_NO="","",wskakunin_iken4_IKEN_NO)</f>
        <v/>
      </c>
      <c r="G641" s="15"/>
    </row>
    <row r="642" spans="1:8" s="15" customFormat="1" ht="15" customHeight="1">
      <c r="A642" s="35"/>
      <c r="B642" s="77" t="s">
        <v>557</v>
      </c>
      <c r="C642" s="32" t="s">
        <v>1385</v>
      </c>
      <c r="D642" s="233"/>
      <c r="E642" s="32" t="s">
        <v>1371</v>
      </c>
      <c r="F642" s="151" t="str">
        <f>IF(wskakunin_iken4_DOC="","",wskakunin_iken4_DOC)</f>
        <v/>
      </c>
    </row>
    <row r="643" spans="1:8" s="15" customFormat="1" ht="15" customHeight="1">
      <c r="A643" s="38" t="s">
        <v>2579</v>
      </c>
      <c r="B643" s="208"/>
      <c r="C643" s="31"/>
      <c r="D643" s="31"/>
      <c r="E643" s="31"/>
      <c r="F643" s="31"/>
    </row>
    <row r="644" spans="1:8" s="15" customFormat="1" ht="15" customHeight="1">
      <c r="A644" s="37"/>
      <c r="B644" s="76" t="s">
        <v>585</v>
      </c>
      <c r="C644" s="14" t="s">
        <v>2580</v>
      </c>
      <c r="D644" s="234"/>
      <c r="E644" s="31" t="s">
        <v>2581</v>
      </c>
      <c r="F644" s="151" t="str">
        <f>IF(wskakunin_iken5_NAME="","",wskakunin_iken5_NAME)</f>
        <v/>
      </c>
    </row>
    <row r="645" spans="1:8" s="15" customFormat="1" ht="15" customHeight="1">
      <c r="A645" s="37"/>
      <c r="B645" s="76" t="s">
        <v>586</v>
      </c>
      <c r="C645" s="14" t="s">
        <v>2582</v>
      </c>
      <c r="D645" s="234"/>
      <c r="E645" s="31" t="s">
        <v>2583</v>
      </c>
      <c r="F645" s="151" t="str">
        <f>IF(wskakunin_iken5_JIMU_NAME="","",wskakunin_iken5_JIMU_NAME)</f>
        <v/>
      </c>
    </row>
    <row r="646" spans="1:8" s="15" customFormat="1" ht="15" customHeight="1">
      <c r="A646" s="37"/>
      <c r="B646" s="76" t="s">
        <v>553</v>
      </c>
      <c r="C646" s="14" t="s">
        <v>2584</v>
      </c>
      <c r="D646" s="234"/>
      <c r="E646" s="31" t="s">
        <v>2585</v>
      </c>
      <c r="F646" s="151" t="str">
        <f>IF(wskakunin_iken5_ZIP="","",wskakunin_iken5_ZIP)</f>
        <v/>
      </c>
    </row>
    <row r="647" spans="1:8" s="15" customFormat="1" ht="15" customHeight="1">
      <c r="A647" s="37"/>
      <c r="B647" s="76" t="s">
        <v>587</v>
      </c>
      <c r="C647" s="14" t="s">
        <v>2586</v>
      </c>
      <c r="D647" s="234"/>
      <c r="E647" s="31" t="s">
        <v>2587</v>
      </c>
      <c r="F647" s="151" t="str">
        <f>IF(wskakunin_iken5__address="","",wskakunin_iken5__address)</f>
        <v/>
      </c>
    </row>
    <row r="648" spans="1:8" s="15" customFormat="1" ht="15" customHeight="1">
      <c r="A648" s="37"/>
      <c r="B648" s="76" t="s">
        <v>555</v>
      </c>
      <c r="C648" s="14" t="s">
        <v>2588</v>
      </c>
      <c r="D648" s="234"/>
      <c r="E648" s="31" t="s">
        <v>2589</v>
      </c>
      <c r="F648" s="151" t="str">
        <f>IF(wskakunin_iken5_TEL="","",wskakunin_iken5_TEL)</f>
        <v/>
      </c>
    </row>
    <row r="649" spans="1:8" s="15" customFormat="1" ht="15" customHeight="1">
      <c r="A649" s="37"/>
      <c r="B649" s="76" t="s">
        <v>556</v>
      </c>
      <c r="C649" s="14" t="s">
        <v>2590</v>
      </c>
      <c r="D649" s="234"/>
      <c r="E649" s="31" t="s">
        <v>2591</v>
      </c>
      <c r="F649" s="151" t="str">
        <f>IF(wskakunin_iken5_IKEN_NO="","",wskakunin_iken5_IKEN_NO)</f>
        <v/>
      </c>
    </row>
    <row r="650" spans="1:8" s="15" customFormat="1" ht="15" customHeight="1">
      <c r="A650" s="35"/>
      <c r="B650" s="77" t="s">
        <v>557</v>
      </c>
      <c r="C650" s="32" t="s">
        <v>2592</v>
      </c>
      <c r="D650" s="234"/>
      <c r="E650" s="31" t="s">
        <v>2593</v>
      </c>
      <c r="F650" s="151" t="str">
        <f>IF(wskakunin_iken5_DOC="","",wskakunin_iken5_DOC)</f>
        <v/>
      </c>
    </row>
    <row r="651" spans="1:8" s="31" customFormat="1" ht="15" customHeight="1">
      <c r="A651" s="209"/>
      <c r="B651" s="78"/>
      <c r="G651" s="15"/>
    </row>
    <row r="652" spans="1:8" ht="15" customHeight="1">
      <c r="A652" s="1" t="s">
        <v>598</v>
      </c>
      <c r="B652" s="42" t="s">
        <v>760</v>
      </c>
      <c r="G652" s="15"/>
      <c r="H652" s="15"/>
    </row>
    <row r="653" spans="1:8" ht="15" customHeight="1">
      <c r="A653" s="25"/>
      <c r="B653" s="69" t="s">
        <v>542</v>
      </c>
      <c r="C653" s="14" t="s">
        <v>761</v>
      </c>
      <c r="D653" s="151" t="s">
        <v>4149</v>
      </c>
      <c r="E653" s="14" t="s">
        <v>762</v>
      </c>
      <c r="F653" s="151" t="str">
        <f>IF(wskakunin_kanri1__sikaku="", "", wskakunin_kanri1__sikaku)</f>
        <v>一級建築士国土交通大臣登録第12121212号</v>
      </c>
      <c r="G653" s="15"/>
      <c r="H653" s="15"/>
    </row>
    <row r="654" spans="1:8" ht="15" customHeight="1">
      <c r="A654" s="25"/>
      <c r="B654" s="69" t="s">
        <v>543</v>
      </c>
      <c r="C654" s="14" t="s">
        <v>763</v>
      </c>
      <c r="D654" s="151" t="s">
        <v>120</v>
      </c>
      <c r="E654" s="14" t="s">
        <v>1392</v>
      </c>
      <c r="F654" s="151" t="str">
        <f>IF(wskakunin_kanri1_SIKAKU__label="", "", wskakunin_kanri1_SIKAKU__label)</f>
        <v>一級</v>
      </c>
      <c r="G654" s="15"/>
      <c r="H654" s="15"/>
    </row>
    <row r="655" spans="1:8" ht="15" customHeight="1">
      <c r="A655" s="30"/>
      <c r="B655" s="75" t="s">
        <v>538</v>
      </c>
      <c r="C655" s="14" t="s">
        <v>1320</v>
      </c>
      <c r="D655" s="151" t="s">
        <v>4147</v>
      </c>
      <c r="E655" s="14" t="s">
        <v>764</v>
      </c>
      <c r="F655" s="151" t="str">
        <f>IF(wskakunin_kanri1_TOUROKU_KIKAN__label="","",wskakunin_kanri1_TOUROKU_KIKAN__label)</f>
        <v>国土交通大臣</v>
      </c>
      <c r="G655" s="15"/>
      <c r="H655" s="15"/>
    </row>
    <row r="656" spans="1:8" ht="15" customHeight="1">
      <c r="A656" s="30"/>
      <c r="B656" s="75" t="s">
        <v>539</v>
      </c>
      <c r="C656" s="14" t="s">
        <v>765</v>
      </c>
      <c r="D656" s="233" t="s">
        <v>4151</v>
      </c>
      <c r="E656" s="14" t="s">
        <v>766</v>
      </c>
      <c r="F656" s="151" t="str">
        <f>IF(wskakunin_kanri1_KENTIKUSI_NO="","",wskakunin_kanri1_KENTIKUSI_NO)</f>
        <v>12121212</v>
      </c>
      <c r="G656" s="15"/>
      <c r="H656" s="15"/>
    </row>
    <row r="657" spans="1:8" ht="15" customHeight="1">
      <c r="A657" s="58"/>
      <c r="B657" s="69" t="s">
        <v>7</v>
      </c>
      <c r="C657" s="14" t="s">
        <v>767</v>
      </c>
      <c r="D657" s="151" t="s">
        <v>4152</v>
      </c>
      <c r="E657" s="14" t="s">
        <v>768</v>
      </c>
      <c r="F657" s="151" t="str">
        <f>IF(wskakunin_kanri1_NAME="", "", wskakunin_kanri1_NAME)</f>
        <v>髙橋　一郎</v>
      </c>
      <c r="G657" s="15"/>
      <c r="H657" s="15"/>
    </row>
    <row r="658" spans="1:8" ht="15" customHeight="1">
      <c r="A658" s="58"/>
      <c r="B658" s="69" t="s">
        <v>544</v>
      </c>
      <c r="C658" s="14" t="s">
        <v>769</v>
      </c>
      <c r="D658" s="151" t="s">
        <v>4141</v>
      </c>
      <c r="E658" s="14" t="s">
        <v>770</v>
      </c>
      <c r="F658" s="151" t="str">
        <f>IF(wskakunin_kanri1_JIMU__sikaku="", "", wskakunin_kanri1_JIMU__sikaku)</f>
        <v>一級建築士事務所東京都知事登録第11111号</v>
      </c>
      <c r="G658" s="15"/>
      <c r="H658" s="15"/>
    </row>
    <row r="659" spans="1:8" ht="15" customHeight="1">
      <c r="A659" s="42"/>
      <c r="B659" s="75" t="s">
        <v>36</v>
      </c>
      <c r="C659" s="14" t="s">
        <v>771</v>
      </c>
      <c r="D659" s="151" t="s">
        <v>120</v>
      </c>
      <c r="E659" s="14" t="s">
        <v>1393</v>
      </c>
      <c r="F659" s="151" t="str">
        <f>IF(wskakunin_kanri1_JIMU_SIKAKU__label="","",wskakunin_kanri1_JIMU_SIKAKU__label)</f>
        <v>一級</v>
      </c>
      <c r="G659" s="15"/>
      <c r="H659" s="15"/>
    </row>
    <row r="660" spans="1:8" ht="15" customHeight="1">
      <c r="A660" s="42"/>
      <c r="B660" s="75" t="s">
        <v>545</v>
      </c>
      <c r="C660" s="14" t="s">
        <v>1321</v>
      </c>
      <c r="D660" s="151" t="s">
        <v>475</v>
      </c>
      <c r="E660" s="14" t="s">
        <v>772</v>
      </c>
      <c r="F660" s="151" t="str">
        <f>IF(wskakunin_kanri1_JIMU_TOUROKU_KIKAN__label="","",wskakunin_kanri1_JIMU_TOUROKU_KIKAN__label)</f>
        <v>東京都</v>
      </c>
      <c r="G660" s="15"/>
      <c r="H660" s="15"/>
    </row>
    <row r="661" spans="1:8" ht="15" customHeight="1">
      <c r="A661" s="42"/>
      <c r="B661" s="75" t="s">
        <v>546</v>
      </c>
      <c r="C661" s="14" t="s">
        <v>773</v>
      </c>
      <c r="D661" s="151">
        <v>11111</v>
      </c>
      <c r="E661" s="14" t="s">
        <v>774</v>
      </c>
      <c r="F661" s="151">
        <f>IF(wskakunin_kanri1_JIMU_NO="","",wskakunin_kanri1_JIMU_NO)</f>
        <v>11111</v>
      </c>
      <c r="G661" s="15"/>
      <c r="H661" s="15"/>
    </row>
    <row r="662" spans="1:8" ht="15" customHeight="1">
      <c r="A662" s="58"/>
      <c r="B662" s="69" t="s">
        <v>37</v>
      </c>
      <c r="C662" s="14" t="s">
        <v>775</v>
      </c>
      <c r="D662" s="151" t="s">
        <v>4142</v>
      </c>
      <c r="E662" s="14" t="s">
        <v>776</v>
      </c>
      <c r="F662" s="151" t="str">
        <f>IF(wskakunin_kanri1_JIMU_NAME="", "", wskakunin_kanri1_JIMU_NAME)</f>
        <v>一級建築士事務所　UHEC</v>
      </c>
      <c r="G662" s="15"/>
      <c r="H662" s="15"/>
    </row>
    <row r="663" spans="1:8" ht="15" customHeight="1">
      <c r="A663" s="58"/>
      <c r="B663" s="69" t="s">
        <v>8</v>
      </c>
      <c r="C663" s="14" t="s">
        <v>777</v>
      </c>
      <c r="D663" s="233" t="s">
        <v>4148</v>
      </c>
      <c r="E663" s="14" t="s">
        <v>778</v>
      </c>
      <c r="F663" s="151" t="str">
        <f>IF(wskakunin_kanri1_ZIP="", "", wskakunin_kanri1_ZIP)</f>
        <v>105-0001</v>
      </c>
      <c r="G663" s="15"/>
      <c r="H663" s="15"/>
    </row>
    <row r="664" spans="1:8" ht="15" customHeight="1">
      <c r="A664" s="58"/>
      <c r="B664" s="69"/>
      <c r="E664" s="14" t="s">
        <v>2646</v>
      </c>
      <c r="F664" s="151" t="str">
        <f>IF(wskakunin_kanri1_ZIP="","",LEFT(wskakunin_kanri1_ZIP,3)&amp;RIGHT(wskakunin_kanri1_ZIP,4))</f>
        <v>1050001</v>
      </c>
      <c r="G664" s="15"/>
      <c r="H664" s="15"/>
    </row>
    <row r="665" spans="1:8" ht="15" customHeight="1">
      <c r="A665" s="58"/>
      <c r="B665" s="69" t="s">
        <v>12</v>
      </c>
      <c r="C665" s="14" t="s">
        <v>779</v>
      </c>
      <c r="D665" s="151" t="s">
        <v>4139</v>
      </c>
      <c r="E665" s="14" t="s">
        <v>780</v>
      </c>
      <c r="F665" s="151" t="str">
        <f>IF(wskakunin_kanri1__address="", "", wskakunin_kanri1__address)</f>
        <v>東京都港区虎ノ門1-1-21</v>
      </c>
      <c r="G665" s="15"/>
      <c r="H665" s="15"/>
    </row>
    <row r="666" spans="1:8" ht="15" customHeight="1">
      <c r="A666" s="58"/>
      <c r="B666" s="69" t="s">
        <v>10</v>
      </c>
      <c r="C666" s="14" t="s">
        <v>781</v>
      </c>
      <c r="D666" s="233" t="s">
        <v>4146</v>
      </c>
      <c r="E666" s="14" t="s">
        <v>782</v>
      </c>
      <c r="F666" s="151" t="str">
        <f>IF(wskakunin_kanri1_TEL="", "", wskakunin_kanri1_TEL)</f>
        <v>03-3504-2386</v>
      </c>
      <c r="G666" s="15"/>
      <c r="H666" s="15"/>
    </row>
    <row r="667" spans="1:8" ht="15" customHeight="1">
      <c r="A667" s="58"/>
      <c r="B667" s="69" t="s">
        <v>578</v>
      </c>
      <c r="C667" s="14" t="s">
        <v>783</v>
      </c>
      <c r="D667" s="233" t="s">
        <v>4150</v>
      </c>
      <c r="E667" s="14" t="s">
        <v>784</v>
      </c>
      <c r="F667" s="151" t="str">
        <f>IF(wskakunin_kanri1_DOC="","",wskakunin_kanri1_DOC)</f>
        <v>全ての設計図書</v>
      </c>
      <c r="G667" s="15"/>
      <c r="H667" s="15"/>
    </row>
    <row r="668" spans="1:8" ht="15" customHeight="1">
      <c r="A668" s="42"/>
      <c r="B668" s="72"/>
      <c r="G668" s="15"/>
      <c r="H668" s="15"/>
    </row>
    <row r="669" spans="1:8" ht="15" customHeight="1">
      <c r="A669" s="43" t="s">
        <v>599</v>
      </c>
      <c r="B669" s="42" t="s">
        <v>1891</v>
      </c>
      <c r="G669" s="15"/>
      <c r="H669" s="15"/>
    </row>
    <row r="670" spans="1:8" ht="15" customHeight="1">
      <c r="A670" s="25"/>
      <c r="B670" s="69" t="s">
        <v>542</v>
      </c>
      <c r="C670" s="14" t="s">
        <v>785</v>
      </c>
      <c r="D670" s="151"/>
      <c r="E670" s="14" t="s">
        <v>786</v>
      </c>
      <c r="F670" s="151" t="str">
        <f>IF(wskakunin_kanri2__sikaku="", "", wskakunin_kanri2__sikaku)</f>
        <v/>
      </c>
      <c r="G670" s="15"/>
      <c r="H670" s="15"/>
    </row>
    <row r="671" spans="1:8" ht="15" customHeight="1">
      <c r="A671" s="25"/>
      <c r="B671" s="69" t="s">
        <v>543</v>
      </c>
      <c r="C671" s="14" t="s">
        <v>787</v>
      </c>
      <c r="D671" s="151"/>
      <c r="E671" s="14" t="s">
        <v>1394</v>
      </c>
      <c r="F671" s="151" t="str">
        <f>IF(wskakunin_kanri2_SIKAKU__label="", "", wskakunin_kanri2_SIKAKU__label)</f>
        <v/>
      </c>
      <c r="G671" s="15"/>
      <c r="H671" s="15"/>
    </row>
    <row r="672" spans="1:8" ht="15" customHeight="1">
      <c r="A672" s="30"/>
      <c r="B672" s="75" t="s">
        <v>538</v>
      </c>
      <c r="C672" s="14" t="s">
        <v>1322</v>
      </c>
      <c r="D672" s="151"/>
      <c r="E672" s="14" t="s">
        <v>788</v>
      </c>
      <c r="F672" s="151" t="str">
        <f>IF(wskakunin_kanri2_TOUROKU_KIKAN__label="","",wskakunin_kanri2_TOUROKU_KIKAN__label)</f>
        <v/>
      </c>
      <c r="G672" s="15"/>
      <c r="H672" s="15"/>
    </row>
    <row r="673" spans="1:8" ht="15" customHeight="1">
      <c r="A673" s="30"/>
      <c r="B673" s="75" t="s">
        <v>539</v>
      </c>
      <c r="C673" s="14" t="s">
        <v>789</v>
      </c>
      <c r="D673" s="233"/>
      <c r="E673" s="14" t="s">
        <v>790</v>
      </c>
      <c r="F673" s="151" t="str">
        <f>IF(wskakunin_kanri2_KENTIKUSI_NO="","",wskakunin_kanri2_KENTIKUSI_NO)</f>
        <v/>
      </c>
      <c r="G673" s="15"/>
      <c r="H673" s="15"/>
    </row>
    <row r="674" spans="1:8" ht="15" customHeight="1">
      <c r="A674" s="58"/>
      <c r="B674" s="69" t="s">
        <v>7</v>
      </c>
      <c r="C674" s="14" t="s">
        <v>791</v>
      </c>
      <c r="D674" s="151"/>
      <c r="E674" s="14" t="s">
        <v>792</v>
      </c>
      <c r="F674" s="151" t="str">
        <f>IF(wskakunin_kanri2_NAME="", "", wskakunin_kanri2_NAME)</f>
        <v/>
      </c>
      <c r="G674" s="15"/>
      <c r="H674" s="15"/>
    </row>
    <row r="675" spans="1:8" ht="15" customHeight="1">
      <c r="A675" s="58"/>
      <c r="B675" s="69" t="s">
        <v>544</v>
      </c>
      <c r="C675" s="14" t="s">
        <v>793</v>
      </c>
      <c r="D675" s="151"/>
      <c r="E675" s="14" t="s">
        <v>794</v>
      </c>
      <c r="F675" s="151" t="str">
        <f>IF(wskakunin_kanri2_JIMU__sikaku="", "", wskakunin_kanri2_JIMU__sikaku)</f>
        <v/>
      </c>
      <c r="G675" s="15"/>
      <c r="H675" s="15"/>
    </row>
    <row r="676" spans="1:8" ht="15" customHeight="1">
      <c r="A676" s="42"/>
      <c r="B676" s="75" t="s">
        <v>36</v>
      </c>
      <c r="C676" s="14" t="s">
        <v>795</v>
      </c>
      <c r="D676" s="151"/>
      <c r="E676" s="14" t="s">
        <v>1395</v>
      </c>
      <c r="F676" s="151" t="str">
        <f>IF(wskakunin_kanri2_JIMU_SIKAKU__label="","",wskakunin_kanri2_JIMU_SIKAKU__label)</f>
        <v/>
      </c>
      <c r="G676" s="15"/>
      <c r="H676" s="15"/>
    </row>
    <row r="677" spans="1:8" ht="15" customHeight="1">
      <c r="A677" s="42"/>
      <c r="B677" s="75" t="s">
        <v>545</v>
      </c>
      <c r="C677" s="14" t="s">
        <v>1323</v>
      </c>
      <c r="D677" s="151"/>
      <c r="E677" s="14" t="s">
        <v>796</v>
      </c>
      <c r="F677" s="151" t="str">
        <f>IF(wskakunin_kanri2_JIMU_TOUROKU_KIKAN__label="","",wskakunin_kanri2_JIMU_TOUROKU_KIKAN__label)</f>
        <v/>
      </c>
      <c r="G677" s="15"/>
      <c r="H677" s="15"/>
    </row>
    <row r="678" spans="1:8" ht="15" customHeight="1">
      <c r="A678" s="42"/>
      <c r="B678" s="75" t="s">
        <v>546</v>
      </c>
      <c r="C678" s="14" t="s">
        <v>797</v>
      </c>
      <c r="D678" s="233"/>
      <c r="E678" s="14" t="s">
        <v>798</v>
      </c>
      <c r="F678" s="151" t="str">
        <f>IF(wskakunin_kanri2_JIMU_NO="","",wskakunin_kanri2_JIMU_NO)</f>
        <v/>
      </c>
      <c r="G678" s="15"/>
      <c r="H678" s="15"/>
    </row>
    <row r="679" spans="1:8" ht="15" customHeight="1">
      <c r="A679" s="58"/>
      <c r="B679" s="69" t="s">
        <v>37</v>
      </c>
      <c r="C679" s="14" t="s">
        <v>799</v>
      </c>
      <c r="D679" s="151"/>
      <c r="E679" s="14" t="s">
        <v>800</v>
      </c>
      <c r="F679" s="151" t="str">
        <f>IF(wskakunin_kanri2_JIMU_NAME="", "", wskakunin_kanri2_JIMU_NAME)</f>
        <v/>
      </c>
      <c r="G679" s="15"/>
      <c r="H679" s="15"/>
    </row>
    <row r="680" spans="1:8" ht="15" customHeight="1">
      <c r="A680" s="58"/>
      <c r="B680" s="69" t="s">
        <v>8</v>
      </c>
      <c r="C680" s="14" t="s">
        <v>801</v>
      </c>
      <c r="D680" s="233"/>
      <c r="E680" s="14" t="s">
        <v>802</v>
      </c>
      <c r="F680" s="151" t="str">
        <f>IF(wskakunin_kanri2_ZIP="", "", wskakunin_kanri2_ZIP)</f>
        <v/>
      </c>
      <c r="G680" s="15"/>
      <c r="H680" s="15"/>
    </row>
    <row r="681" spans="1:8" ht="15" customHeight="1">
      <c r="A681" s="58"/>
      <c r="B681" s="69" t="s">
        <v>12</v>
      </c>
      <c r="C681" s="14" t="s">
        <v>803</v>
      </c>
      <c r="D681" s="151"/>
      <c r="E681" s="14" t="s">
        <v>804</v>
      </c>
      <c r="F681" s="151" t="str">
        <f>IF(wskakunin_kanri2__address="", "", wskakunin_kanri2__address)</f>
        <v/>
      </c>
      <c r="G681" s="15"/>
      <c r="H681" s="15"/>
    </row>
    <row r="682" spans="1:8" ht="15" customHeight="1">
      <c r="A682" s="58"/>
      <c r="B682" s="69" t="s">
        <v>10</v>
      </c>
      <c r="C682" s="14" t="s">
        <v>805</v>
      </c>
      <c r="D682" s="233"/>
      <c r="E682" s="14" t="s">
        <v>806</v>
      </c>
      <c r="F682" s="151" t="str">
        <f>IF(wskakunin_kanri2_TEL="", "", wskakunin_kanri2_TEL)</f>
        <v/>
      </c>
      <c r="G682" s="15"/>
      <c r="H682" s="15"/>
    </row>
    <row r="683" spans="1:8" ht="15" customHeight="1">
      <c r="A683" s="58"/>
      <c r="B683" s="69" t="s">
        <v>578</v>
      </c>
      <c r="C683" s="14" t="s">
        <v>807</v>
      </c>
      <c r="D683" s="233"/>
      <c r="E683" s="14" t="s">
        <v>808</v>
      </c>
      <c r="F683" s="151" t="str">
        <f>IF(wskakunin_kanri2_DOC="","",wskakunin_kanri2_DOC)</f>
        <v/>
      </c>
      <c r="G683" s="15"/>
      <c r="H683" s="15"/>
    </row>
    <row r="684" spans="1:8" ht="15" customHeight="1">
      <c r="A684" s="102"/>
      <c r="B684" s="72"/>
      <c r="G684" s="15"/>
      <c r="H684" s="15"/>
    </row>
    <row r="685" spans="1:8" ht="15" customHeight="1">
      <c r="A685" s="43" t="s">
        <v>600</v>
      </c>
      <c r="B685" s="42" t="s">
        <v>1891</v>
      </c>
      <c r="G685" s="15"/>
      <c r="H685" s="15"/>
    </row>
    <row r="686" spans="1:8" ht="15" customHeight="1">
      <c r="A686" s="25"/>
      <c r="B686" s="69" t="s">
        <v>542</v>
      </c>
      <c r="C686" s="14" t="s">
        <v>809</v>
      </c>
      <c r="D686" s="151"/>
      <c r="E686" s="14" t="s">
        <v>810</v>
      </c>
      <c r="F686" s="151" t="str">
        <f>IF(wskakunin_kanri3__sikaku="", "", wskakunin_kanri3__sikaku)</f>
        <v/>
      </c>
      <c r="G686" s="15"/>
      <c r="H686" s="15"/>
    </row>
    <row r="687" spans="1:8" ht="15" customHeight="1">
      <c r="A687" s="25"/>
      <c r="B687" s="69" t="s">
        <v>543</v>
      </c>
      <c r="C687" s="14" t="s">
        <v>811</v>
      </c>
      <c r="D687" s="151"/>
      <c r="E687" s="14" t="s">
        <v>1396</v>
      </c>
      <c r="F687" s="151" t="str">
        <f>IF(wskakunin_kanri3_SIKAKU__label="", "", wskakunin_kanri3_SIKAKU__label)</f>
        <v/>
      </c>
      <c r="G687" s="15"/>
      <c r="H687" s="15"/>
    </row>
    <row r="688" spans="1:8" ht="15" customHeight="1">
      <c r="A688" s="30"/>
      <c r="B688" s="75" t="s">
        <v>538</v>
      </c>
      <c r="C688" s="14" t="s">
        <v>1324</v>
      </c>
      <c r="D688" s="151"/>
      <c r="E688" s="14" t="s">
        <v>812</v>
      </c>
      <c r="F688" s="151" t="str">
        <f>IF(wskakunin_kanri3_TOUROKU_KIKAN__label="","",wskakunin_kanri3_TOUROKU_KIKAN__label)</f>
        <v/>
      </c>
      <c r="G688" s="15"/>
      <c r="H688" s="15"/>
    </row>
    <row r="689" spans="1:8" ht="15" customHeight="1">
      <c r="A689" s="30"/>
      <c r="B689" s="75" t="s">
        <v>539</v>
      </c>
      <c r="C689" s="14" t="s">
        <v>813</v>
      </c>
      <c r="D689" s="233"/>
      <c r="E689" s="14" t="s">
        <v>814</v>
      </c>
      <c r="F689" s="151" t="str">
        <f>IF(wskakunin_kanri3_KENTIKUSI_NO="","",wskakunin_kanri3_KENTIKUSI_NO)</f>
        <v/>
      </c>
      <c r="G689" s="15"/>
      <c r="H689" s="15"/>
    </row>
    <row r="690" spans="1:8" ht="15" customHeight="1">
      <c r="A690" s="58"/>
      <c r="B690" s="69" t="s">
        <v>7</v>
      </c>
      <c r="C690" s="14" t="s">
        <v>815</v>
      </c>
      <c r="D690" s="151"/>
      <c r="E690" s="14" t="s">
        <v>816</v>
      </c>
      <c r="F690" s="151" t="str">
        <f>IF(wskakunin_kanri3_NAME="", "", wskakunin_kanri3_NAME)</f>
        <v/>
      </c>
      <c r="G690" s="15"/>
      <c r="H690" s="15"/>
    </row>
    <row r="691" spans="1:8" ht="15" customHeight="1">
      <c r="A691" s="58"/>
      <c r="B691" s="69" t="s">
        <v>544</v>
      </c>
      <c r="C691" s="14" t="s">
        <v>817</v>
      </c>
      <c r="D691" s="151"/>
      <c r="E691" s="14" t="s">
        <v>818</v>
      </c>
      <c r="F691" s="151" t="str">
        <f>IF(wskakunin_kanri3_JIMU__sikaku="", "", wskakunin_kanri3_JIMU__sikaku)</f>
        <v/>
      </c>
      <c r="G691" s="15"/>
      <c r="H691" s="15"/>
    </row>
    <row r="692" spans="1:8" ht="15" customHeight="1">
      <c r="A692" s="42"/>
      <c r="B692" s="75" t="s">
        <v>36</v>
      </c>
      <c r="C692" s="14" t="s">
        <v>819</v>
      </c>
      <c r="D692" s="151"/>
      <c r="E692" s="14" t="s">
        <v>1397</v>
      </c>
      <c r="F692" s="151" t="str">
        <f>IF(wskakunin_kanri3_JIMU_SIKAKU__label="","",wskakunin_kanri3_JIMU_SIKAKU__label)</f>
        <v/>
      </c>
      <c r="G692" s="15"/>
      <c r="H692" s="15"/>
    </row>
    <row r="693" spans="1:8" ht="15" customHeight="1">
      <c r="A693" s="42"/>
      <c r="B693" s="75" t="s">
        <v>545</v>
      </c>
      <c r="C693" s="14" t="s">
        <v>1325</v>
      </c>
      <c r="D693" s="151"/>
      <c r="E693" s="14" t="s">
        <v>820</v>
      </c>
      <c r="F693" s="151" t="str">
        <f>IF(wskakunin_kanri3_JIMU_TOUROKU_KIKAN__label="","",wskakunin_kanri3_JIMU_TOUROKU_KIKAN__label)</f>
        <v/>
      </c>
      <c r="G693" s="15"/>
      <c r="H693" s="15"/>
    </row>
    <row r="694" spans="1:8" ht="15" customHeight="1">
      <c r="A694" s="42"/>
      <c r="B694" s="75" t="s">
        <v>546</v>
      </c>
      <c r="C694" s="14" t="s">
        <v>821</v>
      </c>
      <c r="D694" s="233"/>
      <c r="E694" s="14" t="s">
        <v>822</v>
      </c>
      <c r="F694" s="151" t="str">
        <f>IF(wskakunin_kanri3_JIMU_NO="","",wskakunin_kanri3_JIMU_NO)</f>
        <v/>
      </c>
      <c r="G694" s="15"/>
      <c r="H694" s="15"/>
    </row>
    <row r="695" spans="1:8" ht="15" customHeight="1">
      <c r="A695" s="58"/>
      <c r="B695" s="69" t="s">
        <v>37</v>
      </c>
      <c r="C695" s="14" t="s">
        <v>823</v>
      </c>
      <c r="D695" s="151"/>
      <c r="E695" s="14" t="s">
        <v>824</v>
      </c>
      <c r="F695" s="151" t="str">
        <f>IF(wskakunin_kanri3_JIMU_NAME="", "", wskakunin_kanri3_JIMU_NAME)</f>
        <v/>
      </c>
      <c r="G695" s="15"/>
      <c r="H695" s="15"/>
    </row>
    <row r="696" spans="1:8" ht="15" customHeight="1">
      <c r="A696" s="58"/>
      <c r="B696" s="69" t="s">
        <v>8</v>
      </c>
      <c r="C696" s="14" t="s">
        <v>825</v>
      </c>
      <c r="D696" s="233"/>
      <c r="E696" s="14" t="s">
        <v>826</v>
      </c>
      <c r="F696" s="151" t="str">
        <f>IF(wskakunin_kanri3_ZIP="", "", wskakunin_kanri3_ZIP)</f>
        <v/>
      </c>
      <c r="G696" s="15"/>
      <c r="H696" s="15"/>
    </row>
    <row r="697" spans="1:8" ht="15" customHeight="1">
      <c r="A697" s="58"/>
      <c r="B697" s="69" t="s">
        <v>12</v>
      </c>
      <c r="C697" s="14" t="s">
        <v>827</v>
      </c>
      <c r="D697" s="151"/>
      <c r="E697" s="14" t="s">
        <v>828</v>
      </c>
      <c r="F697" s="151" t="str">
        <f>IF(wskakunin_kanri3__address="", "", wskakunin_kanri3__address)</f>
        <v/>
      </c>
      <c r="G697" s="15"/>
      <c r="H697" s="15"/>
    </row>
    <row r="698" spans="1:8" ht="15" customHeight="1">
      <c r="A698" s="58"/>
      <c r="B698" s="69" t="s">
        <v>10</v>
      </c>
      <c r="C698" s="14" t="s">
        <v>829</v>
      </c>
      <c r="D698" s="233"/>
      <c r="E698" s="14" t="s">
        <v>830</v>
      </c>
      <c r="F698" s="151" t="str">
        <f>IF(wskakunin_kanri3_TEL="", "", wskakunin_kanri3_TEL)</f>
        <v/>
      </c>
      <c r="G698" s="15"/>
      <c r="H698" s="15"/>
    </row>
    <row r="699" spans="1:8" ht="15" customHeight="1">
      <c r="A699" s="58"/>
      <c r="B699" s="69" t="s">
        <v>578</v>
      </c>
      <c r="C699" s="14" t="s">
        <v>831</v>
      </c>
      <c r="D699" s="233"/>
      <c r="E699" s="14" t="s">
        <v>832</v>
      </c>
      <c r="F699" s="151" t="str">
        <f>IF(wskakunin_kanri3_DOC="","",wskakunin_kanri3_DOC)</f>
        <v/>
      </c>
      <c r="G699" s="15"/>
      <c r="H699" s="15"/>
    </row>
    <row r="700" spans="1:8" ht="15" customHeight="1">
      <c r="A700" s="42"/>
      <c r="B700" s="72"/>
      <c r="G700" s="15"/>
      <c r="H700" s="15"/>
    </row>
    <row r="701" spans="1:8" ht="15" customHeight="1">
      <c r="A701" s="43" t="s">
        <v>601</v>
      </c>
      <c r="B701" s="42" t="s">
        <v>1891</v>
      </c>
      <c r="G701" s="15"/>
      <c r="H701" s="15"/>
    </row>
    <row r="702" spans="1:8" ht="15" customHeight="1">
      <c r="A702" s="25"/>
      <c r="B702" s="69" t="s">
        <v>542</v>
      </c>
      <c r="C702" s="14" t="s">
        <v>833</v>
      </c>
      <c r="D702" s="151"/>
      <c r="E702" s="14" t="s">
        <v>834</v>
      </c>
      <c r="F702" s="151" t="str">
        <f>IF(wskakunin_kanri4__sikaku="", "", wskakunin_kanri4__sikaku)</f>
        <v/>
      </c>
      <c r="G702" s="15"/>
      <c r="H702" s="15"/>
    </row>
    <row r="703" spans="1:8" ht="15" customHeight="1">
      <c r="A703" s="25"/>
      <c r="B703" s="69" t="s">
        <v>543</v>
      </c>
      <c r="C703" s="14" t="s">
        <v>835</v>
      </c>
      <c r="D703" s="151"/>
      <c r="E703" s="14" t="s">
        <v>1398</v>
      </c>
      <c r="F703" s="151" t="str">
        <f>IF(wskakunin_kanri4_SIKAKU__label="", "", wskakunin_kanri4_SIKAKU__label)</f>
        <v/>
      </c>
      <c r="G703" s="15"/>
      <c r="H703" s="15"/>
    </row>
    <row r="704" spans="1:8" ht="15" customHeight="1">
      <c r="A704" s="30"/>
      <c r="B704" s="75" t="s">
        <v>538</v>
      </c>
      <c r="C704" s="14" t="s">
        <v>1326</v>
      </c>
      <c r="D704" s="151"/>
      <c r="E704" s="14" t="s">
        <v>836</v>
      </c>
      <c r="F704" s="151" t="str">
        <f>IF(wskakunin_kanri4_TOUROKU_KIKAN__label="","",wskakunin_kanri4_TOUROKU_KIKAN__label)</f>
        <v/>
      </c>
      <c r="G704" s="15"/>
      <c r="H704" s="15"/>
    </row>
    <row r="705" spans="1:8" ht="15" customHeight="1">
      <c r="A705" s="30"/>
      <c r="B705" s="75" t="s">
        <v>539</v>
      </c>
      <c r="C705" s="14" t="s">
        <v>837</v>
      </c>
      <c r="D705" s="233"/>
      <c r="E705" s="14" t="s">
        <v>838</v>
      </c>
      <c r="F705" s="151" t="str">
        <f>IF(wskakunin_kanri4_KENTIKUSI_NO="","",wskakunin_kanri4_KENTIKUSI_NO)</f>
        <v/>
      </c>
      <c r="G705" s="15"/>
      <c r="H705" s="15"/>
    </row>
    <row r="706" spans="1:8" ht="15" customHeight="1">
      <c r="A706" s="58"/>
      <c r="B706" s="69" t="s">
        <v>7</v>
      </c>
      <c r="C706" s="14" t="s">
        <v>839</v>
      </c>
      <c r="D706" s="151"/>
      <c r="E706" s="14" t="s">
        <v>840</v>
      </c>
      <c r="F706" s="151" t="str">
        <f>IF(wskakunin_kanri4_NAME="", "", wskakunin_kanri4_NAME)</f>
        <v/>
      </c>
      <c r="G706" s="15"/>
      <c r="H706" s="15"/>
    </row>
    <row r="707" spans="1:8" ht="15" customHeight="1">
      <c r="A707" s="58"/>
      <c r="B707" s="69" t="s">
        <v>544</v>
      </c>
      <c r="C707" s="14" t="s">
        <v>841</v>
      </c>
      <c r="D707" s="151"/>
      <c r="E707" s="14" t="s">
        <v>842</v>
      </c>
      <c r="F707" s="151" t="str">
        <f>IF(wskakunin_kanri4_JIMU__sikaku="", "", wskakunin_kanri4_JIMU__sikaku)</f>
        <v/>
      </c>
      <c r="G707" s="15"/>
      <c r="H707" s="15"/>
    </row>
    <row r="708" spans="1:8" ht="15" customHeight="1">
      <c r="A708" s="42"/>
      <c r="B708" s="75" t="s">
        <v>36</v>
      </c>
      <c r="C708" s="14" t="s">
        <v>843</v>
      </c>
      <c r="D708" s="151"/>
      <c r="E708" s="14" t="s">
        <v>1391</v>
      </c>
      <c r="F708" s="151" t="str">
        <f>IF(wskakunin_kanri4_JIMU_SIKAKU__label="","",wskakunin_kanri4_JIMU_SIKAKU__label)</f>
        <v/>
      </c>
      <c r="G708" s="15"/>
      <c r="H708" s="15"/>
    </row>
    <row r="709" spans="1:8" ht="15" customHeight="1">
      <c r="A709" s="42"/>
      <c r="B709" s="75" t="s">
        <v>545</v>
      </c>
      <c r="C709" s="14" t="s">
        <v>1327</v>
      </c>
      <c r="D709" s="151"/>
      <c r="E709" s="14" t="s">
        <v>844</v>
      </c>
      <c r="F709" s="151" t="str">
        <f>IF(wskakunin_kanri4_JIMU_TOUROKU_KIKAN__label="","",wskakunin_kanri4_JIMU_TOUROKU_KIKAN__label)</f>
        <v/>
      </c>
      <c r="G709" s="15"/>
      <c r="H709" s="15"/>
    </row>
    <row r="710" spans="1:8" ht="15" customHeight="1">
      <c r="A710" s="42"/>
      <c r="B710" s="75" t="s">
        <v>546</v>
      </c>
      <c r="C710" s="14" t="s">
        <v>845</v>
      </c>
      <c r="D710" s="233"/>
      <c r="E710" s="14" t="s">
        <v>846</v>
      </c>
      <c r="F710" s="151" t="str">
        <f>IF(wskakunin_kanri4_JIMU_NO="","",wskakunin_kanri4_JIMU_NO)</f>
        <v/>
      </c>
      <c r="G710" s="15"/>
      <c r="H710" s="15"/>
    </row>
    <row r="711" spans="1:8" ht="15" customHeight="1">
      <c r="A711" s="58"/>
      <c r="B711" s="69" t="s">
        <v>37</v>
      </c>
      <c r="C711" s="14" t="s">
        <v>847</v>
      </c>
      <c r="D711" s="151"/>
      <c r="E711" s="14" t="s">
        <v>848</v>
      </c>
      <c r="F711" s="151" t="str">
        <f>IF(wskakunin_kanri4_JIMU_NAME="", "", wskakunin_kanri4_JIMU_NAME)</f>
        <v/>
      </c>
      <c r="G711" s="15"/>
      <c r="H711" s="15"/>
    </row>
    <row r="712" spans="1:8" ht="15" customHeight="1">
      <c r="A712" s="58"/>
      <c r="B712" s="69" t="s">
        <v>8</v>
      </c>
      <c r="C712" s="14" t="s">
        <v>849</v>
      </c>
      <c r="D712" s="233"/>
      <c r="E712" s="14" t="s">
        <v>850</v>
      </c>
      <c r="F712" s="151" t="str">
        <f>IF(wskakunin_kanri4_ZIP="", "", wskakunin_kanri4_ZIP)</f>
        <v/>
      </c>
      <c r="G712" s="15"/>
      <c r="H712" s="15"/>
    </row>
    <row r="713" spans="1:8" ht="15" customHeight="1">
      <c r="A713" s="58"/>
      <c r="B713" s="69" t="s">
        <v>12</v>
      </c>
      <c r="C713" s="14" t="s">
        <v>851</v>
      </c>
      <c r="D713" s="151"/>
      <c r="E713" s="14" t="s">
        <v>852</v>
      </c>
      <c r="F713" s="151" t="str">
        <f>IF(wskakunin_kanri4__address="", "", wskakunin_kanri4__address)</f>
        <v/>
      </c>
      <c r="G713" s="15"/>
      <c r="H713" s="15"/>
    </row>
    <row r="714" spans="1:8" ht="15" customHeight="1">
      <c r="A714" s="58"/>
      <c r="B714" s="69" t="s">
        <v>10</v>
      </c>
      <c r="C714" s="14" t="s">
        <v>853</v>
      </c>
      <c r="D714" s="233"/>
      <c r="E714" s="14" t="s">
        <v>854</v>
      </c>
      <c r="F714" s="151" t="str">
        <f>IF(wskakunin_kanri4_TEL="", "", wskakunin_kanri4_TEL)</f>
        <v/>
      </c>
      <c r="G714" s="15"/>
      <c r="H714" s="15"/>
    </row>
    <row r="715" spans="1:8" ht="15" customHeight="1">
      <c r="A715" s="58"/>
      <c r="B715" s="69" t="s">
        <v>578</v>
      </c>
      <c r="C715" s="14" t="s">
        <v>855</v>
      </c>
      <c r="D715" s="233"/>
      <c r="E715" s="14" t="s">
        <v>856</v>
      </c>
      <c r="F715" s="151" t="str">
        <f>IF(wskakunin_kanri4_DOC="","",wskakunin_kanri4_DOC)</f>
        <v/>
      </c>
      <c r="G715" s="15"/>
      <c r="H715" s="15"/>
    </row>
    <row r="716" spans="1:8" ht="15" customHeight="1">
      <c r="A716" s="42"/>
      <c r="B716" s="73"/>
      <c r="G716" s="15"/>
      <c r="H716" s="15"/>
    </row>
    <row r="717" spans="1:8" ht="15" customHeight="1">
      <c r="A717" s="43" t="s">
        <v>2088</v>
      </c>
      <c r="B717" s="42" t="s">
        <v>1891</v>
      </c>
      <c r="G717" s="15"/>
      <c r="H717" s="15"/>
    </row>
    <row r="718" spans="1:8" ht="15" customHeight="1">
      <c r="A718" s="25"/>
      <c r="B718" s="69" t="s">
        <v>542</v>
      </c>
      <c r="C718" s="14" t="s">
        <v>1892</v>
      </c>
      <c r="D718" s="151"/>
      <c r="E718" s="14" t="s">
        <v>1893</v>
      </c>
      <c r="F718" s="151" t="str">
        <f>IF(wskakunin_kanri5__sikaku="", "", wskakunin_kanri5__sikaku)</f>
        <v/>
      </c>
      <c r="H718" s="15"/>
    </row>
    <row r="719" spans="1:8" ht="15" customHeight="1">
      <c r="A719" s="25"/>
      <c r="B719" s="69" t="s">
        <v>543</v>
      </c>
      <c r="C719" s="14" t="s">
        <v>1894</v>
      </c>
      <c r="D719" s="151"/>
      <c r="E719" s="14" t="s">
        <v>1895</v>
      </c>
      <c r="F719" s="151" t="str">
        <f>IF(wskakunin_kanri5_SIKAKU__label="", "", wskakunin_kanri5_SIKAKU__label)</f>
        <v/>
      </c>
      <c r="H719" s="15"/>
    </row>
    <row r="720" spans="1:8" ht="15" customHeight="1">
      <c r="A720" s="30"/>
      <c r="B720" s="75" t="s">
        <v>538</v>
      </c>
      <c r="C720" s="14" t="s">
        <v>1896</v>
      </c>
      <c r="D720" s="151"/>
      <c r="E720" s="14" t="s">
        <v>1897</v>
      </c>
      <c r="F720" s="151" t="str">
        <f>IF(wskakunin_kanri5_TOUROKU_KIKAN__label="","",wskakunin_kanri5_TOUROKU_KIKAN__label)</f>
        <v/>
      </c>
      <c r="H720" s="15"/>
    </row>
    <row r="721" spans="1:8" ht="15" customHeight="1">
      <c r="A721" s="30"/>
      <c r="B721" s="75" t="s">
        <v>539</v>
      </c>
      <c r="C721" s="14" t="s">
        <v>1898</v>
      </c>
      <c r="D721" s="233"/>
      <c r="E721" s="14" t="s">
        <v>1899</v>
      </c>
      <c r="F721" s="151" t="str">
        <f>IF(wskakunin_kanri5_KENTIKUSI_NO="","",wskakunin_kanri5_KENTIKUSI_NO)</f>
        <v/>
      </c>
      <c r="H721" s="15"/>
    </row>
    <row r="722" spans="1:8" ht="15" customHeight="1">
      <c r="A722" s="58"/>
      <c r="B722" s="69" t="s">
        <v>7</v>
      </c>
      <c r="C722" s="14" t="s">
        <v>1900</v>
      </c>
      <c r="D722" s="151"/>
      <c r="E722" s="14" t="s">
        <v>1901</v>
      </c>
      <c r="F722" s="151" t="str">
        <f>IF(wskakunin_kanri5_NAME="", "", wskakunin_kanri5_NAME)</f>
        <v/>
      </c>
      <c r="H722" s="15"/>
    </row>
    <row r="723" spans="1:8" ht="15" customHeight="1">
      <c r="A723" s="58"/>
      <c r="B723" s="69" t="s">
        <v>544</v>
      </c>
      <c r="C723" s="14" t="s">
        <v>1902</v>
      </c>
      <c r="D723" s="151"/>
      <c r="E723" s="14" t="s">
        <v>1903</v>
      </c>
      <c r="F723" s="151" t="str">
        <f>IF(wskakunin_kanri5_JIMU__sikaku="", "", wskakunin_kanri5_JIMU__sikaku)</f>
        <v/>
      </c>
      <c r="H723" s="15"/>
    </row>
    <row r="724" spans="1:8" ht="15" customHeight="1">
      <c r="A724" s="42"/>
      <c r="B724" s="75" t="s">
        <v>36</v>
      </c>
      <c r="C724" s="14" t="s">
        <v>1904</v>
      </c>
      <c r="D724" s="151"/>
      <c r="E724" s="14" t="s">
        <v>1905</v>
      </c>
      <c r="F724" s="151" t="str">
        <f>IF(wskakunin_kanri5_JIMU_SIKAKU__label="","",wskakunin_kanri5_JIMU_SIKAKU__label)</f>
        <v/>
      </c>
      <c r="H724" s="15"/>
    </row>
    <row r="725" spans="1:8" ht="15" customHeight="1">
      <c r="A725" s="42"/>
      <c r="B725" s="75" t="s">
        <v>545</v>
      </c>
      <c r="C725" s="14" t="s">
        <v>1906</v>
      </c>
      <c r="D725" s="151"/>
      <c r="E725" s="14" t="s">
        <v>1907</v>
      </c>
      <c r="F725" s="151" t="str">
        <f>IF(wskakunin_kanri5_JIMU_TOUROKU_KIKAN__label="","",wskakunin_kanri5_JIMU_TOUROKU_KIKAN__label)</f>
        <v/>
      </c>
      <c r="H725" s="15"/>
    </row>
    <row r="726" spans="1:8" ht="15" customHeight="1">
      <c r="A726" s="42"/>
      <c r="B726" s="75" t="s">
        <v>546</v>
      </c>
      <c r="C726" s="14" t="s">
        <v>1908</v>
      </c>
      <c r="D726" s="233"/>
      <c r="E726" s="14" t="s">
        <v>1909</v>
      </c>
      <c r="F726" s="151" t="str">
        <f>IF(wskakunin_kanri5_JIMU_NO="","",wskakunin_kanri5_JIMU_NO)</f>
        <v/>
      </c>
      <c r="H726" s="15"/>
    </row>
    <row r="727" spans="1:8" ht="15" customHeight="1">
      <c r="A727" s="58"/>
      <c r="B727" s="69" t="s">
        <v>37</v>
      </c>
      <c r="C727" s="14" t="s">
        <v>1910</v>
      </c>
      <c r="D727" s="151"/>
      <c r="E727" s="14" t="s">
        <v>1911</v>
      </c>
      <c r="F727" s="151" t="str">
        <f>IF(wskakunin_kanri5_JIMU_NAME="", "", wskakunin_kanri5_JIMU_NAME)</f>
        <v/>
      </c>
      <c r="H727" s="15"/>
    </row>
    <row r="728" spans="1:8" ht="15" customHeight="1">
      <c r="A728" s="58"/>
      <c r="B728" s="69" t="s">
        <v>8</v>
      </c>
      <c r="C728" s="14" t="s">
        <v>1912</v>
      </c>
      <c r="D728" s="233"/>
      <c r="E728" s="14" t="s">
        <v>1913</v>
      </c>
      <c r="F728" s="151" t="str">
        <f>IF(wskakunin_kanri5_ZIP="", "", wskakunin_kanri5_ZIP)</f>
        <v/>
      </c>
      <c r="H728" s="15"/>
    </row>
    <row r="729" spans="1:8" ht="15" customHeight="1">
      <c r="A729" s="58"/>
      <c r="B729" s="69" t="s">
        <v>12</v>
      </c>
      <c r="C729" s="14" t="s">
        <v>1914</v>
      </c>
      <c r="D729" s="151"/>
      <c r="E729" s="14" t="s">
        <v>1915</v>
      </c>
      <c r="F729" s="151" t="str">
        <f>IF(wskakunin_kanri5__address="", "", wskakunin_kanri5__address)</f>
        <v/>
      </c>
      <c r="H729" s="15"/>
    </row>
    <row r="730" spans="1:8" ht="15" customHeight="1">
      <c r="A730" s="58"/>
      <c r="B730" s="69" t="s">
        <v>10</v>
      </c>
      <c r="C730" s="14" t="s">
        <v>1916</v>
      </c>
      <c r="D730" s="233"/>
      <c r="E730" s="14" t="s">
        <v>1917</v>
      </c>
      <c r="F730" s="151" t="str">
        <f>IF(wskakunin_kanri5_TEL="", "", wskakunin_kanri5_TEL)</f>
        <v/>
      </c>
      <c r="H730" s="15"/>
    </row>
    <row r="731" spans="1:8" ht="15" customHeight="1">
      <c r="A731" s="58"/>
      <c r="B731" s="69" t="s">
        <v>578</v>
      </c>
      <c r="C731" s="14" t="s">
        <v>1918</v>
      </c>
      <c r="D731" s="233"/>
      <c r="E731" s="14" t="s">
        <v>1919</v>
      </c>
      <c r="F731" s="151" t="str">
        <f>IF(wskakunin_kanri5_DOC="","",wskakunin_kanri5_DOC)</f>
        <v/>
      </c>
      <c r="H731" s="15"/>
    </row>
    <row r="732" spans="1:8" ht="15" customHeight="1">
      <c r="A732" s="42"/>
      <c r="B732" s="72"/>
      <c r="H732" s="15"/>
    </row>
    <row r="733" spans="1:8" ht="15" customHeight="1">
      <c r="A733" s="43" t="s">
        <v>2089</v>
      </c>
      <c r="B733" s="42" t="s">
        <v>1891</v>
      </c>
      <c r="H733" s="15"/>
    </row>
    <row r="734" spans="1:8" ht="15" customHeight="1">
      <c r="A734" s="25"/>
      <c r="B734" s="69" t="s">
        <v>542</v>
      </c>
      <c r="C734" s="14" t="s">
        <v>1920</v>
      </c>
      <c r="D734" s="151"/>
      <c r="E734" s="14" t="s">
        <v>1921</v>
      </c>
      <c r="F734" s="151" t="str">
        <f>IF(wskakunin_kanri6__sikaku="", "", wskakunin_kanri6__sikaku)</f>
        <v/>
      </c>
      <c r="H734" s="15"/>
    </row>
    <row r="735" spans="1:8" ht="15" customHeight="1">
      <c r="A735" s="25"/>
      <c r="B735" s="69" t="s">
        <v>543</v>
      </c>
      <c r="C735" s="14" t="s">
        <v>1922</v>
      </c>
      <c r="D735" s="151"/>
      <c r="E735" s="14" t="s">
        <v>1923</v>
      </c>
      <c r="F735" s="151" t="str">
        <f>IF(wskakunin_kanri6_SIKAKU__label="", "", wskakunin_kanri6_SIKAKU__label)</f>
        <v/>
      </c>
      <c r="H735" s="15"/>
    </row>
    <row r="736" spans="1:8" ht="15" customHeight="1">
      <c r="A736" s="30"/>
      <c r="B736" s="75" t="s">
        <v>538</v>
      </c>
      <c r="C736" s="14" t="s">
        <v>1924</v>
      </c>
      <c r="D736" s="151"/>
      <c r="E736" s="14" t="s">
        <v>1925</v>
      </c>
      <c r="F736" s="151" t="str">
        <f>IF(wskakunin_kanri6_TOUROKU_KIKAN__label="","",wskakunin_kanri6_TOUROKU_KIKAN__label)</f>
        <v/>
      </c>
      <c r="H736" s="15"/>
    </row>
    <row r="737" spans="1:8" ht="15" customHeight="1">
      <c r="A737" s="30"/>
      <c r="B737" s="75" t="s">
        <v>539</v>
      </c>
      <c r="C737" s="14" t="s">
        <v>1926</v>
      </c>
      <c r="D737" s="233"/>
      <c r="E737" s="14" t="s">
        <v>1927</v>
      </c>
      <c r="F737" s="151" t="str">
        <f>IF(wskakunin_kanri6_KENTIKUSI_NO="","",wskakunin_kanri6_KENTIKUSI_NO)</f>
        <v/>
      </c>
      <c r="H737" s="15"/>
    </row>
    <row r="738" spans="1:8" ht="15" customHeight="1">
      <c r="A738" s="58"/>
      <c r="B738" s="69" t="s">
        <v>7</v>
      </c>
      <c r="C738" s="14" t="s">
        <v>1928</v>
      </c>
      <c r="D738" s="151"/>
      <c r="E738" s="14" t="s">
        <v>1929</v>
      </c>
      <c r="F738" s="151" t="str">
        <f>IF(wskakunin_kanri6_NAME="", "", wskakunin_kanri6_NAME)</f>
        <v/>
      </c>
      <c r="H738" s="15"/>
    </row>
    <row r="739" spans="1:8" ht="15" customHeight="1">
      <c r="A739" s="58"/>
      <c r="B739" s="69" t="s">
        <v>544</v>
      </c>
      <c r="C739" s="14" t="s">
        <v>1930</v>
      </c>
      <c r="D739" s="151"/>
      <c r="E739" s="14" t="s">
        <v>1931</v>
      </c>
      <c r="F739" s="151" t="str">
        <f>IF(wskakunin_kanri6_JIMU__sikaku="", "", wskakunin_kanri6_JIMU__sikaku)</f>
        <v/>
      </c>
      <c r="H739" s="15"/>
    </row>
    <row r="740" spans="1:8" ht="15" customHeight="1">
      <c r="A740" s="42"/>
      <c r="B740" s="75" t="s">
        <v>36</v>
      </c>
      <c r="C740" s="14" t="s">
        <v>1932</v>
      </c>
      <c r="D740" s="151"/>
      <c r="E740" s="14" t="s">
        <v>1933</v>
      </c>
      <c r="F740" s="151" t="str">
        <f>IF(wskakunin_kanri6_JIMU_SIKAKU__label="","",wskakunin_kanri6_JIMU_SIKAKU__label)</f>
        <v/>
      </c>
      <c r="H740" s="15"/>
    </row>
    <row r="741" spans="1:8" ht="15" customHeight="1">
      <c r="A741" s="42"/>
      <c r="B741" s="75" t="s">
        <v>545</v>
      </c>
      <c r="C741" s="14" t="s">
        <v>1934</v>
      </c>
      <c r="D741" s="151"/>
      <c r="E741" s="14" t="s">
        <v>1935</v>
      </c>
      <c r="F741" s="151" t="str">
        <f>IF(wskakunin_kanri6_JIMU_TOUROKU_KIKAN__label="","",wskakunin_kanri6_JIMU_TOUROKU_KIKAN__label)</f>
        <v/>
      </c>
      <c r="H741" s="15"/>
    </row>
    <row r="742" spans="1:8" ht="15" customHeight="1">
      <c r="A742" s="42"/>
      <c r="B742" s="75" t="s">
        <v>546</v>
      </c>
      <c r="C742" s="14" t="s">
        <v>1936</v>
      </c>
      <c r="D742" s="233"/>
      <c r="E742" s="14" t="s">
        <v>1937</v>
      </c>
      <c r="F742" s="151" t="str">
        <f>IF(wskakunin_kanri6_JIMU_NO="","",wskakunin_kanri6_JIMU_NO)</f>
        <v/>
      </c>
      <c r="H742" s="15"/>
    </row>
    <row r="743" spans="1:8" ht="15" customHeight="1">
      <c r="A743" s="58"/>
      <c r="B743" s="69" t="s">
        <v>37</v>
      </c>
      <c r="C743" s="14" t="s">
        <v>1938</v>
      </c>
      <c r="D743" s="151"/>
      <c r="E743" s="14" t="s">
        <v>1939</v>
      </c>
      <c r="F743" s="151" t="str">
        <f>IF(wskakunin_kanri6_JIMU_NAME="", "", wskakunin_kanri6_JIMU_NAME)</f>
        <v/>
      </c>
      <c r="H743" s="15"/>
    </row>
    <row r="744" spans="1:8" ht="15" customHeight="1">
      <c r="A744" s="58"/>
      <c r="B744" s="69" t="s">
        <v>8</v>
      </c>
      <c r="C744" s="14" t="s">
        <v>1940</v>
      </c>
      <c r="D744" s="233"/>
      <c r="E744" s="14" t="s">
        <v>1941</v>
      </c>
      <c r="F744" s="151" t="str">
        <f>IF(wskakunin_kanri6_ZIP="", "", wskakunin_kanri6_ZIP)</f>
        <v/>
      </c>
      <c r="H744" s="15"/>
    </row>
    <row r="745" spans="1:8" ht="15" customHeight="1">
      <c r="A745" s="58"/>
      <c r="B745" s="69" t="s">
        <v>12</v>
      </c>
      <c r="C745" s="14" t="s">
        <v>1942</v>
      </c>
      <c r="D745" s="151"/>
      <c r="E745" s="14" t="s">
        <v>1943</v>
      </c>
      <c r="F745" s="151" t="str">
        <f>IF(wskakunin_kanri6__address="", "", wskakunin_kanri6__address)</f>
        <v/>
      </c>
      <c r="H745" s="15"/>
    </row>
    <row r="746" spans="1:8" ht="15" customHeight="1">
      <c r="A746" s="58"/>
      <c r="B746" s="69" t="s">
        <v>10</v>
      </c>
      <c r="C746" s="14" t="s">
        <v>1944</v>
      </c>
      <c r="D746" s="233"/>
      <c r="E746" s="14" t="s">
        <v>1945</v>
      </c>
      <c r="F746" s="151" t="str">
        <f>IF(wskakunin_kanri6_TEL="", "", wskakunin_kanri6_TEL)</f>
        <v/>
      </c>
      <c r="H746" s="15"/>
    </row>
    <row r="747" spans="1:8" ht="15" customHeight="1">
      <c r="A747" s="58"/>
      <c r="B747" s="69" t="s">
        <v>578</v>
      </c>
      <c r="C747" s="14" t="s">
        <v>1946</v>
      </c>
      <c r="D747" s="233"/>
      <c r="E747" s="14" t="s">
        <v>1947</v>
      </c>
      <c r="F747" s="151" t="str">
        <f>IF(wskakunin_kanri6_DOC="","",wskakunin_kanri6_DOC)</f>
        <v/>
      </c>
      <c r="H747" s="15"/>
    </row>
    <row r="748" spans="1:8" ht="15" customHeight="1">
      <c r="A748" s="42"/>
      <c r="B748" s="72"/>
      <c r="H748" s="15"/>
    </row>
    <row r="749" spans="1:8" ht="15" customHeight="1">
      <c r="A749" s="43" t="s">
        <v>2090</v>
      </c>
      <c r="B749" s="42" t="s">
        <v>1891</v>
      </c>
      <c r="H749" s="15"/>
    </row>
    <row r="750" spans="1:8" ht="15" customHeight="1">
      <c r="A750" s="25"/>
      <c r="B750" s="69" t="s">
        <v>542</v>
      </c>
      <c r="C750" s="14" t="s">
        <v>1948</v>
      </c>
      <c r="D750" s="151"/>
      <c r="E750" s="14" t="s">
        <v>1949</v>
      </c>
      <c r="F750" s="151" t="str">
        <f>IF(wskakunin_kanri7__sikaku="", "", wskakunin_kanri7__sikaku)</f>
        <v/>
      </c>
      <c r="H750" s="15"/>
    </row>
    <row r="751" spans="1:8" ht="15" customHeight="1">
      <c r="A751" s="25"/>
      <c r="B751" s="69" t="s">
        <v>543</v>
      </c>
      <c r="C751" s="14" t="s">
        <v>1950</v>
      </c>
      <c r="D751" s="151"/>
      <c r="E751" s="14" t="s">
        <v>1951</v>
      </c>
      <c r="F751" s="151" t="str">
        <f>IF(wskakunin_kanri7_SIKAKU__label="", "", wskakunin_kanri7_SIKAKU__label)</f>
        <v/>
      </c>
      <c r="H751" s="15"/>
    </row>
    <row r="752" spans="1:8" ht="15" customHeight="1">
      <c r="A752" s="30"/>
      <c r="B752" s="75" t="s">
        <v>538</v>
      </c>
      <c r="C752" s="14" t="s">
        <v>1952</v>
      </c>
      <c r="D752" s="151"/>
      <c r="E752" s="14" t="s">
        <v>1953</v>
      </c>
      <c r="F752" s="151" t="str">
        <f>IF(wskakunin_kanri7_TOUROKU_KIKAN__label="","",wskakunin_kanri7_TOUROKU_KIKAN__label)</f>
        <v/>
      </c>
      <c r="H752" s="15"/>
    </row>
    <row r="753" spans="1:8" ht="15" customHeight="1">
      <c r="A753" s="30"/>
      <c r="B753" s="75" t="s">
        <v>539</v>
      </c>
      <c r="C753" s="14" t="s">
        <v>1954</v>
      </c>
      <c r="D753" s="233"/>
      <c r="E753" s="14" t="s">
        <v>1955</v>
      </c>
      <c r="F753" s="151" t="str">
        <f>IF(wskakunin_kanri7_KENTIKUSI_NO="","",wskakunin_kanri7_KENTIKUSI_NO)</f>
        <v/>
      </c>
      <c r="H753" s="15"/>
    </row>
    <row r="754" spans="1:8" ht="15" customHeight="1">
      <c r="A754" s="58"/>
      <c r="B754" s="69" t="s">
        <v>7</v>
      </c>
      <c r="C754" s="14" t="s">
        <v>1956</v>
      </c>
      <c r="D754" s="151"/>
      <c r="E754" s="14" t="s">
        <v>1957</v>
      </c>
      <c r="F754" s="151" t="str">
        <f>IF(wskakunin_kanri7_NAME="", "", wskakunin_kanri7_NAME)</f>
        <v/>
      </c>
      <c r="H754" s="15"/>
    </row>
    <row r="755" spans="1:8" ht="15" customHeight="1">
      <c r="A755" s="58"/>
      <c r="B755" s="69" t="s">
        <v>544</v>
      </c>
      <c r="C755" s="14" t="s">
        <v>1958</v>
      </c>
      <c r="D755" s="151"/>
      <c r="E755" s="14" t="s">
        <v>1959</v>
      </c>
      <c r="F755" s="151" t="str">
        <f>IF(wskakunin_kanri7_JIMU__sikaku="", "", wskakunin_kanri7_JIMU__sikaku)</f>
        <v/>
      </c>
      <c r="H755" s="15"/>
    </row>
    <row r="756" spans="1:8" ht="15" customHeight="1">
      <c r="A756" s="42"/>
      <c r="B756" s="75" t="s">
        <v>36</v>
      </c>
      <c r="C756" s="14" t="s">
        <v>1960</v>
      </c>
      <c r="D756" s="151"/>
      <c r="E756" s="14" t="s">
        <v>1961</v>
      </c>
      <c r="F756" s="151" t="str">
        <f>IF(wskakunin_kanri7_JIMU_SIKAKU__label="","",wskakunin_kanri7_JIMU_SIKAKU__label)</f>
        <v/>
      </c>
      <c r="H756" s="15"/>
    </row>
    <row r="757" spans="1:8" ht="15" customHeight="1">
      <c r="A757" s="42"/>
      <c r="B757" s="75" t="s">
        <v>545</v>
      </c>
      <c r="C757" s="14" t="s">
        <v>1962</v>
      </c>
      <c r="D757" s="151"/>
      <c r="E757" s="14" t="s">
        <v>1963</v>
      </c>
      <c r="F757" s="151" t="str">
        <f>IF(wskakunin_kanri7_JIMU_TOUROKU_KIKAN__label="","",wskakunin_kanri7_JIMU_TOUROKU_KIKAN__label)</f>
        <v/>
      </c>
      <c r="H757" s="15"/>
    </row>
    <row r="758" spans="1:8" ht="15" customHeight="1">
      <c r="A758" s="42"/>
      <c r="B758" s="75" t="s">
        <v>546</v>
      </c>
      <c r="C758" s="14" t="s">
        <v>1964</v>
      </c>
      <c r="D758" s="233"/>
      <c r="E758" s="14" t="s">
        <v>1965</v>
      </c>
      <c r="F758" s="151" t="str">
        <f>IF(wskakunin_kanri7_JIMU_NO="","",wskakunin_kanri7_JIMU_NO)</f>
        <v/>
      </c>
      <c r="H758" s="15"/>
    </row>
    <row r="759" spans="1:8" ht="15" customHeight="1">
      <c r="A759" s="58"/>
      <c r="B759" s="69" t="s">
        <v>37</v>
      </c>
      <c r="C759" s="14" t="s">
        <v>1966</v>
      </c>
      <c r="D759" s="151"/>
      <c r="E759" s="14" t="s">
        <v>1967</v>
      </c>
      <c r="F759" s="151" t="str">
        <f>IF(wskakunin_kanri7_JIMU_NAME="", "", wskakunin_kanri7_JIMU_NAME)</f>
        <v/>
      </c>
      <c r="H759" s="15"/>
    </row>
    <row r="760" spans="1:8" ht="15" customHeight="1">
      <c r="A760" s="58"/>
      <c r="B760" s="69" t="s">
        <v>8</v>
      </c>
      <c r="C760" s="14" t="s">
        <v>1968</v>
      </c>
      <c r="D760" s="233"/>
      <c r="E760" s="14" t="s">
        <v>1969</v>
      </c>
      <c r="F760" s="151" t="str">
        <f>IF(wskakunin_kanri7_ZIP="", "", wskakunin_kanri7_ZIP)</f>
        <v/>
      </c>
      <c r="H760" s="15"/>
    </row>
    <row r="761" spans="1:8" ht="15" customHeight="1">
      <c r="A761" s="58"/>
      <c r="B761" s="69" t="s">
        <v>12</v>
      </c>
      <c r="C761" s="14" t="s">
        <v>1970</v>
      </c>
      <c r="D761" s="151"/>
      <c r="E761" s="14" t="s">
        <v>1971</v>
      </c>
      <c r="F761" s="151" t="str">
        <f>IF(wskakunin_kanri7__address="", "", wskakunin_kanri7__address)</f>
        <v/>
      </c>
      <c r="H761" s="15"/>
    </row>
    <row r="762" spans="1:8" ht="15" customHeight="1">
      <c r="A762" s="58"/>
      <c r="B762" s="69" t="s">
        <v>10</v>
      </c>
      <c r="C762" s="14" t="s">
        <v>1972</v>
      </c>
      <c r="D762" s="233"/>
      <c r="E762" s="14" t="s">
        <v>1973</v>
      </c>
      <c r="F762" s="151" t="str">
        <f>IF(wskakunin_kanri7_TEL="", "", wskakunin_kanri7_TEL)</f>
        <v/>
      </c>
      <c r="H762" s="15"/>
    </row>
    <row r="763" spans="1:8" ht="15" customHeight="1">
      <c r="A763" s="58"/>
      <c r="B763" s="69" t="s">
        <v>578</v>
      </c>
      <c r="C763" s="14" t="s">
        <v>1974</v>
      </c>
      <c r="D763" s="233"/>
      <c r="E763" s="14" t="s">
        <v>1975</v>
      </c>
      <c r="F763" s="151" t="str">
        <f>IF(wskakunin_kanri7_DOC="","",wskakunin_kanri7_DOC)</f>
        <v/>
      </c>
      <c r="H763" s="15"/>
    </row>
    <row r="764" spans="1:8" ht="15" customHeight="1">
      <c r="A764" s="42"/>
      <c r="B764" s="72"/>
      <c r="H764" s="15"/>
    </row>
    <row r="765" spans="1:8" ht="15" customHeight="1">
      <c r="A765" s="43" t="s">
        <v>2091</v>
      </c>
      <c r="B765" s="42" t="s">
        <v>1891</v>
      </c>
      <c r="H765" s="15"/>
    </row>
    <row r="766" spans="1:8" ht="15" customHeight="1">
      <c r="A766" s="25"/>
      <c r="B766" s="69" t="s">
        <v>542</v>
      </c>
      <c r="C766" s="14" t="s">
        <v>1976</v>
      </c>
      <c r="D766" s="151"/>
      <c r="E766" s="14" t="s">
        <v>1977</v>
      </c>
      <c r="F766" s="151" t="str">
        <f>IF(wskakunin_kanri8__sikaku="", "", wskakunin_kanri8__sikaku)</f>
        <v/>
      </c>
      <c r="H766" s="15"/>
    </row>
    <row r="767" spans="1:8" ht="15" customHeight="1">
      <c r="A767" s="25"/>
      <c r="B767" s="69" t="s">
        <v>543</v>
      </c>
      <c r="C767" s="14" t="s">
        <v>1978</v>
      </c>
      <c r="D767" s="151"/>
      <c r="E767" s="14" t="s">
        <v>1979</v>
      </c>
      <c r="F767" s="151" t="str">
        <f>IF(wskakunin_kanri8_SIKAKU__label="", "", wskakunin_kanri8_SIKAKU__label)</f>
        <v/>
      </c>
      <c r="H767" s="15"/>
    </row>
    <row r="768" spans="1:8" ht="15" customHeight="1">
      <c r="A768" s="30"/>
      <c r="B768" s="75" t="s">
        <v>538</v>
      </c>
      <c r="C768" s="14" t="s">
        <v>1980</v>
      </c>
      <c r="D768" s="151"/>
      <c r="E768" s="14" t="s">
        <v>1981</v>
      </c>
      <c r="F768" s="151" t="str">
        <f>IF(wskakunin_kanri8_TOUROKU_KIKAN__label="","",wskakunin_kanri8_TOUROKU_KIKAN__label)</f>
        <v/>
      </c>
      <c r="H768" s="15"/>
    </row>
    <row r="769" spans="1:8" ht="15" customHeight="1">
      <c r="A769" s="30"/>
      <c r="B769" s="75" t="s">
        <v>539</v>
      </c>
      <c r="C769" s="14" t="s">
        <v>1982</v>
      </c>
      <c r="D769" s="233"/>
      <c r="E769" s="14" t="s">
        <v>1983</v>
      </c>
      <c r="F769" s="151" t="str">
        <f>IF(wskakunin_kanri8_KENTIKUSI_NO="","",wskakunin_kanri8_KENTIKUSI_NO)</f>
        <v/>
      </c>
      <c r="H769" s="15"/>
    </row>
    <row r="770" spans="1:8" ht="15" customHeight="1">
      <c r="A770" s="58"/>
      <c r="B770" s="69" t="s">
        <v>7</v>
      </c>
      <c r="C770" s="14" t="s">
        <v>1984</v>
      </c>
      <c r="D770" s="151"/>
      <c r="E770" s="14" t="s">
        <v>1985</v>
      </c>
      <c r="F770" s="151" t="str">
        <f>IF(wskakunin_kanri8_NAME="", "", wskakunin_kanri8_NAME)</f>
        <v/>
      </c>
      <c r="H770" s="15"/>
    </row>
    <row r="771" spans="1:8" ht="15" customHeight="1">
      <c r="A771" s="58"/>
      <c r="B771" s="69" t="s">
        <v>544</v>
      </c>
      <c r="C771" s="14" t="s">
        <v>1986</v>
      </c>
      <c r="D771" s="151"/>
      <c r="E771" s="14" t="s">
        <v>1987</v>
      </c>
      <c r="F771" s="151" t="str">
        <f>IF(wskakunin_kanri8_JIMU__sikaku="", "", wskakunin_kanri8_JIMU__sikaku)</f>
        <v/>
      </c>
      <c r="H771" s="15"/>
    </row>
    <row r="772" spans="1:8" ht="15" customHeight="1">
      <c r="A772" s="42"/>
      <c r="B772" s="75" t="s">
        <v>36</v>
      </c>
      <c r="C772" s="14" t="s">
        <v>1988</v>
      </c>
      <c r="D772" s="151"/>
      <c r="E772" s="14" t="s">
        <v>1989</v>
      </c>
      <c r="F772" s="151" t="str">
        <f>IF(wskakunin_kanri8_JIMU_SIKAKU__label="","",wskakunin_kanri8_JIMU_SIKAKU__label)</f>
        <v/>
      </c>
      <c r="H772" s="15"/>
    </row>
    <row r="773" spans="1:8" ht="15" customHeight="1">
      <c r="A773" s="42"/>
      <c r="B773" s="75" t="s">
        <v>545</v>
      </c>
      <c r="C773" s="14" t="s">
        <v>1990</v>
      </c>
      <c r="D773" s="151"/>
      <c r="E773" s="14" t="s">
        <v>1991</v>
      </c>
      <c r="F773" s="151" t="str">
        <f>IF(wskakunin_kanri8_JIMU_TOUROKU_KIKAN__label="","",wskakunin_kanri8_JIMU_TOUROKU_KIKAN__label)</f>
        <v/>
      </c>
      <c r="H773" s="15"/>
    </row>
    <row r="774" spans="1:8" ht="15" customHeight="1">
      <c r="A774" s="42"/>
      <c r="B774" s="75" t="s">
        <v>546</v>
      </c>
      <c r="C774" s="14" t="s">
        <v>1992</v>
      </c>
      <c r="D774" s="233"/>
      <c r="E774" s="14" t="s">
        <v>1993</v>
      </c>
      <c r="F774" s="151" t="str">
        <f>IF(wskakunin_kanri8_JIMU_NO="","",wskakunin_kanri8_JIMU_NO)</f>
        <v/>
      </c>
      <c r="H774" s="15"/>
    </row>
    <row r="775" spans="1:8" ht="15" customHeight="1">
      <c r="A775" s="58"/>
      <c r="B775" s="69" t="s">
        <v>37</v>
      </c>
      <c r="C775" s="14" t="s">
        <v>1994</v>
      </c>
      <c r="D775" s="151"/>
      <c r="E775" s="14" t="s">
        <v>1995</v>
      </c>
      <c r="F775" s="151" t="str">
        <f>IF(wskakunin_kanri8_JIMU_NAME="", "", wskakunin_kanri8_JIMU_NAME)</f>
        <v/>
      </c>
      <c r="H775" s="15"/>
    </row>
    <row r="776" spans="1:8" ht="15" customHeight="1">
      <c r="A776" s="58"/>
      <c r="B776" s="69" t="s">
        <v>8</v>
      </c>
      <c r="C776" s="14" t="s">
        <v>1996</v>
      </c>
      <c r="D776" s="233"/>
      <c r="E776" s="14" t="s">
        <v>1997</v>
      </c>
      <c r="F776" s="151" t="str">
        <f>IF(wskakunin_kanri8_ZIP="", "", wskakunin_kanri8_ZIP)</f>
        <v/>
      </c>
      <c r="H776" s="15"/>
    </row>
    <row r="777" spans="1:8" ht="15" customHeight="1">
      <c r="A777" s="58"/>
      <c r="B777" s="69" t="s">
        <v>12</v>
      </c>
      <c r="C777" s="14" t="s">
        <v>1998</v>
      </c>
      <c r="D777" s="151"/>
      <c r="E777" s="14" t="s">
        <v>1999</v>
      </c>
      <c r="F777" s="151" t="str">
        <f>IF(wskakunin_kanri8__address="", "", wskakunin_kanri8__address)</f>
        <v/>
      </c>
      <c r="H777" s="15"/>
    </row>
    <row r="778" spans="1:8" ht="15" customHeight="1">
      <c r="A778" s="58"/>
      <c r="B778" s="69" t="s">
        <v>10</v>
      </c>
      <c r="C778" s="14" t="s">
        <v>2000</v>
      </c>
      <c r="D778" s="233"/>
      <c r="E778" s="14" t="s">
        <v>2001</v>
      </c>
      <c r="F778" s="151" t="str">
        <f>IF(wskakunin_kanri8_TEL="", "", wskakunin_kanri8_TEL)</f>
        <v/>
      </c>
      <c r="H778" s="15"/>
    </row>
    <row r="779" spans="1:8" ht="15" customHeight="1">
      <c r="A779" s="58"/>
      <c r="B779" s="69" t="s">
        <v>578</v>
      </c>
      <c r="C779" s="14" t="s">
        <v>2002</v>
      </c>
      <c r="D779" s="233"/>
      <c r="E779" s="14" t="s">
        <v>2003</v>
      </c>
      <c r="F779" s="151" t="str">
        <f>IF(wskakunin_kanri8_DOC="","",wskakunin_kanri8_DOC)</f>
        <v/>
      </c>
      <c r="H779" s="15"/>
    </row>
    <row r="780" spans="1:8" ht="15" customHeight="1">
      <c r="A780" s="42"/>
      <c r="B780" s="72"/>
      <c r="H780" s="15"/>
    </row>
    <row r="781" spans="1:8" ht="15" customHeight="1">
      <c r="A781" s="43" t="s">
        <v>2092</v>
      </c>
      <c r="B781" s="42" t="s">
        <v>1891</v>
      </c>
      <c r="H781" s="15"/>
    </row>
    <row r="782" spans="1:8" ht="15" customHeight="1">
      <c r="A782" s="25"/>
      <c r="B782" s="69" t="s">
        <v>542</v>
      </c>
      <c r="C782" s="14" t="s">
        <v>2004</v>
      </c>
      <c r="D782" s="151"/>
      <c r="E782" s="14" t="s">
        <v>2005</v>
      </c>
      <c r="F782" s="151" t="str">
        <f>IF(wskakunin_kanri9__sikaku="", "", wskakunin_kanri9__sikaku)</f>
        <v/>
      </c>
      <c r="H782" s="15"/>
    </row>
    <row r="783" spans="1:8" ht="15" customHeight="1">
      <c r="A783" s="25"/>
      <c r="B783" s="69" t="s">
        <v>543</v>
      </c>
      <c r="C783" s="14" t="s">
        <v>2006</v>
      </c>
      <c r="D783" s="151"/>
      <c r="E783" s="14" t="s">
        <v>2007</v>
      </c>
      <c r="F783" s="151" t="str">
        <f>IF(wskakunin_kanri9_SIKAKU__label="", "", wskakunin_kanri9_SIKAKU__label)</f>
        <v/>
      </c>
      <c r="H783" s="15"/>
    </row>
    <row r="784" spans="1:8" ht="15" customHeight="1">
      <c r="A784" s="30"/>
      <c r="B784" s="75" t="s">
        <v>538</v>
      </c>
      <c r="C784" s="14" t="s">
        <v>2008</v>
      </c>
      <c r="D784" s="151"/>
      <c r="E784" s="14" t="s">
        <v>2009</v>
      </c>
      <c r="F784" s="151" t="str">
        <f>IF(wskakunin_kanri9_TOUROKU_KIKAN__label="","",wskakunin_kanri9_TOUROKU_KIKAN__label)</f>
        <v/>
      </c>
      <c r="H784" s="15"/>
    </row>
    <row r="785" spans="1:8" ht="15" customHeight="1">
      <c r="A785" s="30"/>
      <c r="B785" s="75" t="s">
        <v>539</v>
      </c>
      <c r="C785" s="14" t="s">
        <v>2010</v>
      </c>
      <c r="D785" s="233"/>
      <c r="E785" s="14" t="s">
        <v>2011</v>
      </c>
      <c r="F785" s="151" t="str">
        <f>IF(wskakunin_kanri9_KENTIKUSI_NO="","",wskakunin_kanri9_KENTIKUSI_NO)</f>
        <v/>
      </c>
      <c r="H785" s="15"/>
    </row>
    <row r="786" spans="1:8" ht="15" customHeight="1">
      <c r="A786" s="58"/>
      <c r="B786" s="69" t="s">
        <v>7</v>
      </c>
      <c r="C786" s="14" t="s">
        <v>2012</v>
      </c>
      <c r="D786" s="151"/>
      <c r="E786" s="14" t="s">
        <v>2013</v>
      </c>
      <c r="F786" s="151" t="str">
        <f>IF(wskakunin_kanri9_NAME="", "", wskakunin_kanri9_NAME)</f>
        <v/>
      </c>
      <c r="H786" s="15"/>
    </row>
    <row r="787" spans="1:8" ht="15" customHeight="1">
      <c r="A787" s="58"/>
      <c r="B787" s="69" t="s">
        <v>544</v>
      </c>
      <c r="C787" s="14" t="s">
        <v>2014</v>
      </c>
      <c r="D787" s="151"/>
      <c r="E787" s="14" t="s">
        <v>2015</v>
      </c>
      <c r="F787" s="151" t="str">
        <f>IF(wskakunin_kanri9_JIMU__sikaku="", "", wskakunin_kanri9_JIMU__sikaku)</f>
        <v/>
      </c>
      <c r="H787" s="15"/>
    </row>
    <row r="788" spans="1:8" ht="15" customHeight="1">
      <c r="A788" s="42"/>
      <c r="B788" s="75" t="s">
        <v>36</v>
      </c>
      <c r="C788" s="14" t="s">
        <v>2016</v>
      </c>
      <c r="D788" s="151"/>
      <c r="E788" s="14" t="s">
        <v>2017</v>
      </c>
      <c r="F788" s="151" t="str">
        <f>IF(wskakunin_kanri9_JIMU_SIKAKU__label="","",wskakunin_kanri9_JIMU_SIKAKU__label)</f>
        <v/>
      </c>
      <c r="H788" s="15"/>
    </row>
    <row r="789" spans="1:8" ht="15" customHeight="1">
      <c r="A789" s="42"/>
      <c r="B789" s="75" t="s">
        <v>545</v>
      </c>
      <c r="C789" s="14" t="s">
        <v>2018</v>
      </c>
      <c r="D789" s="151"/>
      <c r="E789" s="14" t="s">
        <v>2019</v>
      </c>
      <c r="F789" s="151" t="str">
        <f>IF(wskakunin_kanri9_JIMU_TOUROKU_KIKAN__label="","",wskakunin_kanri9_JIMU_TOUROKU_KIKAN__label)</f>
        <v/>
      </c>
      <c r="H789" s="15"/>
    </row>
    <row r="790" spans="1:8" ht="15" customHeight="1">
      <c r="A790" s="42"/>
      <c r="B790" s="75" t="s">
        <v>546</v>
      </c>
      <c r="C790" s="14" t="s">
        <v>2020</v>
      </c>
      <c r="D790" s="233"/>
      <c r="E790" s="14" t="s">
        <v>2021</v>
      </c>
      <c r="F790" s="151" t="str">
        <f>IF(wskakunin_kanri9_JIMU_NO="","",wskakunin_kanri9_JIMU_NO)</f>
        <v/>
      </c>
      <c r="H790" s="15"/>
    </row>
    <row r="791" spans="1:8" ht="15" customHeight="1">
      <c r="A791" s="58"/>
      <c r="B791" s="69" t="s">
        <v>37</v>
      </c>
      <c r="C791" s="14" t="s">
        <v>2022</v>
      </c>
      <c r="D791" s="151"/>
      <c r="E791" s="14" t="s">
        <v>2023</v>
      </c>
      <c r="F791" s="151" t="str">
        <f>IF(wskakunin_kanri9_JIMU_NAME="", "", wskakunin_kanri9_JIMU_NAME)</f>
        <v/>
      </c>
      <c r="H791" s="15"/>
    </row>
    <row r="792" spans="1:8" ht="15" customHeight="1">
      <c r="A792" s="58"/>
      <c r="B792" s="69" t="s">
        <v>8</v>
      </c>
      <c r="C792" s="14" t="s">
        <v>2024</v>
      </c>
      <c r="D792" s="233"/>
      <c r="E792" s="14" t="s">
        <v>2025</v>
      </c>
      <c r="F792" s="151" t="str">
        <f>IF(wskakunin_kanri9_ZIP="", "", wskakunin_kanri9_ZIP)</f>
        <v/>
      </c>
      <c r="H792" s="15"/>
    </row>
    <row r="793" spans="1:8" ht="15" customHeight="1">
      <c r="A793" s="58"/>
      <c r="B793" s="69" t="s">
        <v>12</v>
      </c>
      <c r="C793" s="14" t="s">
        <v>2026</v>
      </c>
      <c r="D793" s="151"/>
      <c r="E793" s="14" t="s">
        <v>2027</v>
      </c>
      <c r="F793" s="151" t="str">
        <f>IF(wskakunin_kanri9__address="", "", wskakunin_kanri9__address)</f>
        <v/>
      </c>
      <c r="H793" s="15"/>
    </row>
    <row r="794" spans="1:8" ht="15" customHeight="1">
      <c r="A794" s="58"/>
      <c r="B794" s="69" t="s">
        <v>10</v>
      </c>
      <c r="C794" s="14" t="s">
        <v>2028</v>
      </c>
      <c r="D794" s="233"/>
      <c r="E794" s="14" t="s">
        <v>2029</v>
      </c>
      <c r="F794" s="151" t="str">
        <f>IF(wskakunin_kanri9_TEL="", "", wskakunin_kanri9_TEL)</f>
        <v/>
      </c>
      <c r="H794" s="15"/>
    </row>
    <row r="795" spans="1:8" ht="15" customHeight="1">
      <c r="A795" s="58"/>
      <c r="B795" s="69" t="s">
        <v>578</v>
      </c>
      <c r="C795" s="14" t="s">
        <v>2030</v>
      </c>
      <c r="D795" s="233"/>
      <c r="E795" s="14" t="s">
        <v>2031</v>
      </c>
      <c r="F795" s="151" t="str">
        <f>IF(wskakunin_kanri9_DOC="","",wskakunin_kanri9_DOC)</f>
        <v/>
      </c>
      <c r="H795" s="15"/>
    </row>
    <row r="796" spans="1:8" ht="15" customHeight="1">
      <c r="A796" s="42"/>
      <c r="B796" s="72"/>
      <c r="H796" s="15"/>
    </row>
    <row r="797" spans="1:8" ht="15" customHeight="1">
      <c r="A797" s="43" t="s">
        <v>2093</v>
      </c>
      <c r="B797" s="42" t="s">
        <v>1891</v>
      </c>
      <c r="H797" s="15"/>
    </row>
    <row r="798" spans="1:8" ht="15" customHeight="1">
      <c r="A798" s="25"/>
      <c r="B798" s="69" t="s">
        <v>542</v>
      </c>
      <c r="C798" s="14" t="s">
        <v>2032</v>
      </c>
      <c r="D798" s="151"/>
      <c r="E798" s="14" t="s">
        <v>2033</v>
      </c>
      <c r="F798" s="151" t="str">
        <f>IF(wskakunin_kanri10__sikaku="", "", wskakunin_kanri10__sikaku)</f>
        <v/>
      </c>
      <c r="H798" s="15"/>
    </row>
    <row r="799" spans="1:8" ht="15" customHeight="1">
      <c r="A799" s="25"/>
      <c r="B799" s="69" t="s">
        <v>543</v>
      </c>
      <c r="C799" s="14" t="s">
        <v>2034</v>
      </c>
      <c r="D799" s="151"/>
      <c r="E799" s="14" t="s">
        <v>2035</v>
      </c>
      <c r="F799" s="151" t="str">
        <f>IF(wskakunin_kanri10_SIKAKU__label="", "", wskakunin_kanri10_SIKAKU__label)</f>
        <v/>
      </c>
      <c r="H799" s="15"/>
    </row>
    <row r="800" spans="1:8" ht="15" customHeight="1">
      <c r="A800" s="30"/>
      <c r="B800" s="75" t="s">
        <v>538</v>
      </c>
      <c r="C800" s="14" t="s">
        <v>2036</v>
      </c>
      <c r="D800" s="151"/>
      <c r="E800" s="14" t="s">
        <v>2037</v>
      </c>
      <c r="F800" s="151" t="str">
        <f>IF(wskakunin_kanri10_TOUROKU_KIKAN__label="","",wskakunin_kanri10_TOUROKU_KIKAN__label)</f>
        <v/>
      </c>
      <c r="H800" s="15"/>
    </row>
    <row r="801" spans="1:8" ht="15" customHeight="1">
      <c r="A801" s="30"/>
      <c r="B801" s="75" t="s">
        <v>539</v>
      </c>
      <c r="C801" s="14" t="s">
        <v>2038</v>
      </c>
      <c r="D801" s="233"/>
      <c r="E801" s="14" t="s">
        <v>2039</v>
      </c>
      <c r="F801" s="151" t="str">
        <f>IF(wskakunin_kanri10_KENTIKUSI_NO="","",wskakunin_kanri10_KENTIKUSI_NO)</f>
        <v/>
      </c>
      <c r="H801" s="15"/>
    </row>
    <row r="802" spans="1:8" ht="15" customHeight="1">
      <c r="A802" s="58"/>
      <c r="B802" s="69" t="s">
        <v>7</v>
      </c>
      <c r="C802" s="14" t="s">
        <v>2040</v>
      </c>
      <c r="D802" s="151"/>
      <c r="E802" s="14" t="s">
        <v>2041</v>
      </c>
      <c r="F802" s="151" t="str">
        <f>IF(wskakunin_kanri10_NAME="", "", wskakunin_kanri10_NAME)</f>
        <v/>
      </c>
      <c r="H802" s="15"/>
    </row>
    <row r="803" spans="1:8" ht="15" customHeight="1">
      <c r="A803" s="58"/>
      <c r="B803" s="69" t="s">
        <v>544</v>
      </c>
      <c r="C803" s="14" t="s">
        <v>2042</v>
      </c>
      <c r="D803" s="151"/>
      <c r="E803" s="14" t="s">
        <v>2043</v>
      </c>
      <c r="F803" s="151" t="str">
        <f>IF(wskakunin_kanri10_JIMU__sikaku="", "", wskakunin_kanri10_JIMU__sikaku)</f>
        <v/>
      </c>
      <c r="H803" s="15"/>
    </row>
    <row r="804" spans="1:8" ht="15" customHeight="1">
      <c r="A804" s="42"/>
      <c r="B804" s="75" t="s">
        <v>36</v>
      </c>
      <c r="C804" s="14" t="s">
        <v>2044</v>
      </c>
      <c r="D804" s="151"/>
      <c r="E804" s="14" t="s">
        <v>2045</v>
      </c>
      <c r="F804" s="151" t="str">
        <f>IF(wskakunin_kanri10_JIMU_SIKAKU__label="","",wskakunin_kanri10_JIMU_SIKAKU__label)</f>
        <v/>
      </c>
      <c r="H804" s="15"/>
    </row>
    <row r="805" spans="1:8" ht="15" customHeight="1">
      <c r="A805" s="42"/>
      <c r="B805" s="75" t="s">
        <v>545</v>
      </c>
      <c r="C805" s="14" t="s">
        <v>2046</v>
      </c>
      <c r="D805" s="151"/>
      <c r="E805" s="14" t="s">
        <v>2047</v>
      </c>
      <c r="F805" s="151" t="str">
        <f>IF(wskakunin_kanri10_JIMU_TOUROKU_KIKAN__label="","",wskakunin_kanri10_JIMU_TOUROKU_KIKAN__label)</f>
        <v/>
      </c>
      <c r="H805" s="15"/>
    </row>
    <row r="806" spans="1:8" ht="15" customHeight="1">
      <c r="A806" s="42"/>
      <c r="B806" s="75" t="s">
        <v>546</v>
      </c>
      <c r="C806" s="14" t="s">
        <v>2048</v>
      </c>
      <c r="D806" s="233"/>
      <c r="E806" s="14" t="s">
        <v>2049</v>
      </c>
      <c r="F806" s="151" t="str">
        <f>IF(wskakunin_kanri10_JIMU_NO="","",wskakunin_kanri10_JIMU_NO)</f>
        <v/>
      </c>
      <c r="H806" s="15"/>
    </row>
    <row r="807" spans="1:8" ht="15" customHeight="1">
      <c r="A807" s="58"/>
      <c r="B807" s="69" t="s">
        <v>37</v>
      </c>
      <c r="C807" s="14" t="s">
        <v>2050</v>
      </c>
      <c r="D807" s="151"/>
      <c r="E807" s="14" t="s">
        <v>2051</v>
      </c>
      <c r="F807" s="151" t="str">
        <f>IF(wskakunin_kanri10_JIMU_NAME="", "", wskakunin_kanri10_JIMU_NAME)</f>
        <v/>
      </c>
      <c r="H807" s="15"/>
    </row>
    <row r="808" spans="1:8" ht="15" customHeight="1">
      <c r="A808" s="58"/>
      <c r="B808" s="69" t="s">
        <v>8</v>
      </c>
      <c r="C808" s="14" t="s">
        <v>2052</v>
      </c>
      <c r="D808" s="233"/>
      <c r="E808" s="14" t="s">
        <v>2053</v>
      </c>
      <c r="F808" s="151" t="str">
        <f>IF(wskakunin_kanri10_ZIP="", "", wskakunin_kanri10_ZIP)</f>
        <v/>
      </c>
      <c r="H808" s="15"/>
    </row>
    <row r="809" spans="1:8" ht="15" customHeight="1">
      <c r="A809" s="58"/>
      <c r="B809" s="69" t="s">
        <v>12</v>
      </c>
      <c r="C809" s="14" t="s">
        <v>2054</v>
      </c>
      <c r="D809" s="151"/>
      <c r="E809" s="14" t="s">
        <v>2055</v>
      </c>
      <c r="F809" s="151" t="str">
        <f>IF(wskakunin_kanri10__address="", "", wskakunin_kanri10__address)</f>
        <v/>
      </c>
      <c r="H809" s="15"/>
    </row>
    <row r="810" spans="1:8" ht="15" customHeight="1">
      <c r="A810" s="58"/>
      <c r="B810" s="69" t="s">
        <v>10</v>
      </c>
      <c r="C810" s="14" t="s">
        <v>2056</v>
      </c>
      <c r="D810" s="233"/>
      <c r="E810" s="14" t="s">
        <v>2057</v>
      </c>
      <c r="F810" s="151" t="str">
        <f>IF(wskakunin_kanri10_TEL="", "", wskakunin_kanri10_TEL)</f>
        <v/>
      </c>
      <c r="H810" s="15"/>
    </row>
    <row r="811" spans="1:8" ht="15" customHeight="1">
      <c r="A811" s="58"/>
      <c r="B811" s="69" t="s">
        <v>578</v>
      </c>
      <c r="C811" s="14" t="s">
        <v>2058</v>
      </c>
      <c r="D811" s="233"/>
      <c r="E811" s="14" t="s">
        <v>2059</v>
      </c>
      <c r="F811" s="151" t="str">
        <f>IF(wskakunin_kanri10_DOC="","",wskakunin_kanri10_DOC)</f>
        <v/>
      </c>
      <c r="H811" s="15"/>
    </row>
    <row r="812" spans="1:8" ht="15" customHeight="1">
      <c r="A812" s="42"/>
      <c r="B812" s="72"/>
      <c r="H812" s="15"/>
    </row>
    <row r="813" spans="1:8" ht="15" customHeight="1">
      <c r="A813" s="43" t="s">
        <v>2094</v>
      </c>
      <c r="B813" s="42" t="s">
        <v>1891</v>
      </c>
      <c r="H813" s="15"/>
    </row>
    <row r="814" spans="1:8" ht="15" customHeight="1">
      <c r="A814" s="25"/>
      <c r="B814" s="69" t="s">
        <v>542</v>
      </c>
      <c r="C814" s="14" t="s">
        <v>2060</v>
      </c>
      <c r="D814" s="151"/>
      <c r="E814" s="14" t="s">
        <v>2061</v>
      </c>
      <c r="F814" s="151" t="str">
        <f>IF(wskakunin_kanri11__sikaku="", "", wskakunin_kanri11__sikaku)</f>
        <v/>
      </c>
      <c r="H814" s="15"/>
    </row>
    <row r="815" spans="1:8" ht="15" customHeight="1">
      <c r="A815" s="25"/>
      <c r="B815" s="69" t="s">
        <v>543</v>
      </c>
      <c r="C815" s="14" t="s">
        <v>2062</v>
      </c>
      <c r="D815" s="151"/>
      <c r="E815" s="14" t="s">
        <v>2063</v>
      </c>
      <c r="F815" s="151" t="str">
        <f>IF(wskakunin_kanri11_SIKAKU__label="", "", wskakunin_kanri11_SIKAKU__label)</f>
        <v/>
      </c>
      <c r="H815" s="15"/>
    </row>
    <row r="816" spans="1:8" ht="15" customHeight="1">
      <c r="A816" s="30"/>
      <c r="B816" s="75" t="s">
        <v>538</v>
      </c>
      <c r="C816" s="14" t="s">
        <v>2064</v>
      </c>
      <c r="D816" s="151"/>
      <c r="E816" s="14" t="s">
        <v>2065</v>
      </c>
      <c r="F816" s="151" t="str">
        <f>IF(wskakunin_kanri11_TOUROKU_KIKAN__label="","",wskakunin_kanri11_TOUROKU_KIKAN__label)</f>
        <v/>
      </c>
      <c r="H816" s="15"/>
    </row>
    <row r="817" spans="1:8" ht="15" customHeight="1">
      <c r="A817" s="30"/>
      <c r="B817" s="75" t="s">
        <v>539</v>
      </c>
      <c r="C817" s="14" t="s">
        <v>2066</v>
      </c>
      <c r="D817" s="233"/>
      <c r="E817" s="14" t="s">
        <v>2067</v>
      </c>
      <c r="F817" s="151" t="str">
        <f>IF(wskakunin_kanri11_KENTIKUSI_NO="","",wskakunin_kanri11_KENTIKUSI_NO)</f>
        <v/>
      </c>
      <c r="H817" s="15"/>
    </row>
    <row r="818" spans="1:8" ht="15" customHeight="1">
      <c r="A818" s="58"/>
      <c r="B818" s="69" t="s">
        <v>7</v>
      </c>
      <c r="C818" s="14" t="s">
        <v>2068</v>
      </c>
      <c r="D818" s="151"/>
      <c r="E818" s="14" t="s">
        <v>2069</v>
      </c>
      <c r="F818" s="151" t="str">
        <f>IF(wskakunin_kanri11_NAME="", "", wskakunin_kanri11_NAME)</f>
        <v/>
      </c>
      <c r="H818" s="15"/>
    </row>
    <row r="819" spans="1:8" ht="15" customHeight="1">
      <c r="A819" s="58"/>
      <c r="B819" s="69" t="s">
        <v>544</v>
      </c>
      <c r="C819" s="14" t="s">
        <v>2070</v>
      </c>
      <c r="D819" s="151"/>
      <c r="E819" s="14" t="s">
        <v>2071</v>
      </c>
      <c r="F819" s="151" t="str">
        <f>IF(wskakunin_kanri11_JIMU__sikaku="", "", wskakunin_kanri11_JIMU__sikaku)</f>
        <v/>
      </c>
      <c r="H819" s="15"/>
    </row>
    <row r="820" spans="1:8" ht="15" customHeight="1">
      <c r="A820" s="42"/>
      <c r="B820" s="75" t="s">
        <v>36</v>
      </c>
      <c r="C820" s="14" t="s">
        <v>2072</v>
      </c>
      <c r="D820" s="151"/>
      <c r="E820" s="14" t="s">
        <v>2073</v>
      </c>
      <c r="F820" s="151" t="str">
        <f>IF(wskakunin_kanri11_JIMU_SIKAKU__label="","",wskakunin_kanri11_JIMU_SIKAKU__label)</f>
        <v/>
      </c>
      <c r="H820" s="15"/>
    </row>
    <row r="821" spans="1:8" ht="15" customHeight="1">
      <c r="A821" s="42"/>
      <c r="B821" s="75" t="s">
        <v>545</v>
      </c>
      <c r="C821" s="14" t="s">
        <v>2074</v>
      </c>
      <c r="D821" s="151"/>
      <c r="E821" s="14" t="s">
        <v>2075</v>
      </c>
      <c r="F821" s="151" t="str">
        <f>IF(wskakunin_kanri11_JIMU_TOUROKU_KIKAN__label="","",wskakunin_kanri11_JIMU_TOUROKU_KIKAN__label)</f>
        <v/>
      </c>
      <c r="H821" s="15"/>
    </row>
    <row r="822" spans="1:8" ht="15" customHeight="1">
      <c r="A822" s="42"/>
      <c r="B822" s="75" t="s">
        <v>546</v>
      </c>
      <c r="C822" s="14" t="s">
        <v>2076</v>
      </c>
      <c r="D822" s="233"/>
      <c r="E822" s="14" t="s">
        <v>2077</v>
      </c>
      <c r="F822" s="151" t="str">
        <f>IF(wskakunin_kanri11_JIMU_NO="","",wskakunin_kanri11_JIMU_NO)</f>
        <v/>
      </c>
      <c r="H822" s="15"/>
    </row>
    <row r="823" spans="1:8" ht="15" customHeight="1">
      <c r="A823" s="58"/>
      <c r="B823" s="69" t="s">
        <v>37</v>
      </c>
      <c r="C823" s="14" t="s">
        <v>2078</v>
      </c>
      <c r="D823" s="151"/>
      <c r="E823" s="14" t="s">
        <v>2079</v>
      </c>
      <c r="F823" s="151" t="str">
        <f>IF(wskakunin_kanri11_JIMU_NAME="", "", wskakunin_kanri11_JIMU_NAME)</f>
        <v/>
      </c>
      <c r="H823" s="15"/>
    </row>
    <row r="824" spans="1:8" ht="15" customHeight="1">
      <c r="A824" s="58"/>
      <c r="B824" s="69" t="s">
        <v>8</v>
      </c>
      <c r="C824" s="14" t="s">
        <v>2080</v>
      </c>
      <c r="D824" s="233"/>
      <c r="E824" s="14" t="s">
        <v>2081</v>
      </c>
      <c r="F824" s="151" t="str">
        <f>IF(wskakunin_kanri11_ZIP="", "", wskakunin_kanri11_ZIP)</f>
        <v/>
      </c>
      <c r="H824" s="15"/>
    </row>
    <row r="825" spans="1:8" ht="15" customHeight="1">
      <c r="A825" s="58"/>
      <c r="B825" s="69" t="s">
        <v>12</v>
      </c>
      <c r="C825" s="14" t="s">
        <v>2082</v>
      </c>
      <c r="D825" s="151"/>
      <c r="E825" s="14" t="s">
        <v>2083</v>
      </c>
      <c r="F825" s="151" t="str">
        <f>IF(wskakunin_kanri11__address="", "", wskakunin_kanri11__address)</f>
        <v/>
      </c>
      <c r="H825" s="15"/>
    </row>
    <row r="826" spans="1:8" ht="15" customHeight="1">
      <c r="A826" s="58"/>
      <c r="B826" s="69" t="s">
        <v>10</v>
      </c>
      <c r="C826" s="14" t="s">
        <v>2084</v>
      </c>
      <c r="D826" s="233"/>
      <c r="E826" s="14" t="s">
        <v>2085</v>
      </c>
      <c r="F826" s="151" t="str">
        <f>IF(wskakunin_kanri11_TEL="", "", wskakunin_kanri11_TEL)</f>
        <v/>
      </c>
      <c r="H826" s="15"/>
    </row>
    <row r="827" spans="1:8" ht="15" customHeight="1">
      <c r="A827" s="58"/>
      <c r="B827" s="69" t="s">
        <v>578</v>
      </c>
      <c r="C827" s="14" t="s">
        <v>2086</v>
      </c>
      <c r="D827" s="233"/>
      <c r="E827" s="14" t="s">
        <v>2087</v>
      </c>
      <c r="F827" s="151" t="str">
        <f>IF(wskakunin_kanri11_DOC="","",wskakunin_kanri11_DOC)</f>
        <v/>
      </c>
      <c r="H827" s="15"/>
    </row>
    <row r="828" spans="1:8" ht="15" customHeight="1">
      <c r="A828" s="42"/>
      <c r="B828" s="72"/>
      <c r="G828" s="15"/>
      <c r="H828" s="15"/>
    </row>
    <row r="829" spans="1:8" ht="15" customHeight="1">
      <c r="A829" s="43" t="s">
        <v>2213</v>
      </c>
      <c r="B829" s="42" t="s">
        <v>1891</v>
      </c>
      <c r="H829" s="15"/>
    </row>
    <row r="830" spans="1:8" ht="15" customHeight="1">
      <c r="A830" s="25"/>
      <c r="B830" s="69" t="s">
        <v>542</v>
      </c>
      <c r="C830" s="14" t="s">
        <v>2214</v>
      </c>
      <c r="D830" s="151"/>
      <c r="E830" s="14" t="s">
        <v>2215</v>
      </c>
      <c r="F830" s="151" t="str">
        <f>IF(wskakunin_kanri12__sikaku="", "", wskakunin_kanri12__sikaku)</f>
        <v/>
      </c>
      <c r="H830" s="15"/>
    </row>
    <row r="831" spans="1:8" ht="15" customHeight="1">
      <c r="A831" s="25"/>
      <c r="B831" s="69" t="s">
        <v>543</v>
      </c>
      <c r="C831" s="14" t="s">
        <v>2216</v>
      </c>
      <c r="D831" s="151"/>
      <c r="E831" s="14" t="s">
        <v>2217</v>
      </c>
      <c r="F831" s="151" t="str">
        <f>IF(wskakunin_kanri12_SIKAKU__label="", "", wskakunin_kanri12_SIKAKU__label)</f>
        <v/>
      </c>
      <c r="H831" s="15"/>
    </row>
    <row r="832" spans="1:8" ht="15" customHeight="1">
      <c r="A832" s="30"/>
      <c r="B832" s="75" t="s">
        <v>538</v>
      </c>
      <c r="C832" s="14" t="s">
        <v>2218</v>
      </c>
      <c r="D832" s="151"/>
      <c r="E832" s="14" t="s">
        <v>2219</v>
      </c>
      <c r="F832" s="151" t="str">
        <f>IF(wskakunin_kanri12_TOUROKU_KIKAN__label="","",wskakunin_kanri12_TOUROKU_KIKAN__label)</f>
        <v/>
      </c>
      <c r="H832" s="15"/>
    </row>
    <row r="833" spans="1:8" ht="15" customHeight="1">
      <c r="A833" s="30"/>
      <c r="B833" s="75" t="s">
        <v>539</v>
      </c>
      <c r="C833" s="14" t="s">
        <v>2220</v>
      </c>
      <c r="D833" s="233"/>
      <c r="E833" s="14" t="s">
        <v>2221</v>
      </c>
      <c r="F833" s="151" t="str">
        <f>IF(wskakunin_kanri12_KENTIKUSI_NO="","",wskakunin_kanri12_KENTIKUSI_NO)</f>
        <v/>
      </c>
      <c r="H833" s="15"/>
    </row>
    <row r="834" spans="1:8" ht="15" customHeight="1">
      <c r="A834" s="58"/>
      <c r="B834" s="69" t="s">
        <v>7</v>
      </c>
      <c r="C834" s="14" t="s">
        <v>2222</v>
      </c>
      <c r="D834" s="151"/>
      <c r="E834" s="14" t="s">
        <v>2223</v>
      </c>
      <c r="F834" s="151" t="str">
        <f>IF(wskakunin_kanri12_NAME="", "", wskakunin_kanri12_NAME)</f>
        <v/>
      </c>
      <c r="H834" s="15"/>
    </row>
    <row r="835" spans="1:8" ht="15" customHeight="1">
      <c r="A835" s="58"/>
      <c r="B835" s="69" t="s">
        <v>544</v>
      </c>
      <c r="C835" s="14" t="s">
        <v>2224</v>
      </c>
      <c r="D835" s="151"/>
      <c r="E835" s="14" t="s">
        <v>2225</v>
      </c>
      <c r="F835" s="151" t="str">
        <f>IF(wskakunin_kanri12_JIMU__sikaku="", "", wskakunin_kanri12_JIMU__sikaku)</f>
        <v/>
      </c>
      <c r="H835" s="15"/>
    </row>
    <row r="836" spans="1:8" ht="15" customHeight="1">
      <c r="A836" s="42"/>
      <c r="B836" s="75" t="s">
        <v>36</v>
      </c>
      <c r="C836" s="14" t="s">
        <v>2226</v>
      </c>
      <c r="D836" s="151"/>
      <c r="E836" s="14" t="s">
        <v>2227</v>
      </c>
      <c r="F836" s="151" t="str">
        <f>IF(wskakunin_kanri12_JIMU_SIKAKU__label="","",wskakunin_kanri12_JIMU_SIKAKU__label)</f>
        <v/>
      </c>
      <c r="H836" s="15"/>
    </row>
    <row r="837" spans="1:8" ht="15" customHeight="1">
      <c r="A837" s="42"/>
      <c r="B837" s="75" t="s">
        <v>545</v>
      </c>
      <c r="C837" s="14" t="s">
        <v>2228</v>
      </c>
      <c r="D837" s="151"/>
      <c r="E837" s="14" t="s">
        <v>2229</v>
      </c>
      <c r="F837" s="151" t="str">
        <f>IF(wskakunin_kanri12_JIMU_TOUROKU_KIKAN__label="","",wskakunin_kanri12_JIMU_TOUROKU_KIKAN__label)</f>
        <v/>
      </c>
      <c r="H837" s="15"/>
    </row>
    <row r="838" spans="1:8" ht="15" customHeight="1">
      <c r="A838" s="42"/>
      <c r="B838" s="75" t="s">
        <v>546</v>
      </c>
      <c r="C838" s="14" t="s">
        <v>2230</v>
      </c>
      <c r="D838" s="233"/>
      <c r="E838" s="14" t="s">
        <v>2231</v>
      </c>
      <c r="F838" s="151" t="str">
        <f>IF(wskakunin_kanri12_JIMU_NO="","",wskakunin_kanri12_JIMU_NO)</f>
        <v/>
      </c>
      <c r="H838" s="15"/>
    </row>
    <row r="839" spans="1:8" ht="15" customHeight="1">
      <c r="A839" s="58"/>
      <c r="B839" s="69" t="s">
        <v>37</v>
      </c>
      <c r="C839" s="14" t="s">
        <v>2232</v>
      </c>
      <c r="D839" s="151"/>
      <c r="E839" s="14" t="s">
        <v>2233</v>
      </c>
      <c r="F839" s="151" t="str">
        <f>IF(wskakunin_kanri12_JIMU_NAME="", "", wskakunin_kanri12_JIMU_NAME)</f>
        <v/>
      </c>
      <c r="H839" s="15"/>
    </row>
    <row r="840" spans="1:8" ht="15" customHeight="1">
      <c r="A840" s="58"/>
      <c r="B840" s="69" t="s">
        <v>8</v>
      </c>
      <c r="C840" s="14" t="s">
        <v>2234</v>
      </c>
      <c r="D840" s="233"/>
      <c r="E840" s="14" t="s">
        <v>2235</v>
      </c>
      <c r="F840" s="151" t="str">
        <f>IF(wskakunin_kanri12_ZIP="", "", wskakunin_kanri12_ZIP)</f>
        <v/>
      </c>
      <c r="H840" s="15"/>
    </row>
    <row r="841" spans="1:8" ht="15" customHeight="1">
      <c r="A841" s="58"/>
      <c r="B841" s="69" t="s">
        <v>12</v>
      </c>
      <c r="C841" s="14" t="s">
        <v>2236</v>
      </c>
      <c r="D841" s="151"/>
      <c r="E841" s="14" t="s">
        <v>2237</v>
      </c>
      <c r="F841" s="151" t="str">
        <f>IF(wskakunin_kanri12__address="", "", wskakunin_kanri12__address)</f>
        <v/>
      </c>
      <c r="H841" s="15"/>
    </row>
    <row r="842" spans="1:8" ht="15" customHeight="1">
      <c r="A842" s="58"/>
      <c r="B842" s="69" t="s">
        <v>10</v>
      </c>
      <c r="C842" s="14" t="s">
        <v>2238</v>
      </c>
      <c r="D842" s="233"/>
      <c r="E842" s="14" t="s">
        <v>2239</v>
      </c>
      <c r="F842" s="151" t="str">
        <f>IF(wskakunin_kanri12_TEL="", "", wskakunin_kanri12_TEL)</f>
        <v/>
      </c>
      <c r="H842" s="15"/>
    </row>
    <row r="843" spans="1:8" ht="15" customHeight="1">
      <c r="A843" s="58"/>
      <c r="B843" s="69" t="s">
        <v>578</v>
      </c>
      <c r="C843" s="14" t="s">
        <v>2240</v>
      </c>
      <c r="D843" s="233"/>
      <c r="E843" s="14" t="s">
        <v>2241</v>
      </c>
      <c r="F843" s="151" t="str">
        <f>IF(wskakunin_kanri12_DOC="","",wskakunin_kanri12_DOC)</f>
        <v/>
      </c>
      <c r="H843" s="15"/>
    </row>
    <row r="844" spans="1:8" ht="15" customHeight="1">
      <c r="A844" s="42"/>
      <c r="B844" s="72"/>
      <c r="G844" s="15"/>
      <c r="H844" s="15"/>
    </row>
    <row r="845" spans="1:8" ht="15" customHeight="1">
      <c r="A845" s="50" t="s">
        <v>46</v>
      </c>
      <c r="B845" s="51"/>
      <c r="D845" s="15"/>
      <c r="G845" s="15"/>
      <c r="H845" s="15"/>
    </row>
    <row r="846" spans="1:8" ht="15" customHeight="1">
      <c r="A846" s="59"/>
      <c r="B846" s="74" t="s">
        <v>7</v>
      </c>
      <c r="C846" s="14" t="s">
        <v>857</v>
      </c>
      <c r="D846" s="239" t="s">
        <v>3666</v>
      </c>
      <c r="E846" s="14" t="s">
        <v>858</v>
      </c>
      <c r="F846" s="239" t="str">
        <f>IF(wskakunin_sekou1_NAME="", "", wskakunin_sekou1_NAME)</f>
        <v>代表取締役社長　野崎　豊</v>
      </c>
      <c r="G846" s="15"/>
      <c r="H846" s="15"/>
    </row>
    <row r="847" spans="1:8" ht="15" customHeight="1">
      <c r="A847" s="59"/>
      <c r="B847" s="74" t="s">
        <v>1387</v>
      </c>
      <c r="C847" s="14" t="s">
        <v>859</v>
      </c>
      <c r="D847" s="239" t="s">
        <v>4174</v>
      </c>
      <c r="E847" s="14" t="s">
        <v>860</v>
      </c>
      <c r="F847" s="239" t="str">
        <f>IF(wskakunin_sekou1_SEKOU__sikaku="", "", wskakunin_sekou1_SEKOU__sikaku)</f>
        <v>国土交通大臣第(特-7)1111号</v>
      </c>
      <c r="G847" s="15"/>
      <c r="H847" s="15"/>
    </row>
    <row r="848" spans="1:8" ht="15" customHeight="1">
      <c r="A848" s="59"/>
      <c r="B848" s="74" t="s">
        <v>591</v>
      </c>
      <c r="C848" s="14" t="s">
        <v>1390</v>
      </c>
      <c r="D848" s="239" t="s">
        <v>4147</v>
      </c>
      <c r="E848" s="14" t="s">
        <v>1388</v>
      </c>
      <c r="F848" s="239" t="str">
        <f>IF(wskakunin_sekou1_SEKOU_SIKAKU__label="", "",wskakunin_sekou1_SEKOU_SIKAKU__label)</f>
        <v>国土交通大臣</v>
      </c>
      <c r="G848" s="15"/>
      <c r="H848" s="15"/>
    </row>
    <row r="849" spans="1:8" ht="15" customHeight="1">
      <c r="A849" s="59"/>
      <c r="B849" s="74" t="s">
        <v>592</v>
      </c>
      <c r="C849" s="14" t="s">
        <v>1386</v>
      </c>
      <c r="D849" s="241" t="s">
        <v>4175</v>
      </c>
      <c r="E849" s="14" t="s">
        <v>1389</v>
      </c>
      <c r="F849" s="239" t="str">
        <f>IF(wskakunin_sekou1_SEKOU_NO="","",wskakunin_sekou1_SEKOU_NO)</f>
        <v>(特-7)1111</v>
      </c>
      <c r="G849" s="15"/>
      <c r="H849" s="15"/>
    </row>
    <row r="850" spans="1:8" ht="15" customHeight="1">
      <c r="A850" s="59"/>
      <c r="B850" s="74" t="s">
        <v>49</v>
      </c>
      <c r="C850" s="14" t="s">
        <v>861</v>
      </c>
      <c r="D850" s="239" t="s">
        <v>4173</v>
      </c>
      <c r="E850" s="14" t="s">
        <v>862</v>
      </c>
      <c r="F850" s="239" t="str">
        <f>IF(wskakunin_sekou1_JIMU_NAME="", "", wskakunin_sekou1_JIMU_NAME)</f>
        <v>株式会社UHEC</v>
      </c>
      <c r="G850" s="15"/>
      <c r="H850" s="15"/>
    </row>
    <row r="851" spans="1:8" ht="15" customHeight="1">
      <c r="A851" s="59"/>
      <c r="B851" s="74" t="s">
        <v>8</v>
      </c>
      <c r="C851" s="14" t="s">
        <v>863</v>
      </c>
      <c r="D851" s="241" t="s">
        <v>4148</v>
      </c>
      <c r="E851" s="14" t="s">
        <v>864</v>
      </c>
      <c r="F851" s="239" t="str">
        <f>IF(wskakunin_sekou1_ZIP="", "", wskakunin_sekou1_ZIP)</f>
        <v>105-0001</v>
      </c>
      <c r="G851" s="15"/>
      <c r="H851" s="15"/>
    </row>
    <row r="852" spans="1:8" ht="15" customHeight="1">
      <c r="A852" s="59"/>
      <c r="B852" s="74" t="s">
        <v>12</v>
      </c>
      <c r="C852" s="14" t="s">
        <v>865</v>
      </c>
      <c r="D852" s="239" t="s">
        <v>4172</v>
      </c>
      <c r="E852" s="14" t="s">
        <v>866</v>
      </c>
      <c r="F852" s="239" t="str">
        <f>IF(wskakunin_sekou1__address="", "", wskakunin_sekou1__address)</f>
        <v>東京都港区虎ノ門1-1-</v>
      </c>
      <c r="G852" s="15"/>
      <c r="H852" s="15"/>
    </row>
    <row r="853" spans="1:8" ht="15" customHeight="1">
      <c r="A853" s="59"/>
      <c r="B853" s="74" t="s">
        <v>10</v>
      </c>
      <c r="C853" s="14" t="s">
        <v>867</v>
      </c>
      <c r="D853" s="241" t="s">
        <v>4146</v>
      </c>
      <c r="E853" s="14" t="s">
        <v>868</v>
      </c>
      <c r="F853" s="239" t="str">
        <f>IF(wskakunin_sekou1_TEL="", "", wskakunin_sekou1_TEL)</f>
        <v>03-3504-2386</v>
      </c>
      <c r="G853" s="15"/>
      <c r="H853" s="15"/>
    </row>
    <row r="854" spans="1:8" ht="15" customHeight="1">
      <c r="A854" s="59"/>
      <c r="B854" s="74" t="s">
        <v>2557</v>
      </c>
      <c r="D854" s="32"/>
      <c r="E854" s="14" t="s">
        <v>2558</v>
      </c>
      <c r="F854" s="239">
        <f>IF(AND(cst_wskakunin_sekou1_NAME="",cst_wskakunin_sekou1_SEKOU__sikaku="",cst_wskakunin_sekou1_SEKOU_SIKAKU="",cst_wskakunin_sekou1_SEKOU_NO="",cst_wskakunin_sekou1_JIMU_NAME="",cst_wskakunin_sekou1_ZIP="",cst_wskakunin_sekou1__address="",cst_wskakunin_sekou1_TEL=""),1,2)</f>
        <v>2</v>
      </c>
      <c r="G854" s="15" t="s">
        <v>2559</v>
      </c>
      <c r="H854" s="15"/>
    </row>
    <row r="855" spans="1:8" ht="15" customHeight="1">
      <c r="A855" s="50" t="s">
        <v>2175</v>
      </c>
      <c r="B855" s="51"/>
      <c r="D855" s="32"/>
      <c r="F855" s="15"/>
      <c r="G855" s="15"/>
      <c r="H855" s="15"/>
    </row>
    <row r="856" spans="1:8" ht="15" customHeight="1">
      <c r="A856" s="59"/>
      <c r="B856" s="74" t="s">
        <v>7</v>
      </c>
      <c r="C856" s="14" t="s">
        <v>2095</v>
      </c>
      <c r="D856" s="239"/>
      <c r="E856" s="14" t="s">
        <v>2096</v>
      </c>
      <c r="F856" s="239" t="str">
        <f>IF(wskakunin_sekou2_NAME="", "", wskakunin_sekou2_NAME)</f>
        <v/>
      </c>
      <c r="H856" s="15"/>
    </row>
    <row r="857" spans="1:8" ht="15" customHeight="1">
      <c r="A857" s="59"/>
      <c r="B857" s="74" t="s">
        <v>1387</v>
      </c>
      <c r="C857" s="14" t="s">
        <v>2097</v>
      </c>
      <c r="D857" s="239"/>
      <c r="E857" s="14" t="s">
        <v>2098</v>
      </c>
      <c r="F857" s="239" t="str">
        <f>IF(wskakunin_sekou2_SEKOU__sikaku="", "", wskakunin_sekou2_SEKOU__sikaku)</f>
        <v/>
      </c>
      <c r="H857" s="15"/>
    </row>
    <row r="858" spans="1:8" ht="15" customHeight="1">
      <c r="A858" s="59"/>
      <c r="B858" s="74" t="s">
        <v>591</v>
      </c>
      <c r="C858" s="14" t="s">
        <v>2099</v>
      </c>
      <c r="D858" s="239"/>
      <c r="E858" s="14" t="s">
        <v>2100</v>
      </c>
      <c r="F858" s="239" t="str">
        <f>IF(wskakunin_sekou2_SEKOU_SIKAKU__label="", "",wskakunin_sekou2_SEKOU_SIKAKU__label)</f>
        <v/>
      </c>
      <c r="H858" s="15"/>
    </row>
    <row r="859" spans="1:8" ht="15" customHeight="1">
      <c r="A859" s="59"/>
      <c r="B859" s="74" t="s">
        <v>592</v>
      </c>
      <c r="C859" s="14" t="s">
        <v>2101</v>
      </c>
      <c r="D859" s="241"/>
      <c r="E859" s="14" t="s">
        <v>2102</v>
      </c>
      <c r="F859" s="239" t="str">
        <f>IF(wskakunin_sekou2_SEKOU_NO="","",wskakunin_sekou2_SEKOU_NO)</f>
        <v/>
      </c>
      <c r="H859" s="15"/>
    </row>
    <row r="860" spans="1:8" ht="15" customHeight="1">
      <c r="A860" s="59"/>
      <c r="B860" s="74" t="s">
        <v>49</v>
      </c>
      <c r="C860" s="14" t="s">
        <v>2103</v>
      </c>
      <c r="D860" s="239"/>
      <c r="E860" s="14" t="s">
        <v>2104</v>
      </c>
      <c r="F860" s="239" t="str">
        <f>IF(wskakunin_sekou2_JIMU_NAME="", "", wskakunin_sekou2_JIMU_NAME)</f>
        <v/>
      </c>
      <c r="H860" s="15"/>
    </row>
    <row r="861" spans="1:8" ht="15" customHeight="1">
      <c r="A861" s="59"/>
      <c r="B861" s="74" t="s">
        <v>8</v>
      </c>
      <c r="C861" s="14" t="s">
        <v>2105</v>
      </c>
      <c r="D861" s="241"/>
      <c r="E861" s="14" t="s">
        <v>2106</v>
      </c>
      <c r="F861" s="239" t="str">
        <f>IF(wskakunin_sekou2_ZIP="", "", wskakunin_sekou2_ZIP)</f>
        <v/>
      </c>
      <c r="H861" s="15"/>
    </row>
    <row r="862" spans="1:8" ht="15" customHeight="1">
      <c r="A862" s="59"/>
      <c r="B862" s="74" t="s">
        <v>12</v>
      </c>
      <c r="C862" s="14" t="s">
        <v>2107</v>
      </c>
      <c r="D862" s="239"/>
      <c r="E862" s="14" t="s">
        <v>2108</v>
      </c>
      <c r="F862" s="239" t="str">
        <f>IF(wskakunin_sekou2__address="", "", wskakunin_sekou2__address)</f>
        <v/>
      </c>
      <c r="H862" s="15"/>
    </row>
    <row r="863" spans="1:8" ht="15" customHeight="1">
      <c r="A863" s="59"/>
      <c r="B863" s="74" t="s">
        <v>10</v>
      </c>
      <c r="C863" s="14" t="s">
        <v>2109</v>
      </c>
      <c r="D863" s="241"/>
      <c r="E863" s="14" t="s">
        <v>2110</v>
      </c>
      <c r="F863" s="239" t="str">
        <f>IF(wskakunin_sekou2_TEL="", "", wskakunin_sekou2_TEL)</f>
        <v/>
      </c>
      <c r="H863" s="15"/>
    </row>
    <row r="864" spans="1:8" ht="15" customHeight="1">
      <c r="A864" s="59"/>
      <c r="B864" s="74"/>
      <c r="D864" s="32"/>
      <c r="F864" s="15"/>
      <c r="H864" s="15"/>
    </row>
    <row r="865" spans="1:8" ht="15" customHeight="1">
      <c r="A865" s="50" t="s">
        <v>2176</v>
      </c>
      <c r="B865" s="51"/>
      <c r="D865" s="32"/>
      <c r="F865" s="15"/>
      <c r="H865" s="15"/>
    </row>
    <row r="866" spans="1:8" ht="15" customHeight="1">
      <c r="A866" s="59"/>
      <c r="B866" s="74" t="s">
        <v>7</v>
      </c>
      <c r="C866" s="14" t="s">
        <v>2111</v>
      </c>
      <c r="D866" s="239"/>
      <c r="E866" s="14" t="s">
        <v>2112</v>
      </c>
      <c r="F866" s="239" t="str">
        <f>IF(wskakunin_sekou3_NAME="", "", wskakunin_sekou3_NAME)</f>
        <v/>
      </c>
      <c r="H866" s="15"/>
    </row>
    <row r="867" spans="1:8" ht="15" customHeight="1">
      <c r="A867" s="59"/>
      <c r="B867" s="74" t="s">
        <v>1387</v>
      </c>
      <c r="C867" s="14" t="s">
        <v>2113</v>
      </c>
      <c r="D867" s="239"/>
      <c r="E867" s="14" t="s">
        <v>2114</v>
      </c>
      <c r="F867" s="239" t="str">
        <f>IF(wskakunin_sekou3_SEKOU__sikaku="", "", wskakunin_sekou3_SEKOU__sikaku)</f>
        <v/>
      </c>
      <c r="H867" s="15"/>
    </row>
    <row r="868" spans="1:8" ht="15" customHeight="1">
      <c r="A868" s="59"/>
      <c r="B868" s="74" t="s">
        <v>591</v>
      </c>
      <c r="C868" s="14" t="s">
        <v>2115</v>
      </c>
      <c r="D868" s="239"/>
      <c r="E868" s="14" t="s">
        <v>2116</v>
      </c>
      <c r="F868" s="239" t="str">
        <f>IF(wskakunin_sekou3_SEKOU_SIKAKU__label="", "",wskakunin_sekou3_SEKOU_SIKAKU__label)</f>
        <v/>
      </c>
      <c r="H868" s="15"/>
    </row>
    <row r="869" spans="1:8" ht="15" customHeight="1">
      <c r="A869" s="59"/>
      <c r="B869" s="74" t="s">
        <v>592</v>
      </c>
      <c r="C869" s="14" t="s">
        <v>2117</v>
      </c>
      <c r="D869" s="241"/>
      <c r="E869" s="14" t="s">
        <v>2118</v>
      </c>
      <c r="F869" s="239" t="str">
        <f>IF(wskakunin_sekou3_SEKOU_NO="","",wskakunin_sekou3_SEKOU_NO)</f>
        <v/>
      </c>
      <c r="H869" s="15"/>
    </row>
    <row r="870" spans="1:8" ht="15" customHeight="1">
      <c r="A870" s="59"/>
      <c r="B870" s="74" t="s">
        <v>49</v>
      </c>
      <c r="C870" s="14" t="s">
        <v>2119</v>
      </c>
      <c r="D870" s="239"/>
      <c r="E870" s="14" t="s">
        <v>2120</v>
      </c>
      <c r="F870" s="239" t="str">
        <f>IF(wskakunin_sekou3_JIMU_NAME="", "", wskakunin_sekou3_JIMU_NAME)</f>
        <v/>
      </c>
      <c r="H870" s="15"/>
    </row>
    <row r="871" spans="1:8" ht="15" customHeight="1">
      <c r="A871" s="59"/>
      <c r="B871" s="74" t="s">
        <v>8</v>
      </c>
      <c r="C871" s="14" t="s">
        <v>2121</v>
      </c>
      <c r="D871" s="241"/>
      <c r="E871" s="14" t="s">
        <v>2122</v>
      </c>
      <c r="F871" s="239" t="str">
        <f>IF(wskakunin_sekou3_ZIP="", "", wskakunin_sekou3_ZIP)</f>
        <v/>
      </c>
      <c r="H871" s="15"/>
    </row>
    <row r="872" spans="1:8" ht="15" customHeight="1">
      <c r="A872" s="59"/>
      <c r="B872" s="74" t="s">
        <v>12</v>
      </c>
      <c r="C872" s="14" t="s">
        <v>2123</v>
      </c>
      <c r="D872" s="239"/>
      <c r="E872" s="14" t="s">
        <v>2124</v>
      </c>
      <c r="F872" s="239" t="str">
        <f>IF(wskakunin_sekou3__address="", "", wskakunin_sekou3__address)</f>
        <v/>
      </c>
      <c r="H872" s="15"/>
    </row>
    <row r="873" spans="1:8" ht="15" customHeight="1">
      <c r="A873" s="59"/>
      <c r="B873" s="74" t="s">
        <v>10</v>
      </c>
      <c r="C873" s="14" t="s">
        <v>2125</v>
      </c>
      <c r="D873" s="241"/>
      <c r="E873" s="14" t="s">
        <v>2126</v>
      </c>
      <c r="F873" s="239" t="str">
        <f>IF(wskakunin_sekou3_TEL="", "", wskakunin_sekou3_TEL)</f>
        <v/>
      </c>
      <c r="H873" s="15"/>
    </row>
    <row r="874" spans="1:8" ht="15" customHeight="1">
      <c r="A874" s="59"/>
      <c r="B874" s="74"/>
      <c r="D874" s="32"/>
      <c r="F874" s="15"/>
      <c r="H874" s="15"/>
    </row>
    <row r="875" spans="1:8" ht="15" customHeight="1">
      <c r="A875" s="50" t="s">
        <v>2177</v>
      </c>
      <c r="B875" s="51"/>
      <c r="D875" s="32"/>
      <c r="F875" s="15"/>
      <c r="H875" s="15"/>
    </row>
    <row r="876" spans="1:8" ht="15" customHeight="1">
      <c r="A876" s="59"/>
      <c r="B876" s="74" t="s">
        <v>7</v>
      </c>
      <c r="C876" s="14" t="s">
        <v>2127</v>
      </c>
      <c r="D876" s="239"/>
      <c r="E876" s="14" t="s">
        <v>2128</v>
      </c>
      <c r="F876" s="239" t="str">
        <f>IF(wskakunin_sekou4_NAME="", "", wskakunin_sekou4_NAME)</f>
        <v/>
      </c>
      <c r="H876" s="15"/>
    </row>
    <row r="877" spans="1:8" ht="15" customHeight="1">
      <c r="A877" s="59"/>
      <c r="B877" s="74" t="s">
        <v>1387</v>
      </c>
      <c r="C877" s="14" t="s">
        <v>2129</v>
      </c>
      <c r="D877" s="239"/>
      <c r="E877" s="14" t="s">
        <v>2130</v>
      </c>
      <c r="F877" s="239" t="str">
        <f>IF(wskakunin_sekou4_SEKOU__sikaku="", "", wskakunin_sekou4_SEKOU__sikaku)</f>
        <v/>
      </c>
      <c r="H877" s="15"/>
    </row>
    <row r="878" spans="1:8" ht="15" customHeight="1">
      <c r="A878" s="59"/>
      <c r="B878" s="74" t="s">
        <v>591</v>
      </c>
      <c r="C878" s="14" t="s">
        <v>2131</v>
      </c>
      <c r="D878" s="239"/>
      <c r="E878" s="14" t="s">
        <v>2132</v>
      </c>
      <c r="F878" s="239" t="str">
        <f>IF(wskakunin_sekou4_SEKOU_SIKAKU__label="", "",wskakunin_sekou4_SEKOU_SIKAKU__label)</f>
        <v/>
      </c>
      <c r="H878" s="15"/>
    </row>
    <row r="879" spans="1:8" ht="15" customHeight="1">
      <c r="A879" s="59"/>
      <c r="B879" s="74" t="s">
        <v>592</v>
      </c>
      <c r="C879" s="14" t="s">
        <v>2133</v>
      </c>
      <c r="D879" s="241"/>
      <c r="E879" s="14" t="s">
        <v>2134</v>
      </c>
      <c r="F879" s="239" t="str">
        <f>IF(wskakunin_sekou4_SEKOU_NO="","",wskakunin_sekou4_SEKOU_NO)</f>
        <v/>
      </c>
      <c r="H879" s="15"/>
    </row>
    <row r="880" spans="1:8" ht="15" customHeight="1">
      <c r="A880" s="59"/>
      <c r="B880" s="74" t="s">
        <v>49</v>
      </c>
      <c r="C880" s="14" t="s">
        <v>2135</v>
      </c>
      <c r="D880" s="239"/>
      <c r="E880" s="14" t="s">
        <v>2136</v>
      </c>
      <c r="F880" s="239" t="str">
        <f>IF(wskakunin_sekou4_JIMU_NAME="", "", wskakunin_sekou4_JIMU_NAME)</f>
        <v/>
      </c>
      <c r="H880" s="15"/>
    </row>
    <row r="881" spans="1:8" ht="15" customHeight="1">
      <c r="A881" s="59"/>
      <c r="B881" s="74" t="s">
        <v>8</v>
      </c>
      <c r="C881" s="14" t="s">
        <v>2137</v>
      </c>
      <c r="D881" s="241"/>
      <c r="E881" s="14" t="s">
        <v>2138</v>
      </c>
      <c r="F881" s="239" t="str">
        <f>IF(wskakunin_sekou4_ZIP="", "", wskakunin_sekou4_ZIP)</f>
        <v/>
      </c>
      <c r="H881" s="15"/>
    </row>
    <row r="882" spans="1:8" ht="15" customHeight="1">
      <c r="A882" s="59"/>
      <c r="B882" s="74" t="s">
        <v>12</v>
      </c>
      <c r="C882" s="14" t="s">
        <v>2139</v>
      </c>
      <c r="D882" s="239"/>
      <c r="E882" s="14" t="s">
        <v>2140</v>
      </c>
      <c r="F882" s="239" t="str">
        <f>IF(wskakunin_sekou4__address="", "", wskakunin_sekou4__address)</f>
        <v/>
      </c>
      <c r="H882" s="15"/>
    </row>
    <row r="883" spans="1:8" ht="15" customHeight="1">
      <c r="A883" s="59"/>
      <c r="B883" s="74" t="s">
        <v>10</v>
      </c>
      <c r="C883" s="14" t="s">
        <v>2141</v>
      </c>
      <c r="D883" s="241"/>
      <c r="E883" s="14" t="s">
        <v>2142</v>
      </c>
      <c r="F883" s="239" t="str">
        <f>IF(wskakunin_sekou4_TEL="", "", wskakunin_sekou4_TEL)</f>
        <v/>
      </c>
      <c r="H883" s="15"/>
    </row>
    <row r="884" spans="1:8" ht="15" customHeight="1">
      <c r="A884" s="59"/>
      <c r="B884" s="74"/>
      <c r="D884" s="32"/>
      <c r="F884" s="15"/>
      <c r="H884" s="15"/>
    </row>
    <row r="885" spans="1:8" ht="15" customHeight="1">
      <c r="A885" s="50" t="s">
        <v>2178</v>
      </c>
      <c r="B885" s="51"/>
      <c r="D885" s="32"/>
      <c r="F885" s="15"/>
      <c r="H885" s="15"/>
    </row>
    <row r="886" spans="1:8" ht="15" customHeight="1">
      <c r="A886" s="59"/>
      <c r="B886" s="74" t="s">
        <v>7</v>
      </c>
      <c r="C886" s="14" t="s">
        <v>2143</v>
      </c>
      <c r="D886" s="239"/>
      <c r="E886" s="14" t="s">
        <v>2144</v>
      </c>
      <c r="F886" s="239" t="str">
        <f>IF(wskakunin_sekou5_NAME="", "", wskakunin_sekou5_NAME)</f>
        <v/>
      </c>
      <c r="H886" s="15"/>
    </row>
    <row r="887" spans="1:8" ht="15" customHeight="1">
      <c r="A887" s="59"/>
      <c r="B887" s="74" t="s">
        <v>1387</v>
      </c>
      <c r="C887" s="14" t="s">
        <v>2145</v>
      </c>
      <c r="D887" s="239"/>
      <c r="E887" s="14" t="s">
        <v>2146</v>
      </c>
      <c r="F887" s="239" t="str">
        <f>IF(wskakunin_sekou5_SEKOU__sikaku="", "", wskakunin_sekou5_SEKOU__sikaku)</f>
        <v/>
      </c>
      <c r="H887" s="15"/>
    </row>
    <row r="888" spans="1:8" ht="15" customHeight="1">
      <c r="A888" s="59"/>
      <c r="B888" s="74" t="s">
        <v>591</v>
      </c>
      <c r="C888" s="14" t="s">
        <v>2147</v>
      </c>
      <c r="D888" s="239"/>
      <c r="E888" s="14" t="s">
        <v>2148</v>
      </c>
      <c r="F888" s="239" t="str">
        <f>IF(wskakunin_sekou5_SEKOU_SIKAKU__label="", "",wskakunin_sekou5_SEKOU_SIKAKU__label)</f>
        <v/>
      </c>
      <c r="H888" s="15"/>
    </row>
    <row r="889" spans="1:8" ht="15" customHeight="1">
      <c r="A889" s="59"/>
      <c r="B889" s="74" t="s">
        <v>592</v>
      </c>
      <c r="C889" s="14" t="s">
        <v>2149</v>
      </c>
      <c r="D889" s="241"/>
      <c r="E889" s="14" t="s">
        <v>2150</v>
      </c>
      <c r="F889" s="239" t="str">
        <f>IF(wskakunin_sekou5_SEKOU_NO="","",wskakunin_sekou5_SEKOU_NO)</f>
        <v/>
      </c>
      <c r="H889" s="15"/>
    </row>
    <row r="890" spans="1:8" ht="15" customHeight="1">
      <c r="A890" s="59"/>
      <c r="B890" s="74" t="s">
        <v>49</v>
      </c>
      <c r="C890" s="14" t="s">
        <v>2151</v>
      </c>
      <c r="D890" s="239"/>
      <c r="E890" s="14" t="s">
        <v>2152</v>
      </c>
      <c r="F890" s="239" t="str">
        <f>IF(wskakunin_sekou5_JIMU_NAME="", "", wskakunin_sekou5_JIMU_NAME)</f>
        <v/>
      </c>
      <c r="H890" s="15"/>
    </row>
    <row r="891" spans="1:8" ht="15" customHeight="1">
      <c r="A891" s="59"/>
      <c r="B891" s="74" t="s">
        <v>8</v>
      </c>
      <c r="C891" s="14" t="s">
        <v>2153</v>
      </c>
      <c r="D891" s="241"/>
      <c r="E891" s="14" t="s">
        <v>2154</v>
      </c>
      <c r="F891" s="239" t="str">
        <f>IF(wskakunin_sekou5_ZIP="", "", wskakunin_sekou5_ZIP)</f>
        <v/>
      </c>
      <c r="H891" s="15"/>
    </row>
    <row r="892" spans="1:8" ht="15" customHeight="1">
      <c r="A892" s="59"/>
      <c r="B892" s="74" t="s">
        <v>12</v>
      </c>
      <c r="C892" s="14" t="s">
        <v>2155</v>
      </c>
      <c r="D892" s="239"/>
      <c r="E892" s="14" t="s">
        <v>2156</v>
      </c>
      <c r="F892" s="239" t="str">
        <f>IF(wskakunin_sekou5__address="", "", wskakunin_sekou5__address)</f>
        <v/>
      </c>
      <c r="H892" s="15"/>
    </row>
    <row r="893" spans="1:8" ht="15" customHeight="1">
      <c r="A893" s="59"/>
      <c r="B893" s="74" t="s">
        <v>10</v>
      </c>
      <c r="C893" s="14" t="s">
        <v>2157</v>
      </c>
      <c r="D893" s="241"/>
      <c r="E893" s="14" t="s">
        <v>2158</v>
      </c>
      <c r="F893" s="239" t="str">
        <f>IF(wskakunin_sekou5_TEL="", "", wskakunin_sekou5_TEL)</f>
        <v/>
      </c>
      <c r="H893" s="15"/>
    </row>
    <row r="894" spans="1:8" ht="15" customHeight="1">
      <c r="A894" s="59"/>
      <c r="B894" s="74"/>
      <c r="D894" s="32"/>
      <c r="F894" s="15"/>
      <c r="H894" s="15"/>
    </row>
    <row r="895" spans="1:8" ht="15" customHeight="1">
      <c r="A895" s="50" t="s">
        <v>2179</v>
      </c>
      <c r="B895" s="51"/>
      <c r="D895" s="32"/>
      <c r="F895" s="15"/>
      <c r="H895" s="15"/>
    </row>
    <row r="896" spans="1:8" ht="15" customHeight="1">
      <c r="A896" s="59"/>
      <c r="B896" s="74" t="s">
        <v>7</v>
      </c>
      <c r="C896" s="14" t="s">
        <v>2159</v>
      </c>
      <c r="D896" s="239"/>
      <c r="E896" s="14" t="s">
        <v>2160</v>
      </c>
      <c r="F896" s="239" t="str">
        <f>IF(wskakunin_sekou6_NAME="", "", wskakunin_sekou6_NAME)</f>
        <v/>
      </c>
      <c r="H896" s="15"/>
    </row>
    <row r="897" spans="1:8" ht="15" customHeight="1">
      <c r="A897" s="59"/>
      <c r="B897" s="74" t="s">
        <v>1387</v>
      </c>
      <c r="C897" s="14" t="s">
        <v>2161</v>
      </c>
      <c r="D897" s="239"/>
      <c r="E897" s="14" t="s">
        <v>2162</v>
      </c>
      <c r="F897" s="239" t="str">
        <f>IF(wskakunin_sekou6_SEKOU__sikaku="", "", wskakunin_sekou6_SEKOU__sikaku)</f>
        <v/>
      </c>
      <c r="H897" s="15"/>
    </row>
    <row r="898" spans="1:8" ht="15" customHeight="1">
      <c r="A898" s="59"/>
      <c r="B898" s="74" t="s">
        <v>591</v>
      </c>
      <c r="C898" s="14" t="s">
        <v>2163</v>
      </c>
      <c r="D898" s="239"/>
      <c r="E898" s="14" t="s">
        <v>2164</v>
      </c>
      <c r="F898" s="239" t="str">
        <f>IF(wskakunin_sekou6_SEKOU_SIKAKU__label="", "",wskakunin_sekou6_SEKOU_SIKAKU__label)</f>
        <v/>
      </c>
      <c r="H898" s="15"/>
    </row>
    <row r="899" spans="1:8" ht="15" customHeight="1">
      <c r="A899" s="59"/>
      <c r="B899" s="74" t="s">
        <v>592</v>
      </c>
      <c r="C899" s="14" t="s">
        <v>2165</v>
      </c>
      <c r="D899" s="241"/>
      <c r="E899" s="14" t="s">
        <v>2166</v>
      </c>
      <c r="F899" s="239" t="str">
        <f>IF(wskakunin_sekou6_SEKOU_NO="","",wskakunin_sekou6_SEKOU_NO)</f>
        <v/>
      </c>
      <c r="H899" s="15"/>
    </row>
    <row r="900" spans="1:8" ht="15" customHeight="1">
      <c r="A900" s="59"/>
      <c r="B900" s="74" t="s">
        <v>49</v>
      </c>
      <c r="C900" s="14" t="s">
        <v>2167</v>
      </c>
      <c r="D900" s="239"/>
      <c r="E900" s="14" t="s">
        <v>2168</v>
      </c>
      <c r="F900" s="239" t="str">
        <f>IF(wskakunin_sekou6_JIMU_NAME="", "", wskakunin_sekou6_JIMU_NAME)</f>
        <v/>
      </c>
      <c r="H900" s="15"/>
    </row>
    <row r="901" spans="1:8" ht="15" customHeight="1">
      <c r="A901" s="59"/>
      <c r="B901" s="74" t="s">
        <v>8</v>
      </c>
      <c r="C901" s="14" t="s">
        <v>2169</v>
      </c>
      <c r="D901" s="241"/>
      <c r="E901" s="14" t="s">
        <v>2170</v>
      </c>
      <c r="F901" s="239" t="str">
        <f>IF(wskakunin_sekou6_ZIP="", "", wskakunin_sekou6_ZIP)</f>
        <v/>
      </c>
      <c r="H901" s="15"/>
    </row>
    <row r="902" spans="1:8" ht="15" customHeight="1">
      <c r="A902" s="59"/>
      <c r="B902" s="74" t="s">
        <v>12</v>
      </c>
      <c r="C902" s="14" t="s">
        <v>2171</v>
      </c>
      <c r="D902" s="239"/>
      <c r="E902" s="14" t="s">
        <v>2172</v>
      </c>
      <c r="F902" s="239" t="str">
        <f>IF(wskakunin_sekou6__address="", "", wskakunin_sekou6__address)</f>
        <v/>
      </c>
      <c r="H902" s="15"/>
    </row>
    <row r="903" spans="1:8" ht="15" customHeight="1">
      <c r="A903" s="59"/>
      <c r="B903" s="74" t="s">
        <v>10</v>
      </c>
      <c r="C903" s="14" t="s">
        <v>2173</v>
      </c>
      <c r="D903" s="241"/>
      <c r="E903" s="14" t="s">
        <v>2174</v>
      </c>
      <c r="F903" s="239" t="str">
        <f>IF(wskakunin_sekou6_TEL="", "", wskakunin_sekou6_TEL)</f>
        <v/>
      </c>
      <c r="H903" s="15"/>
    </row>
    <row r="904" spans="1:8" ht="15" customHeight="1">
      <c r="A904" s="59"/>
      <c r="B904" s="74"/>
      <c r="D904" s="32"/>
      <c r="F904" s="15"/>
      <c r="G904" s="15"/>
      <c r="H904" s="15"/>
    </row>
    <row r="905" spans="1:8" ht="15" customHeight="1">
      <c r="A905" s="62" t="s">
        <v>614</v>
      </c>
      <c r="B905" s="57"/>
      <c r="D905" s="32"/>
      <c r="F905" s="15"/>
      <c r="G905" s="15"/>
      <c r="H905" s="15"/>
    </row>
    <row r="906" spans="1:8" ht="15" customHeight="1">
      <c r="A906" s="59"/>
      <c r="B906" s="52" t="s">
        <v>869</v>
      </c>
      <c r="D906" s="15"/>
      <c r="E906" s="14" t="s">
        <v>870</v>
      </c>
      <c r="F906" s="239" t="b">
        <f>IF(ISERROR(FIND("一建設", cst_wskakunin_sekou1_JIMU_NAME)), FALSE, FIND("一建設", cst_wskakunin_sekou1_JIMU_NAME)=1)</f>
        <v>0</v>
      </c>
      <c r="G906" s="15" t="s">
        <v>871</v>
      </c>
    </row>
    <row r="907" spans="1:8" ht="15" customHeight="1">
      <c r="A907" s="59"/>
      <c r="B907" s="53" t="s">
        <v>872</v>
      </c>
      <c r="D907" s="15"/>
      <c r="E907" s="14" t="s">
        <v>873</v>
      </c>
      <c r="F907" s="239">
        <f>IF(ISERROR(FIND("ケイアイスター不動産", cst_wskakunin_sekou1_JIMU_NAME)), 0, 1)</f>
        <v>0</v>
      </c>
      <c r="G907" s="15"/>
      <c r="H907" s="15"/>
    </row>
    <row r="908" spans="1:8" ht="15" customHeight="1">
      <c r="A908" s="60"/>
      <c r="B908" s="54"/>
      <c r="D908" s="15"/>
      <c r="F908" s="15"/>
      <c r="G908" s="15"/>
      <c r="H908" s="15"/>
    </row>
    <row r="909" spans="1:8" ht="15" customHeight="1">
      <c r="A909" s="44" t="s">
        <v>47</v>
      </c>
      <c r="B909" s="45"/>
      <c r="C909" s="14" t="s">
        <v>874</v>
      </c>
      <c r="D909" s="151" t="s">
        <v>4137</v>
      </c>
      <c r="E909" s="14" t="s">
        <v>875</v>
      </c>
      <c r="F909" s="151" t="str">
        <f>IF(wskakunin_BUILD_NAME="", "",wskakunin_BUILD_NAME)</f>
        <v>テスト新築工事</v>
      </c>
      <c r="G909" s="15"/>
      <c r="H909" s="15"/>
    </row>
    <row r="910" spans="1:8" ht="15" customHeight="1">
      <c r="A910" s="49"/>
      <c r="B910" s="61" t="s">
        <v>39</v>
      </c>
      <c r="C910" s="14" t="s">
        <v>2594</v>
      </c>
      <c r="D910" s="247" t="s">
        <v>4138</v>
      </c>
      <c r="E910" s="14" t="s">
        <v>2659</v>
      </c>
      <c r="F910" s="247" t="str">
        <f>IF(wskakunin_BUILD_NAME_KANA="","",wskakunin_BUILD_NAME_KANA)</f>
        <v>ｵｷｬｸｻﾏﾖｳ　ﾃﾞﾓｼﾝﾁｸｺｳｼﾞ</v>
      </c>
      <c r="G910" s="15"/>
      <c r="H910" s="15"/>
    </row>
    <row r="911" spans="1:8" ht="15" customHeight="1">
      <c r="A911" s="96" t="s">
        <v>2245</v>
      </c>
      <c r="B911" s="97"/>
      <c r="C911" s="14" t="s">
        <v>2246</v>
      </c>
      <c r="D911" s="151"/>
      <c r="E911" s="14" t="s">
        <v>2247</v>
      </c>
      <c r="F911" s="151" t="str">
        <f>IF(wskakunin_P2_BIKOU="","",wskakunin_P2_BIKOU)</f>
        <v/>
      </c>
    </row>
    <row r="912" spans="1:8" ht="15" customHeight="1">
      <c r="A912" s="49"/>
      <c r="B912" s="61"/>
    </row>
    <row r="914" spans="1:8" ht="15" customHeight="1">
      <c r="A914" s="46" t="s">
        <v>533</v>
      </c>
      <c r="B914" s="47"/>
      <c r="G914" s="15"/>
      <c r="H914" s="15"/>
    </row>
    <row r="915" spans="1:8" ht="15" customHeight="1">
      <c r="A915" s="48"/>
      <c r="B915" s="72" t="s">
        <v>876</v>
      </c>
      <c r="C915" s="14" t="s">
        <v>877</v>
      </c>
      <c r="D915" s="151"/>
      <c r="G915" s="15"/>
      <c r="H915" s="15"/>
    </row>
    <row r="916" spans="1:8" ht="15" customHeight="1">
      <c r="A916" s="48"/>
      <c r="B916" s="71" t="s">
        <v>878</v>
      </c>
      <c r="E916" s="14" t="s">
        <v>879</v>
      </c>
      <c r="F916" s="42" t="str">
        <f>IF(wskakunin_tekihan01_TEKIHAN_STATE=1,"■","□")</f>
        <v>□</v>
      </c>
      <c r="G916" s="15"/>
      <c r="H916" s="15"/>
    </row>
    <row r="917" spans="1:8" ht="15" customHeight="1">
      <c r="A917" s="48"/>
      <c r="B917" s="71" t="s">
        <v>593</v>
      </c>
      <c r="E917" s="14" t="s">
        <v>602</v>
      </c>
      <c r="F917" s="42" t="str">
        <f>IF(wskakunin_tekihan01_TEKIHAN_STATE=2,"■","□")</f>
        <v>□</v>
      </c>
      <c r="G917" s="15"/>
      <c r="H917" s="15"/>
    </row>
    <row r="918" spans="1:8" ht="15" customHeight="1">
      <c r="A918" s="48"/>
      <c r="B918" s="71" t="s">
        <v>594</v>
      </c>
      <c r="E918" s="14" t="s">
        <v>603</v>
      </c>
      <c r="F918" s="42" t="str">
        <f>IF(wskakunin_tekihan01_TEKIHAN_STATE=3,"■","□")</f>
        <v>□</v>
      </c>
      <c r="G918" s="15"/>
      <c r="H918" s="15"/>
    </row>
    <row r="919" spans="1:8" ht="15" customHeight="1">
      <c r="A919" s="48"/>
      <c r="B919" s="72" t="s">
        <v>534</v>
      </c>
      <c r="C919" s="14" t="s">
        <v>880</v>
      </c>
      <c r="D919" s="151"/>
      <c r="E919" s="14" t="s">
        <v>881</v>
      </c>
      <c r="F919" s="42" t="str">
        <f>IF(wskakunin_tekihan01_TEKIHAN_KIKAN_NAME="","",wskakunin_tekihan01_TEKIHAN_KIKAN_NAME)</f>
        <v/>
      </c>
      <c r="G919" s="15"/>
      <c r="H919" s="15"/>
    </row>
    <row r="920" spans="1:8" ht="15" customHeight="1">
      <c r="A920" s="48"/>
      <c r="B920" s="72" t="s">
        <v>535</v>
      </c>
      <c r="C920" s="14" t="s">
        <v>882</v>
      </c>
      <c r="D920" s="151"/>
      <c r="E920" s="14" t="s">
        <v>883</v>
      </c>
      <c r="F920" s="42" t="str">
        <f>IF(wskakunin_tekihan01_TEKIHAN_KIKAN_KEN__ken="","",wskakunin_tekihan01_TEKIHAN_KIKAN_KEN__ken)</f>
        <v/>
      </c>
      <c r="G920" s="15"/>
      <c r="H920" s="15"/>
    </row>
    <row r="921" spans="1:8" ht="15" customHeight="1">
      <c r="A921" s="48"/>
      <c r="B921" s="72" t="s">
        <v>536</v>
      </c>
      <c r="C921" s="14" t="s">
        <v>884</v>
      </c>
      <c r="D921" s="151"/>
      <c r="E921" s="14" t="s">
        <v>885</v>
      </c>
      <c r="F921" s="42" t="str">
        <f>IF(wskakunin_tekihan01_TEKIHAN_KIKAN_ADDRESS="","",wskakunin_tekihan01_TEKIHAN_KIKAN_ADDRESS)</f>
        <v/>
      </c>
      <c r="G921" s="15"/>
      <c r="H921" s="15"/>
    </row>
    <row r="922" spans="1:8" ht="15" customHeight="1">
      <c r="A922" s="48"/>
      <c r="B922" s="72" t="s">
        <v>604</v>
      </c>
      <c r="D922" s="151"/>
      <c r="E922" s="14" t="s">
        <v>886</v>
      </c>
      <c r="F922" s="42" t="str">
        <f>cst_wskakunin_tekihan01_TEKIHAN_KIKAN_NAME&amp;IF(OR(cst_wskakunin_tekihan01_TEKIHAN_KIKAN_KEN__ken&lt;&gt;"",cst_wskakunin_tekihan01_TEKIHAN_KIKAN_ADDRESS&lt;&gt;""),"  ","")&amp;cst_wskakunin_tekihan01_TEKIHAN_KIKAN_KEN__ken&amp;cst_wskakunin_tekihan01_TEKIHAN_KIKAN_ADDRESS</f>
        <v/>
      </c>
      <c r="G922" s="15"/>
      <c r="H922" s="15"/>
    </row>
    <row r="923" spans="1:8" ht="15" customHeight="1">
      <c r="A923" s="48"/>
      <c r="B923" s="72" t="s">
        <v>534</v>
      </c>
      <c r="C923" s="14" t="s">
        <v>887</v>
      </c>
      <c r="D923" s="151"/>
      <c r="E923" s="14" t="s">
        <v>888</v>
      </c>
      <c r="F923" s="42" t="str">
        <f>IF(wskakunin_tekihan02_TEKIHAN_KIKAN_NAME="","",wskakunin_tekihan02_TEKIHAN_KIKAN_NAME)</f>
        <v/>
      </c>
      <c r="G923" s="15"/>
      <c r="H923" s="15"/>
    </row>
    <row r="924" spans="1:8" ht="15" customHeight="1">
      <c r="A924" s="48"/>
      <c r="B924" s="72" t="s">
        <v>535</v>
      </c>
      <c r="C924" s="14" t="s">
        <v>889</v>
      </c>
      <c r="D924" s="151"/>
      <c r="E924" s="14" t="s">
        <v>890</v>
      </c>
      <c r="F924" s="42" t="str">
        <f>IF(wskakunin_tekihan02_TEKIHAN_KIKAN_KEN__ken="","",wskakunin_tekihan02_TEKIHAN_KIKAN_KEN__ken)</f>
        <v/>
      </c>
      <c r="G924" s="15"/>
      <c r="H924" s="15"/>
    </row>
    <row r="925" spans="1:8" ht="15" customHeight="1">
      <c r="A925" s="48"/>
      <c r="B925" s="72" t="s">
        <v>536</v>
      </c>
      <c r="C925" s="14" t="s">
        <v>891</v>
      </c>
      <c r="D925" s="151"/>
      <c r="E925" s="14" t="s">
        <v>892</v>
      </c>
      <c r="F925" s="42" t="str">
        <f>IF(wskakunin_tekihan02_TEKIHAN_KIKAN_ADDRESS="","",wskakunin_tekihan02_TEKIHAN_KIKAN_ADDRESS)</f>
        <v/>
      </c>
      <c r="G925" s="15"/>
      <c r="H925" s="15"/>
    </row>
    <row r="926" spans="1:8" ht="15" customHeight="1">
      <c r="A926" s="48"/>
      <c r="B926" s="72" t="s">
        <v>604</v>
      </c>
      <c r="D926" s="151"/>
      <c r="E926" s="14" t="s">
        <v>893</v>
      </c>
      <c r="F926" s="42" t="str">
        <f>cst_wskakunin_tekihan02_TEKIHAN_KIKAN_NAME&amp;IF(OR(cst_wskakunin_tekihan02_TEKIHAN_KIKAN_KEN__ken&lt;&gt;"",cst_wskakunin_tekihan02_TEKIHAN_KIKAN_ADDRESS&lt;&gt;""),"  ","")&amp;cst_wskakunin_tekihan02_TEKIHAN_KIKAN_KEN__ken&amp;cst_wskakunin_tekihan02_TEKIHAN_KIKAN_ADDRESS</f>
        <v/>
      </c>
      <c r="G926" s="15"/>
      <c r="H926" s="15"/>
    </row>
    <row r="927" spans="1:8" ht="15" customHeight="1">
      <c r="A927" s="48"/>
      <c r="B927" s="73"/>
      <c r="G927" s="15"/>
      <c r="H927" s="15"/>
    </row>
    <row r="928" spans="1:8" ht="15" customHeight="1">
      <c r="A928" s="46" t="s">
        <v>616</v>
      </c>
      <c r="B928" s="47"/>
      <c r="G928" s="15"/>
      <c r="H928" s="15"/>
    </row>
    <row r="929" spans="1:8" ht="15" customHeight="1">
      <c r="A929" s="48"/>
      <c r="B929" s="71" t="s">
        <v>537</v>
      </c>
      <c r="C929" s="14" t="s">
        <v>894</v>
      </c>
      <c r="D929" s="42"/>
      <c r="G929" s="15"/>
      <c r="H929" s="15"/>
    </row>
    <row r="930" spans="1:8" ht="15" customHeight="1">
      <c r="A930" s="48"/>
      <c r="B930" s="71" t="s">
        <v>595</v>
      </c>
      <c r="E930" s="14" t="s">
        <v>895</v>
      </c>
      <c r="F930" s="42" t="str">
        <f>IF(wskakunin_ecotekihan01_TEKIHAN_STATE=1,"■","□")</f>
        <v>□</v>
      </c>
      <c r="G930" s="15">
        <v>1</v>
      </c>
      <c r="H930" s="15"/>
    </row>
    <row r="931" spans="1:8" ht="15" customHeight="1">
      <c r="A931" s="48"/>
      <c r="B931" s="71" t="s">
        <v>596</v>
      </c>
      <c r="E931" s="14" t="s">
        <v>896</v>
      </c>
      <c r="F931" s="42" t="str">
        <f>IF(wskakunin_ecotekihan01_TEKIHAN_STATE=2,"■","□")</f>
        <v>□</v>
      </c>
      <c r="G931" s="15">
        <v>2</v>
      </c>
      <c r="H931" s="15"/>
    </row>
    <row r="932" spans="1:8" ht="15" customHeight="1">
      <c r="A932" s="48"/>
      <c r="B932" s="71" t="s">
        <v>597</v>
      </c>
      <c r="E932" s="14" t="s">
        <v>897</v>
      </c>
      <c r="F932" s="42" t="str">
        <f>IF(wskakunin_ecotekihan01_TEKIHAN_STATE=3,"■","□")</f>
        <v>□</v>
      </c>
      <c r="G932" s="15">
        <v>3</v>
      </c>
      <c r="H932" s="15"/>
    </row>
    <row r="933" spans="1:8" ht="15" customHeight="1">
      <c r="A933" s="48"/>
      <c r="B933" s="72" t="s">
        <v>534</v>
      </c>
      <c r="C933" s="14" t="s">
        <v>898</v>
      </c>
      <c r="D933" s="42"/>
      <c r="E933" s="14" t="s">
        <v>899</v>
      </c>
      <c r="F933" s="42" t="str">
        <f>IF(wskakunin_ecotekihan01_TEKIHAN_KIKAN_NAME="","",wskakunin_ecotekihan01_TEKIHAN_KIKAN_NAME)</f>
        <v/>
      </c>
      <c r="G933" s="15"/>
      <c r="H933" s="15"/>
    </row>
    <row r="934" spans="1:8" ht="15" customHeight="1">
      <c r="A934" s="48"/>
      <c r="B934" s="72" t="s">
        <v>535</v>
      </c>
      <c r="C934" s="14" t="s">
        <v>900</v>
      </c>
      <c r="D934" s="42"/>
      <c r="E934" s="14" t="s">
        <v>901</v>
      </c>
      <c r="F934" s="42" t="str">
        <f>IF(wskakunin_ecotekihan01_TEKIHAN_KIKAN_KEN__ken="","",wskakunin_ecotekihan01_TEKIHAN_KIKAN_KEN__ken)</f>
        <v/>
      </c>
      <c r="G934" s="15"/>
      <c r="H934" s="15"/>
    </row>
    <row r="935" spans="1:8" ht="15" customHeight="1">
      <c r="A935" s="48"/>
      <c r="B935" s="72" t="s">
        <v>536</v>
      </c>
      <c r="C935" s="14" t="s">
        <v>902</v>
      </c>
      <c r="D935" s="42"/>
      <c r="E935" s="14" t="s">
        <v>903</v>
      </c>
      <c r="F935" s="42" t="str">
        <f>IF(wskakunin_ecotekihan01_TEKIHAN_KIKAN_ADDRESS="","",wskakunin_ecotekihan01_TEKIHAN_KIKAN_ADDRESS)</f>
        <v/>
      </c>
      <c r="G935" s="15"/>
      <c r="H935" s="15"/>
    </row>
    <row r="936" spans="1:8" ht="15" customHeight="1">
      <c r="A936" s="48"/>
      <c r="B936" s="72"/>
      <c r="G936" s="15"/>
      <c r="H936" s="15"/>
    </row>
    <row r="937" spans="1:8" ht="15" customHeight="1">
      <c r="A937" s="48"/>
      <c r="B937" s="72" t="s">
        <v>617</v>
      </c>
      <c r="E937" s="14" t="s">
        <v>904</v>
      </c>
      <c r="F937" s="42" t="str">
        <f>IF(wskakunin_ecotekihan01_TEKIHAN_STATE=1,cst_wskakunin_ecotekihan01_TEKIHAN_KIKAN_NAME&amp;IF(OR(cst_wskakunin_ecotekihan01_TEKIHAN_KIKAN_KEN__ken&lt;&gt;"",cst_wskakunin_ecotekihan01_TEKIHAN_KIKAN_ADDRESS&lt;&gt;""),"  ","")&amp;cst_wskakunin_ecotekihan01_TEKIHAN_KIKAN_KEN__ken&amp;cst_wskakunin_ecotekihan01_TEKIHAN_KIKAN_ADDRESS,"")</f>
        <v/>
      </c>
      <c r="G937" s="15"/>
      <c r="H937" s="15"/>
    </row>
    <row r="938" spans="1:8" ht="15" customHeight="1">
      <c r="A938" s="48"/>
      <c r="B938" s="72" t="s">
        <v>618</v>
      </c>
      <c r="E938" s="14" t="s">
        <v>905</v>
      </c>
      <c r="F938" s="42" t="str">
        <f>IF(wskakunin_ecotekihan01_TEKIHAN_STATE=2,cst_wskakunin_ecotekihan01_TEKIHAN_KIKAN_NAME&amp;IF(OR(cst_wskakunin_ecotekihan01_TEKIHAN_KIKAN_KEN__ken&lt;&gt;"",cst_wskakunin_ecotekihan01_TEKIHAN_KIKAN_ADDRESS&lt;&gt;""),"  ","")&amp;cst_wskakunin_ecotekihan01_TEKIHAN_KIKAN_KEN__ken&amp;cst_wskakunin_ecotekihan01_TEKIHAN_KIKAN_ADDRESS,"")</f>
        <v/>
      </c>
      <c r="G938" s="15"/>
      <c r="H938" s="15"/>
    </row>
    <row r="939" spans="1:8" ht="15" customHeight="1">
      <c r="A939" s="48"/>
      <c r="B939" s="72" t="s">
        <v>607</v>
      </c>
      <c r="C939" s="14" t="s">
        <v>906</v>
      </c>
      <c r="D939" s="42"/>
      <c r="E939" s="14" t="s">
        <v>615</v>
      </c>
      <c r="F939" s="42" t="str">
        <f>IF(wskakunin_ecotekihan01_FUYOU_CAUSE="","",wskakunin_ecotekihan01_FUYOU_CAUSE)</f>
        <v/>
      </c>
      <c r="G939" s="15"/>
      <c r="H939" s="15"/>
    </row>
    <row r="940" spans="1:8" ht="15" customHeight="1">
      <c r="A940" s="49"/>
      <c r="B940" s="73"/>
      <c r="G940" s="15"/>
      <c r="H940" s="15"/>
    </row>
    <row r="941" spans="1:8" ht="15" customHeight="1">
      <c r="G941" s="15"/>
      <c r="H941" s="15"/>
    </row>
    <row r="942" spans="1:8" ht="15" customHeight="1">
      <c r="A942" s="50" t="s">
        <v>48</v>
      </c>
      <c r="B942" s="109"/>
      <c r="G942" s="15"/>
      <c r="H942" s="15"/>
    </row>
    <row r="943" spans="1:8" ht="15" customHeight="1">
      <c r="A943" s="204" t="s">
        <v>1184</v>
      </c>
      <c r="B943" s="74" t="s">
        <v>38</v>
      </c>
      <c r="C943" s="14" t="s">
        <v>907</v>
      </c>
      <c r="D943" s="239"/>
      <c r="E943" s="14" t="s">
        <v>908</v>
      </c>
      <c r="F943" s="239" t="str">
        <f>IF(wskakunin_p4_1_youto1_YOUTO="", "", wskakunin_p4_1_youto1_YOUTO)</f>
        <v/>
      </c>
      <c r="G943" s="15"/>
      <c r="H943" s="15"/>
    </row>
    <row r="944" spans="1:8" ht="15" customHeight="1">
      <c r="A944" s="110"/>
      <c r="B944" s="74" t="s">
        <v>909</v>
      </c>
      <c r="C944" s="14" t="s">
        <v>910</v>
      </c>
      <c r="D944" s="241"/>
      <c r="E944" s="14" t="s">
        <v>911</v>
      </c>
      <c r="F944" s="239" t="str">
        <f>IF(wskakunin_p4_1_youto1_YOUTO_CODE="","",wskakunin_p4_1_youto1_YOUTO_CODE)</f>
        <v/>
      </c>
      <c r="G944" s="15"/>
      <c r="H944" s="15"/>
    </row>
    <row r="945" spans="1:8" ht="15" customHeight="1">
      <c r="A945" s="110"/>
      <c r="B945" s="74" t="s">
        <v>912</v>
      </c>
      <c r="C945" s="103"/>
      <c r="D945" s="241"/>
      <c r="E945" s="14" t="s">
        <v>913</v>
      </c>
      <c r="F945" s="239"/>
      <c r="G945" s="15"/>
      <c r="H945" s="15"/>
    </row>
    <row r="946" spans="1:8" ht="15" customHeight="1">
      <c r="A946" s="110"/>
      <c r="B946" s="74" t="s">
        <v>914</v>
      </c>
      <c r="C946" s="103"/>
      <c r="D946" s="241"/>
      <c r="E946" s="14" t="s">
        <v>915</v>
      </c>
      <c r="F946" s="239"/>
      <c r="G946" s="15"/>
      <c r="H946" s="15"/>
    </row>
    <row r="947" spans="1:8" ht="15" customHeight="1">
      <c r="A947" s="110"/>
      <c r="B947" s="74" t="s">
        <v>916</v>
      </c>
      <c r="C947" s="103"/>
      <c r="D947" s="241"/>
      <c r="E947" s="14" t="s">
        <v>917</v>
      </c>
      <c r="F947" s="239"/>
      <c r="G947" s="15"/>
      <c r="H947" s="15"/>
    </row>
    <row r="948" spans="1:8" ht="15" customHeight="1">
      <c r="A948" s="110"/>
      <c r="B948" s="74" t="s">
        <v>918</v>
      </c>
      <c r="C948" s="103"/>
      <c r="D948" s="241"/>
      <c r="E948" s="14" t="s">
        <v>919</v>
      </c>
      <c r="F948" s="239"/>
      <c r="G948" s="15"/>
      <c r="H948" s="15"/>
    </row>
    <row r="949" spans="1:8" ht="15" customHeight="1">
      <c r="A949" s="110"/>
      <c r="B949" s="74" t="s">
        <v>920</v>
      </c>
      <c r="C949" s="103"/>
      <c r="D949" s="241"/>
      <c r="E949" s="14" t="s">
        <v>921</v>
      </c>
      <c r="F949" s="239"/>
      <c r="G949" s="15"/>
      <c r="H949" s="15"/>
    </row>
    <row r="950" spans="1:8" ht="15" customHeight="1">
      <c r="A950" s="110"/>
      <c r="B950" s="74" t="s">
        <v>922</v>
      </c>
      <c r="C950" s="103"/>
      <c r="D950" s="241"/>
      <c r="E950" s="14" t="s">
        <v>923</v>
      </c>
      <c r="F950" s="239"/>
      <c r="G950" s="15"/>
      <c r="H950" s="15"/>
    </row>
    <row r="951" spans="1:8" ht="15" customHeight="1">
      <c r="A951" s="110"/>
      <c r="B951" s="74" t="s">
        <v>1</v>
      </c>
      <c r="C951" s="103"/>
      <c r="D951" s="241"/>
      <c r="E951" s="14" t="s">
        <v>924</v>
      </c>
      <c r="F951" s="249" t="str">
        <f>IF(D944="08010","■","□")</f>
        <v>□</v>
      </c>
      <c r="G951" s="15"/>
      <c r="H951" s="15"/>
    </row>
    <row r="952" spans="1:8" ht="15" customHeight="1">
      <c r="A952" s="59"/>
      <c r="B952" s="74" t="s">
        <v>51</v>
      </c>
      <c r="C952" s="14" t="s">
        <v>925</v>
      </c>
      <c r="D952" s="239"/>
      <c r="E952" s="14" t="s">
        <v>926</v>
      </c>
      <c r="F952" s="239" t="str">
        <f>IF(wskakunin_p4_1__kouji="", "", wskakunin_p4_1__kouji)</f>
        <v/>
      </c>
      <c r="G952" s="15"/>
      <c r="H952" s="15"/>
    </row>
    <row r="953" spans="1:8" ht="15" customHeight="1">
      <c r="A953" s="261"/>
      <c r="B953" s="74"/>
      <c r="E953" s="14" t="s">
        <v>3040</v>
      </c>
      <c r="F953" s="239" t="str">
        <f>IF(COUNTIF(wskakunin_p4_1__kouji,"*新築*")&gt;0,"■","□")</f>
        <v>□</v>
      </c>
      <c r="G953" s="15"/>
      <c r="H953" s="15"/>
    </row>
    <row r="954" spans="1:8" ht="15" customHeight="1">
      <c r="A954" s="261"/>
      <c r="B954" s="74"/>
      <c r="E954" s="14" t="s">
        <v>3041</v>
      </c>
      <c r="F954" s="239" t="str">
        <f>IF(OR(COUNTIFS(wskakunin_p4_1__kouji,"*増築*")&gt;0,COUNTIFS(wskakunin_p4_1__kouji,"*改築*")&gt;0),"■","□")</f>
        <v>□</v>
      </c>
      <c r="G954" s="15"/>
      <c r="H954" s="15"/>
    </row>
    <row r="955" spans="1:8" ht="15" customHeight="1">
      <c r="A955" s="59"/>
      <c r="B955" s="74" t="s">
        <v>52</v>
      </c>
      <c r="C955" s="14" t="s">
        <v>927</v>
      </c>
      <c r="D955" s="239"/>
      <c r="E955" s="14" t="s">
        <v>928</v>
      </c>
      <c r="F955" s="239" t="str">
        <f>IF(wskakunin_p4_1_KAISU_TIKAI_NOZOKU="", "", wskakunin_p4_1_KAISU_TIKAI_NOZOKU)</f>
        <v/>
      </c>
      <c r="G955" s="15"/>
      <c r="H955" s="15"/>
    </row>
    <row r="956" spans="1:8" ht="15" customHeight="1">
      <c r="A956" s="59"/>
      <c r="B956" s="74" t="s">
        <v>53</v>
      </c>
      <c r="C956" s="14" t="s">
        <v>929</v>
      </c>
      <c r="D956" s="239"/>
      <c r="E956" s="14" t="s">
        <v>930</v>
      </c>
      <c r="F956" s="239" t="str">
        <f>IF(wskakunin_p4_1_KAISU_TIKAI="", "", wskakunin_p4_1_KAISU_TIKAI)</f>
        <v/>
      </c>
      <c r="G956" s="15"/>
      <c r="H956" s="15"/>
    </row>
    <row r="957" spans="1:8" ht="15" customHeight="1">
      <c r="A957" s="261"/>
      <c r="B957" s="74"/>
      <c r="D957" s="239"/>
      <c r="E957" s="14" t="s">
        <v>3205</v>
      </c>
      <c r="F957" s="239" t="str">
        <f>IF(wskakunin_p4_1_KAISU_TIKAI_NOZOKU="","",IF(cst_wskakunin_p4_1__kouji_box="□","",wskakunin_p4_1_KAISU_TIKAI_NOZOKU))</f>
        <v/>
      </c>
      <c r="G957" s="15"/>
      <c r="H957" s="15"/>
    </row>
    <row r="958" spans="1:8" ht="15" customHeight="1">
      <c r="A958" s="261"/>
      <c r="B958" s="74"/>
      <c r="D958" s="239"/>
      <c r="E958" s="14" t="s">
        <v>3206</v>
      </c>
      <c r="F958" s="239" t="str">
        <f>IF(wskakunin_p4_1_KAISU_TIKAI="","",IF(cst_wskakunin_p4_1__kouji_box="□","",wskakunin_p4_1_KAISU_TIKAI))</f>
        <v/>
      </c>
      <c r="G958" s="15"/>
      <c r="H958" s="15"/>
    </row>
    <row r="959" spans="1:8" ht="15" customHeight="1">
      <c r="A959" s="59"/>
      <c r="B959" s="74" t="s">
        <v>54</v>
      </c>
      <c r="C959" s="14" t="s">
        <v>931</v>
      </c>
      <c r="D959" s="239"/>
      <c r="E959" s="14" t="s">
        <v>932</v>
      </c>
      <c r="F959" s="239" t="str">
        <f>IF(wskakunin_p4_1_KOUZOU1="", "", wskakunin_p4_1_KOUZOU1)</f>
        <v/>
      </c>
      <c r="G959" s="15"/>
      <c r="H959" s="15"/>
    </row>
    <row r="960" spans="1:8" ht="15" customHeight="1">
      <c r="A960" s="59"/>
      <c r="B960" s="74" t="s">
        <v>55</v>
      </c>
      <c r="C960" s="14" t="s">
        <v>933</v>
      </c>
      <c r="D960" s="239"/>
      <c r="E960" s="14" t="s">
        <v>934</v>
      </c>
      <c r="F960" s="239" t="str">
        <f>IF(wskakunin_p4_1_KOUZOU2="", "", wskakunin_p4_1_KOUZOU2)</f>
        <v/>
      </c>
      <c r="G960" s="15"/>
      <c r="H960" s="15"/>
    </row>
    <row r="961" spans="1:8" ht="15" customHeight="1">
      <c r="A961" s="59"/>
      <c r="B961" s="74" t="s">
        <v>56</v>
      </c>
      <c r="C961" s="14" t="s">
        <v>935</v>
      </c>
      <c r="D961" s="248"/>
      <c r="E961" s="14" t="s">
        <v>936</v>
      </c>
      <c r="F961" s="239" t="str">
        <f>IF(wskakunin_p4_1_TAKASA_MAX="", "", wskakunin_p4_1_TAKASA_MAX)</f>
        <v/>
      </c>
      <c r="G961" s="15"/>
      <c r="H961" s="15"/>
    </row>
    <row r="962" spans="1:8" ht="15" customHeight="1">
      <c r="A962" s="59"/>
      <c r="B962" s="74" t="s">
        <v>57</v>
      </c>
      <c r="C962" s="14" t="s">
        <v>937</v>
      </c>
      <c r="D962" s="248"/>
      <c r="E962" s="14" t="s">
        <v>938</v>
      </c>
      <c r="F962" s="239" t="str">
        <f>IF(wskakunin_p4_1_TAKASA_KEN_MAX="", "", wskakunin_p4_1_TAKASA_KEN_MAX)</f>
        <v/>
      </c>
      <c r="G962" s="15"/>
      <c r="H962" s="15"/>
    </row>
    <row r="963" spans="1:8" ht="15" customHeight="1">
      <c r="A963" s="59"/>
      <c r="B963" s="202" t="s">
        <v>2500</v>
      </c>
      <c r="C963" s="14" t="s">
        <v>3243</v>
      </c>
      <c r="D963" s="248"/>
      <c r="E963" s="14" t="s">
        <v>3244</v>
      </c>
      <c r="F963" s="239" t="str">
        <f>IF(wskakunin_p4_1_YUKA_MENSEKI_SHINSEI="","",wskakunin_p4_1_YUKA_MENSEKI_SHINSEI)</f>
        <v/>
      </c>
      <c r="G963" s="15"/>
      <c r="H963" s="15"/>
    </row>
    <row r="964" spans="1:8" ht="15" customHeight="1">
      <c r="A964" s="261"/>
      <c r="B964" s="202" t="s">
        <v>2716</v>
      </c>
      <c r="C964" s="14" t="s">
        <v>2717</v>
      </c>
      <c r="D964" s="248"/>
      <c r="E964" s="14" t="s">
        <v>2718</v>
      </c>
      <c r="F964" s="239" t="str">
        <f>IF(wskakunin_p4_1_TOKUREI_KAKUNIN_FLAG=1,"有","無")</f>
        <v>無</v>
      </c>
      <c r="G964" s="15"/>
      <c r="H964" s="15"/>
    </row>
    <row r="965" spans="1:8" ht="15" customHeight="1">
      <c r="A965" s="261"/>
      <c r="B965" s="202"/>
      <c r="D965" s="203"/>
      <c r="E965" s="14" t="s">
        <v>2719</v>
      </c>
      <c r="F965" s="239" t="str">
        <f>IF(cst_wskakunin_p4_1_TOKUREI_KAKUNIN_FLAG="有","■","□")</f>
        <v>□</v>
      </c>
      <c r="G965" s="15"/>
      <c r="H965" s="15"/>
    </row>
    <row r="966" spans="1:8" ht="15" customHeight="1">
      <c r="A966" s="261"/>
      <c r="B966" s="202"/>
      <c r="D966" s="203"/>
      <c r="E966" s="14" t="s">
        <v>2720</v>
      </c>
      <c r="F966" s="239" t="str">
        <f>IF(cst_wskakunin_p4_1_TOKUREI_KAKUNIN_FLAG="無","■","□")</f>
        <v>■</v>
      </c>
      <c r="G966" s="15"/>
      <c r="H966" s="15"/>
    </row>
    <row r="967" spans="1:8" ht="15" customHeight="1">
      <c r="A967" s="130"/>
      <c r="B967" s="131"/>
      <c r="D967" s="203"/>
      <c r="F967" s="15"/>
      <c r="G967" s="15"/>
      <c r="H967" s="15"/>
    </row>
    <row r="968" spans="1:8" ht="15" customHeight="1">
      <c r="A968" s="266"/>
      <c r="B968" s="269" t="s">
        <v>2725</v>
      </c>
      <c r="C968" s="14" t="s">
        <v>2724</v>
      </c>
      <c r="D968" s="248"/>
      <c r="E968" s="14" t="s">
        <v>2730</v>
      </c>
      <c r="F968" s="239" t="str">
        <f>IF(wskakunin_p4_1_p5_1_KAI="","",wskakunin_p4_1_p5_1_KAI)</f>
        <v/>
      </c>
      <c r="G968" s="15"/>
      <c r="H968" s="15"/>
    </row>
    <row r="969" spans="1:8" ht="15" customHeight="1">
      <c r="A969" s="267"/>
      <c r="B969" s="74" t="s">
        <v>2726</v>
      </c>
      <c r="C969" s="14" t="s">
        <v>2727</v>
      </c>
      <c r="D969" s="248"/>
      <c r="E969" s="14" t="s">
        <v>2731</v>
      </c>
      <c r="F969" s="239" t="str">
        <f>IF(wskakunin_p4_1_p5_1_P4_MENSEKI_SHINSEI="","",wskakunin_p4_1_p5_1_P4_MENSEKI_SHINSEI)</f>
        <v/>
      </c>
      <c r="G969" s="15"/>
      <c r="H969" s="15"/>
    </row>
    <row r="970" spans="1:8" ht="15" customHeight="1">
      <c r="A970" s="267"/>
      <c r="B970" s="74" t="s">
        <v>2728</v>
      </c>
      <c r="C970" s="14" t="s">
        <v>2732</v>
      </c>
      <c r="D970" s="248"/>
      <c r="E970" s="14" t="s">
        <v>2734</v>
      </c>
      <c r="F970" s="239" t="str">
        <f>IF(wskakunin_p4_1_p5_2_KAI="","",wskakunin_p4_1_p5_2_KAI)</f>
        <v/>
      </c>
      <c r="G970" s="15"/>
      <c r="H970" s="15"/>
    </row>
    <row r="971" spans="1:8" ht="15" customHeight="1">
      <c r="A971" s="267"/>
      <c r="B971" s="74" t="s">
        <v>2729</v>
      </c>
      <c r="C971" s="14" t="s">
        <v>2733</v>
      </c>
      <c r="D971" s="248"/>
      <c r="E971" s="14" t="s">
        <v>2735</v>
      </c>
      <c r="F971" s="239" t="str">
        <f>IF(wskakunin_p4_1_p5_2_P4_MENSEKI_SHINSEI="","",wskakunin_p4_1_p5_2_P4_MENSEKI_SHINSEI)</f>
        <v/>
      </c>
      <c r="G971" s="15"/>
      <c r="H971" s="15"/>
    </row>
    <row r="972" spans="1:8" ht="15" customHeight="1">
      <c r="A972" s="267"/>
      <c r="B972" s="74" t="s">
        <v>2736</v>
      </c>
      <c r="C972" s="14" t="s">
        <v>2738</v>
      </c>
      <c r="D972" s="248"/>
      <c r="E972" s="14" t="s">
        <v>2740</v>
      </c>
      <c r="F972" s="239" t="str">
        <f>IF(wskakunin_p4_1_p5_3_KAI="","",wskakunin_p4_1_p5_3_KAI)</f>
        <v/>
      </c>
      <c r="G972" s="15"/>
      <c r="H972" s="15"/>
    </row>
    <row r="973" spans="1:8" ht="15" customHeight="1">
      <c r="A973" s="268"/>
      <c r="B973" s="74" t="s">
        <v>2737</v>
      </c>
      <c r="C973" s="14" t="s">
        <v>2739</v>
      </c>
      <c r="D973" s="248"/>
      <c r="E973" s="14" t="s">
        <v>2741</v>
      </c>
      <c r="F973" s="239" t="str">
        <f>IF(wskakunin_p4_1_p5_3_P4_MENSEKI_SHINSEI="","",wskakunin_p4_1_p5_3_P4_MENSEKI_SHINSEI)</f>
        <v/>
      </c>
      <c r="G973" s="15"/>
      <c r="H973" s="15"/>
    </row>
    <row r="975" spans="1:8" ht="15" customHeight="1">
      <c r="A975" s="56" t="s">
        <v>31</v>
      </c>
      <c r="B975" s="104"/>
      <c r="G975" s="15"/>
      <c r="H975" s="15"/>
    </row>
    <row r="976" spans="1:8" ht="15" customHeight="1">
      <c r="A976" s="44" t="s">
        <v>939</v>
      </c>
      <c r="B976" s="47"/>
      <c r="G976" s="15"/>
      <c r="H976" s="15"/>
    </row>
    <row r="977" spans="1:8" ht="15" customHeight="1">
      <c r="A977" s="81"/>
      <c r="B977" s="75" t="s">
        <v>621</v>
      </c>
      <c r="C977" s="14" t="s">
        <v>940</v>
      </c>
      <c r="D977" s="151" t="s">
        <v>4135</v>
      </c>
      <c r="E977" s="14" t="s">
        <v>941</v>
      </c>
      <c r="F977" s="151" t="str">
        <f>IF(wskakunin_BUILD__address="", "", wskakunin_BUILD__address)</f>
        <v>東京都港区虎ノ門１－１－１</v>
      </c>
      <c r="G977" s="15"/>
      <c r="H977" s="15"/>
    </row>
    <row r="978" spans="1:8" ht="15" customHeight="1">
      <c r="A978" s="81"/>
      <c r="B978" s="148" t="s">
        <v>1275</v>
      </c>
      <c r="C978" s="14" t="s">
        <v>942</v>
      </c>
      <c r="D978" s="151" t="s">
        <v>475</v>
      </c>
      <c r="E978" s="14" t="s">
        <v>943</v>
      </c>
      <c r="F978" s="151" t="str">
        <f>IF(wskakunin_BUILD_KEN__ken="","",wskakunin_BUILD_KEN__ken)</f>
        <v>東京都</v>
      </c>
      <c r="G978" s="15"/>
      <c r="H978" s="15"/>
    </row>
    <row r="979" spans="1:8" ht="15" customHeight="1">
      <c r="A979" s="81"/>
      <c r="B979" s="148" t="s">
        <v>1276</v>
      </c>
      <c r="C979" s="14" t="s">
        <v>1273</v>
      </c>
      <c r="D979" s="151" t="s">
        <v>4136</v>
      </c>
      <c r="E979" s="14" t="s">
        <v>1274</v>
      </c>
      <c r="F979" s="151" t="str">
        <f>IF(wskakunin_BUILD_ADDRESS="","",wskakunin_BUILD_ADDRESS)</f>
        <v>港区虎ノ門１－１－１</v>
      </c>
      <c r="G979" s="15"/>
      <c r="H979" s="15"/>
    </row>
    <row r="980" spans="1:8" ht="15" customHeight="1">
      <c r="A980" s="82"/>
      <c r="B980" s="83"/>
      <c r="D980" s="15"/>
      <c r="F980" s="15"/>
      <c r="G980" s="15"/>
      <c r="H980" s="15"/>
    </row>
    <row r="981" spans="1:8" ht="15" customHeight="1">
      <c r="A981" s="44" t="s">
        <v>509</v>
      </c>
      <c r="B981" s="47"/>
      <c r="G981" s="15"/>
      <c r="H981" s="15"/>
    </row>
    <row r="982" spans="1:8" ht="15" customHeight="1">
      <c r="A982" s="81"/>
      <c r="B982" s="75" t="s">
        <v>9</v>
      </c>
      <c r="C982" s="14" t="s">
        <v>1277</v>
      </c>
      <c r="D982" s="42"/>
      <c r="E982" s="14" t="s">
        <v>1279</v>
      </c>
      <c r="F982" s="42" t="str">
        <f>IF(wskakunin_BUILD_JYUKYO__address="","",wskakunin_BUILD_JYUKYO__address)</f>
        <v/>
      </c>
      <c r="G982" s="15"/>
      <c r="H982" s="15"/>
    </row>
    <row r="983" spans="1:8" ht="15" customHeight="1">
      <c r="A983" s="81"/>
      <c r="B983" s="148" t="s">
        <v>1275</v>
      </c>
      <c r="C983" s="14" t="s">
        <v>1278</v>
      </c>
      <c r="D983" s="42"/>
      <c r="E983" s="14" t="s">
        <v>1280</v>
      </c>
      <c r="F983" s="42" t="str">
        <f>IF(wskakunin_BUILD_JYUKYO_KEN__ken="","",wskakunin_BUILD_JYUKYO_KEN__ken)</f>
        <v/>
      </c>
      <c r="G983" s="15"/>
      <c r="H983" s="15"/>
    </row>
    <row r="984" spans="1:8" ht="15" customHeight="1">
      <c r="A984" s="81"/>
      <c r="B984" s="148" t="s">
        <v>1276</v>
      </c>
      <c r="C984" s="14" t="s">
        <v>944</v>
      </c>
      <c r="D984" s="151"/>
      <c r="E984" s="14" t="s">
        <v>945</v>
      </c>
      <c r="F984" s="151" t="str">
        <f>IF(wskakunin_BUILD_JYUKYO_ADDRESS="","",wskakunin_BUILD_JYUKYO_ADDRESS)</f>
        <v/>
      </c>
      <c r="G984" s="15"/>
      <c r="H984" s="15"/>
    </row>
    <row r="985" spans="1:8" ht="15" customHeight="1">
      <c r="A985" s="82"/>
      <c r="B985" s="83"/>
      <c r="D985" s="15"/>
      <c r="F985" s="15"/>
      <c r="G985" s="15"/>
      <c r="H985" s="15"/>
    </row>
    <row r="986" spans="1:8" ht="15" customHeight="1">
      <c r="A986" s="1" t="s">
        <v>946</v>
      </c>
      <c r="B986" s="47"/>
      <c r="G986" s="15"/>
      <c r="H986" s="15"/>
    </row>
    <row r="987" spans="1:8" ht="15" customHeight="1">
      <c r="A987" s="7"/>
      <c r="B987" s="75" t="s">
        <v>366</v>
      </c>
      <c r="C987" s="14" t="s">
        <v>947</v>
      </c>
      <c r="D987" s="151"/>
      <c r="E987" s="14" t="s">
        <v>948</v>
      </c>
      <c r="F987" s="151" t="str">
        <f>IF(wskakunin_KUIKI_TOSI=1,"■","□")</f>
        <v>□</v>
      </c>
      <c r="H987" s="15"/>
    </row>
    <row r="988" spans="1:8" ht="15" customHeight="1">
      <c r="A988" s="7"/>
      <c r="B988" s="75" t="s">
        <v>50</v>
      </c>
      <c r="C988" s="14" t="s">
        <v>949</v>
      </c>
      <c r="D988" s="151"/>
      <c r="E988" s="14" t="s">
        <v>950</v>
      </c>
      <c r="F988" s="151" t="str">
        <f>IF(wskakunin__kuiki="", "", wskakunin__kuiki)</f>
        <v/>
      </c>
      <c r="G988" s="15"/>
      <c r="H988" s="15"/>
    </row>
    <row r="989" spans="1:8" ht="15" customHeight="1">
      <c r="A989" s="218"/>
      <c r="B989" s="75"/>
      <c r="D989" s="15"/>
      <c r="E989" s="14" t="s">
        <v>2629</v>
      </c>
      <c r="F989" s="151" t="str">
        <f>IF(cst_wskakunin__kuiki="都市計画区域内","■","□")</f>
        <v>□</v>
      </c>
      <c r="G989" s="15"/>
      <c r="H989" s="15"/>
    </row>
    <row r="990" spans="1:8" ht="15" customHeight="1">
      <c r="A990" s="7"/>
      <c r="B990" s="75" t="s">
        <v>370</v>
      </c>
      <c r="C990" s="14" t="s">
        <v>951</v>
      </c>
      <c r="D990" s="151"/>
      <c r="E990" s="14" t="s">
        <v>952</v>
      </c>
      <c r="F990" s="151" t="str">
        <f>IF(wskakunin_KUIKI_SIGAIKA=1,"■","□")</f>
        <v>□</v>
      </c>
      <c r="G990" s="15"/>
      <c r="H990" s="15"/>
    </row>
    <row r="991" spans="1:8" ht="15" customHeight="1">
      <c r="A991" s="7"/>
      <c r="B991" s="75" t="s">
        <v>369</v>
      </c>
      <c r="C991" s="14" t="s">
        <v>953</v>
      </c>
      <c r="D991" s="151"/>
      <c r="E991" s="14" t="s">
        <v>954</v>
      </c>
      <c r="F991" s="151" t="str">
        <f>IF(wskakunin__tosi_kuiki="", "", wskakunin__tosi_kuiki)</f>
        <v/>
      </c>
      <c r="G991" s="15"/>
      <c r="H991" s="15"/>
    </row>
    <row r="992" spans="1:8" ht="15" customHeight="1">
      <c r="A992" s="7"/>
      <c r="B992" s="75" t="s">
        <v>371</v>
      </c>
      <c r="C992" s="14" t="s">
        <v>955</v>
      </c>
      <c r="D992" s="151"/>
      <c r="E992" s="14" t="s">
        <v>956</v>
      </c>
      <c r="F992" s="151" t="str">
        <f>IF(wskakunin_KUIKI_TYOSEI=1,"■","□")</f>
        <v>□</v>
      </c>
      <c r="H992" s="15"/>
    </row>
    <row r="993" spans="1:8" ht="15" customHeight="1">
      <c r="A993" s="7"/>
      <c r="B993" s="75" t="s">
        <v>372</v>
      </c>
      <c r="C993" s="14" t="s">
        <v>957</v>
      </c>
      <c r="D993" s="151"/>
      <c r="E993" s="14" t="s">
        <v>958</v>
      </c>
      <c r="F993" s="151" t="str">
        <f>IF(wskakunin_KUIKI_HISETTEI=1,"■","□")</f>
        <v>□</v>
      </c>
      <c r="H993" s="15"/>
    </row>
    <row r="994" spans="1:8" ht="15" customHeight="1">
      <c r="A994" s="7"/>
      <c r="B994" s="75" t="s">
        <v>367</v>
      </c>
      <c r="C994" s="14" t="s">
        <v>959</v>
      </c>
      <c r="D994" s="151"/>
      <c r="E994" s="14" t="s">
        <v>960</v>
      </c>
      <c r="F994" s="151" t="str">
        <f>IF(wskakunin_KUIKI_JYUN_TOSHI=1,"■","□")</f>
        <v>□</v>
      </c>
      <c r="H994" s="15"/>
    </row>
    <row r="995" spans="1:8" ht="15" customHeight="1">
      <c r="A995" s="7"/>
      <c r="B995" s="72" t="s">
        <v>368</v>
      </c>
      <c r="C995" s="14" t="s">
        <v>961</v>
      </c>
      <c r="D995" s="151"/>
      <c r="E995" s="14" t="s">
        <v>962</v>
      </c>
      <c r="F995" s="151" t="str">
        <f>IF(wskakunin_KUIKI_KUIKIGAI=1,"■","□")</f>
        <v>□</v>
      </c>
      <c r="H995" s="15"/>
    </row>
    <row r="996" spans="1:8" ht="15" customHeight="1">
      <c r="A996" s="8"/>
      <c r="B996" s="73"/>
      <c r="D996" s="15"/>
      <c r="F996" s="15"/>
      <c r="H996" s="15"/>
    </row>
    <row r="997" spans="1:8" ht="15" customHeight="1">
      <c r="A997" s="1" t="s">
        <v>510</v>
      </c>
      <c r="B997" s="26"/>
      <c r="C997" s="14" t="s">
        <v>963</v>
      </c>
      <c r="D997" s="151"/>
      <c r="E997" s="14" t="s">
        <v>964</v>
      </c>
      <c r="F997" s="151" t="str">
        <f>IF(wskakunin__bouka="", "", wskakunin__bouka)</f>
        <v/>
      </c>
      <c r="H997" s="15"/>
    </row>
    <row r="998" spans="1:8" ht="15" customHeight="1">
      <c r="A998" s="7"/>
      <c r="B998" s="69" t="s">
        <v>373</v>
      </c>
      <c r="C998" s="14" t="s">
        <v>965</v>
      </c>
      <c r="D998" s="151"/>
      <c r="E998" s="14" t="s">
        <v>966</v>
      </c>
      <c r="F998" s="151" t="str">
        <f>IF(wskakunin_BOUKA_BOUKA=1,"■","□")</f>
        <v>□</v>
      </c>
      <c r="H998" s="15"/>
    </row>
    <row r="999" spans="1:8" ht="15" customHeight="1">
      <c r="A999" s="7"/>
      <c r="B999" s="69" t="s">
        <v>374</v>
      </c>
      <c r="C999" s="14" t="s">
        <v>967</v>
      </c>
      <c r="D999" s="151"/>
      <c r="E999" s="14" t="s">
        <v>968</v>
      </c>
      <c r="F999" s="151" t="str">
        <f>IF(wskakunin_BOUKA_JYUN_BOUKA=1,"■","□")</f>
        <v>□</v>
      </c>
      <c r="H999" s="15"/>
    </row>
    <row r="1000" spans="1:8" ht="15" customHeight="1">
      <c r="A1000" s="7"/>
      <c r="B1000" s="69" t="s">
        <v>134</v>
      </c>
      <c r="C1000" s="14" t="s">
        <v>969</v>
      </c>
      <c r="D1000" s="151"/>
      <c r="E1000" s="14" t="s">
        <v>970</v>
      </c>
      <c r="F1000" s="151" t="str">
        <f>IF(wskakunin_BOUKA_NASI=1,"■","□")</f>
        <v>□</v>
      </c>
      <c r="H1000" s="15"/>
    </row>
    <row r="1001" spans="1:8" ht="15" customHeight="1">
      <c r="A1001" s="7"/>
      <c r="B1001" s="69" t="s">
        <v>375</v>
      </c>
      <c r="C1001" s="14" t="s">
        <v>971</v>
      </c>
      <c r="D1001" s="151"/>
      <c r="E1001" s="14" t="s">
        <v>972</v>
      </c>
      <c r="F1001" s="151" t="str">
        <f>IF(wskakunin_BOUKA_22JYO=1,"■","□")</f>
        <v>□</v>
      </c>
      <c r="H1001" s="15"/>
    </row>
    <row r="1002" spans="1:8" ht="15" customHeight="1">
      <c r="A1002" s="8"/>
      <c r="B1002" s="70"/>
      <c r="D1002" s="15"/>
      <c r="F1002" s="15"/>
      <c r="H1002" s="15"/>
    </row>
    <row r="1003" spans="1:8" ht="15" customHeight="1">
      <c r="A1003" s="1" t="s">
        <v>511</v>
      </c>
      <c r="B1003" s="26"/>
      <c r="C1003" s="14" t="s">
        <v>973</v>
      </c>
      <c r="D1003" s="151"/>
      <c r="E1003" s="14" t="s">
        <v>974</v>
      </c>
      <c r="F1003" s="151" t="str">
        <f>IF(wskakunin_SONOTA_KUIKI="","",wskakunin_SONOTA_KUIKI)</f>
        <v/>
      </c>
      <c r="H1003" s="15"/>
    </row>
    <row r="1004" spans="1:8" ht="15" customHeight="1">
      <c r="A1004" s="8"/>
      <c r="B1004" s="61"/>
      <c r="H1004" s="15"/>
    </row>
    <row r="1005" spans="1:8" ht="15" customHeight="1">
      <c r="A1005" s="25" t="s">
        <v>512</v>
      </c>
      <c r="B1005" s="25"/>
      <c r="D1005" s="15"/>
      <c r="F1005" s="15"/>
      <c r="H1005" s="15"/>
    </row>
    <row r="1006" spans="1:8" ht="15" customHeight="1">
      <c r="A1006" s="25"/>
      <c r="B1006" s="69" t="s">
        <v>513</v>
      </c>
      <c r="C1006" s="14" t="s">
        <v>975</v>
      </c>
      <c r="D1006" s="250"/>
      <c r="E1006" s="14" t="s">
        <v>976</v>
      </c>
      <c r="F1006" s="250" t="str">
        <f>IF(wskakunin_DOURO_FUKUIN="","",wskakunin_DOURO_FUKUIN)</f>
        <v/>
      </c>
      <c r="H1006" s="15"/>
    </row>
    <row r="1007" spans="1:8" ht="15" customHeight="1">
      <c r="A1007" s="25"/>
      <c r="B1007" s="69" t="s">
        <v>514</v>
      </c>
      <c r="C1007" s="14" t="s">
        <v>977</v>
      </c>
      <c r="D1007" s="250"/>
      <c r="E1007" s="14" t="s">
        <v>978</v>
      </c>
      <c r="F1007" s="250" t="str">
        <f>IF(wskakunin_DOURO_NAGASA="","",wskakunin_DOURO_NAGASA)</f>
        <v/>
      </c>
      <c r="H1007" s="15"/>
    </row>
    <row r="1008" spans="1:8" ht="15" customHeight="1">
      <c r="A1008" s="25"/>
      <c r="B1008" s="70"/>
      <c r="D1008" s="15"/>
      <c r="F1008" s="15"/>
      <c r="H1008" s="15"/>
    </row>
    <row r="1009" spans="1:8" ht="15" customHeight="1">
      <c r="A1009" s="65" t="s">
        <v>515</v>
      </c>
      <c r="B1009" s="66"/>
      <c r="D1009" s="15"/>
      <c r="F1009" s="15"/>
      <c r="H1009" s="15"/>
    </row>
    <row r="1010" spans="1:8" ht="15" customHeight="1">
      <c r="A1010" s="43" t="s">
        <v>619</v>
      </c>
      <c r="B1010" s="67"/>
      <c r="D1010" s="15"/>
      <c r="F1010" s="15"/>
      <c r="H1010" s="15"/>
    </row>
    <row r="1011" spans="1:8" ht="15" customHeight="1">
      <c r="A1011" s="7"/>
      <c r="B1011" s="69" t="s">
        <v>979</v>
      </c>
      <c r="C1011" s="14" t="s">
        <v>980</v>
      </c>
      <c r="D1011" s="251"/>
      <c r="E1011" s="14" t="s">
        <v>981</v>
      </c>
      <c r="F1011" s="251" t="str">
        <f>IF(wskakunin_SHIKITI_MENSEKI_1A="","",wskakunin_SHIKITI_MENSEKI_1A)</f>
        <v/>
      </c>
      <c r="H1011" s="15"/>
    </row>
    <row r="1012" spans="1:8" ht="15" customHeight="1">
      <c r="A1012" s="7"/>
      <c r="B1012" s="69" t="s">
        <v>982</v>
      </c>
      <c r="C1012" s="14" t="s">
        <v>983</v>
      </c>
      <c r="D1012" s="251"/>
      <c r="E1012" s="14" t="s">
        <v>984</v>
      </c>
      <c r="F1012" s="251" t="str">
        <f>IF(wskakunin_SHIKITI_MENSEKI_1B="","",wskakunin_SHIKITI_MENSEKI_1B)</f>
        <v/>
      </c>
      <c r="H1012" s="15"/>
    </row>
    <row r="1013" spans="1:8" ht="15" customHeight="1">
      <c r="A1013" s="7"/>
      <c r="B1013" s="69" t="s">
        <v>985</v>
      </c>
      <c r="C1013" s="14" t="s">
        <v>986</v>
      </c>
      <c r="D1013" s="251"/>
      <c r="E1013" s="14" t="s">
        <v>987</v>
      </c>
      <c r="F1013" s="251" t="str">
        <f>IF(wskakunin_SHIKITI_MENSEKI_1C="","",wskakunin_SHIKITI_MENSEKI_1C)</f>
        <v/>
      </c>
      <c r="H1013" s="15"/>
    </row>
    <row r="1014" spans="1:8" ht="15" customHeight="1">
      <c r="A1014" s="7"/>
      <c r="B1014" s="69" t="s">
        <v>988</v>
      </c>
      <c r="C1014" s="14" t="s">
        <v>989</v>
      </c>
      <c r="D1014" s="251"/>
      <c r="E1014" s="14" t="s">
        <v>990</v>
      </c>
      <c r="F1014" s="251" t="str">
        <f>IF(wskakunin_SHIKITI_MENSEKI_1D="","",wskakunin_SHIKITI_MENSEKI_1D)</f>
        <v/>
      </c>
      <c r="H1014" s="15"/>
    </row>
    <row r="1015" spans="1:8" ht="15" customHeight="1">
      <c r="A1015" s="7"/>
      <c r="B1015" s="69" t="s">
        <v>991</v>
      </c>
      <c r="C1015" s="14" t="s">
        <v>992</v>
      </c>
      <c r="D1015" s="251"/>
      <c r="E1015" s="14" t="s">
        <v>993</v>
      </c>
      <c r="F1015" s="251" t="str">
        <f>IF(wskakunin_SHIKITI_MENSEKI_2A="","",wskakunin_SHIKITI_MENSEKI_2A)</f>
        <v/>
      </c>
      <c r="H1015" s="15"/>
    </row>
    <row r="1016" spans="1:8" ht="15" customHeight="1">
      <c r="A1016" s="7"/>
      <c r="B1016" s="69" t="s">
        <v>994</v>
      </c>
      <c r="C1016" s="14" t="s">
        <v>995</v>
      </c>
      <c r="D1016" s="251"/>
      <c r="E1016" s="14" t="s">
        <v>996</v>
      </c>
      <c r="F1016" s="251" t="str">
        <f>IF(wskakunin_SHIKITI_MENSEKI_2B="","",wskakunin_SHIKITI_MENSEKI_2B)</f>
        <v/>
      </c>
      <c r="H1016" s="15"/>
    </row>
    <row r="1017" spans="1:8" ht="15" customHeight="1">
      <c r="A1017" s="7"/>
      <c r="B1017" s="69" t="s">
        <v>997</v>
      </c>
      <c r="C1017" s="14" t="s">
        <v>998</v>
      </c>
      <c r="D1017" s="251"/>
      <c r="E1017" s="14" t="s">
        <v>999</v>
      </c>
      <c r="F1017" s="251" t="str">
        <f>IF(wskakunin_SHIKITI_MENSEKI_2C="","",wskakunin_SHIKITI_MENSEKI_2C)</f>
        <v/>
      </c>
      <c r="H1017" s="15"/>
    </row>
    <row r="1018" spans="1:8" ht="15" customHeight="1">
      <c r="A1018" s="7"/>
      <c r="B1018" s="41" t="s">
        <v>1000</v>
      </c>
      <c r="C1018" s="14" t="s">
        <v>1001</v>
      </c>
      <c r="D1018" s="251"/>
      <c r="E1018" s="14" t="s">
        <v>1002</v>
      </c>
      <c r="F1018" s="251" t="str">
        <f>IF(wskakunin_SHIKITI_MENSEKI_2D="","",wskakunin_SHIKITI_MENSEKI_2D)</f>
        <v/>
      </c>
      <c r="H1018" s="15"/>
    </row>
    <row r="1019" spans="1:8" ht="15" customHeight="1">
      <c r="A1019" s="43" t="s">
        <v>135</v>
      </c>
      <c r="B1019" s="67"/>
      <c r="D1019" s="15"/>
      <c r="F1019" s="15"/>
      <c r="H1019" s="15"/>
    </row>
    <row r="1020" spans="1:8" ht="15" customHeight="1">
      <c r="A1020" s="218"/>
      <c r="B1020" s="141"/>
      <c r="C1020" s="14" t="s">
        <v>3001</v>
      </c>
      <c r="D1020" s="151"/>
      <c r="E1020" s="14" t="s">
        <v>3002</v>
      </c>
      <c r="F1020" s="151" t="str">
        <f>IF(wskakunin_YOUTO_TIIKI="","",wskakunin_YOUTO_TIIKI)</f>
        <v/>
      </c>
      <c r="H1020" s="15"/>
    </row>
    <row r="1021" spans="1:8" ht="15" customHeight="1">
      <c r="A1021" s="7"/>
      <c r="B1021" s="69" t="s">
        <v>1003</v>
      </c>
      <c r="C1021" s="14" t="s">
        <v>1004</v>
      </c>
      <c r="D1021" s="151"/>
      <c r="E1021" s="14" t="s">
        <v>1005</v>
      </c>
      <c r="F1021" s="151" t="str">
        <f>IF(wskakunin_YOUTO_TIIKI_A="", "", wskakunin_YOUTO_TIIKI_A)</f>
        <v/>
      </c>
      <c r="H1021" s="15"/>
    </row>
    <row r="1022" spans="1:8" ht="15" customHeight="1">
      <c r="A1022" s="7"/>
      <c r="B1022" s="69" t="s">
        <v>1006</v>
      </c>
      <c r="C1022" s="14" t="s">
        <v>1007</v>
      </c>
      <c r="D1022" s="151"/>
      <c r="E1022" s="14" t="s">
        <v>1008</v>
      </c>
      <c r="F1022" s="151" t="str">
        <f>IF(wskakunin_YOUTO_TIIKI_B="","",wskakunin_YOUTO_TIIKI_B)</f>
        <v/>
      </c>
      <c r="H1022" s="15"/>
    </row>
    <row r="1023" spans="1:8" ht="15" customHeight="1">
      <c r="A1023" s="7"/>
      <c r="B1023" s="69" t="s">
        <v>1009</v>
      </c>
      <c r="C1023" s="14" t="s">
        <v>1010</v>
      </c>
      <c r="D1023" s="151"/>
      <c r="E1023" s="14" t="s">
        <v>1011</v>
      </c>
      <c r="F1023" s="151" t="str">
        <f>IF(wskakunin_YOUTO_TIIKI_C="","",wskakunin_YOUTO_TIIKI_C)</f>
        <v/>
      </c>
      <c r="H1023" s="15"/>
    </row>
    <row r="1024" spans="1:8" ht="15" customHeight="1">
      <c r="A1024" s="68"/>
      <c r="B1024" s="69" t="s">
        <v>1012</v>
      </c>
      <c r="C1024" s="14" t="s">
        <v>1013</v>
      </c>
      <c r="D1024" s="151"/>
      <c r="E1024" s="14" t="s">
        <v>1014</v>
      </c>
      <c r="F1024" s="151" t="str">
        <f>IF(wskakunin_YOUTO_TIIKI_D="","",wskakunin_YOUTO_TIIKI_D)</f>
        <v/>
      </c>
      <c r="G1024" s="14" t="s">
        <v>531</v>
      </c>
      <c r="H1024" s="15"/>
    </row>
    <row r="1025" spans="1:8" ht="15" customHeight="1">
      <c r="A1025" s="43" t="s">
        <v>117</v>
      </c>
      <c r="B1025" s="67"/>
      <c r="D1025" s="15"/>
      <c r="F1025" s="15"/>
      <c r="H1025" s="15"/>
    </row>
    <row r="1026" spans="1:8" ht="15" customHeight="1">
      <c r="A1026" s="7"/>
      <c r="B1026" s="69" t="s">
        <v>1003</v>
      </c>
      <c r="C1026" s="14" t="s">
        <v>1015</v>
      </c>
      <c r="D1026" s="251"/>
      <c r="E1026" s="105" t="s">
        <v>1016</v>
      </c>
      <c r="F1026" s="251" t="str">
        <f>IF(wskakunin_YOUSEKI_RITU_A="","",wskakunin_YOUSEKI_RITU_A)</f>
        <v/>
      </c>
      <c r="H1026" s="15"/>
    </row>
    <row r="1027" spans="1:8" ht="15" customHeight="1">
      <c r="A1027" s="7"/>
      <c r="B1027" s="69" t="s">
        <v>1006</v>
      </c>
      <c r="C1027" s="14" t="s">
        <v>1017</v>
      </c>
      <c r="D1027" s="251"/>
      <c r="E1027" s="105" t="s">
        <v>1018</v>
      </c>
      <c r="F1027" s="251" t="str">
        <f>IF(wskakunin_YOUSEKI_RITU_B="","",wskakunin_YOUSEKI_RITU_B)</f>
        <v/>
      </c>
      <c r="H1027" s="15"/>
    </row>
    <row r="1028" spans="1:8" ht="15" customHeight="1">
      <c r="A1028" s="7"/>
      <c r="B1028" s="69" t="s">
        <v>1009</v>
      </c>
      <c r="C1028" s="14" t="s">
        <v>1019</v>
      </c>
      <c r="D1028" s="251"/>
      <c r="E1028" s="105" t="s">
        <v>1020</v>
      </c>
      <c r="F1028" s="251" t="str">
        <f>IF(wskakunin_YOUSEKI_RITU_C="","",wskakunin_YOUSEKI_RITU_C)</f>
        <v/>
      </c>
      <c r="H1028" s="15"/>
    </row>
    <row r="1029" spans="1:8" ht="15" customHeight="1">
      <c r="A1029" s="68"/>
      <c r="B1029" s="69" t="s">
        <v>1012</v>
      </c>
      <c r="C1029" s="14" t="s">
        <v>1021</v>
      </c>
      <c r="D1029" s="251"/>
      <c r="E1029" s="105" t="s">
        <v>1022</v>
      </c>
      <c r="F1029" s="251" t="str">
        <f>IF(wskakunin_YOUSEKI_RITU_D="","",wskakunin_YOUSEKI_RITU_D)</f>
        <v/>
      </c>
      <c r="H1029" s="15"/>
    </row>
    <row r="1030" spans="1:8" ht="15" customHeight="1">
      <c r="A1030" s="43" t="s">
        <v>516</v>
      </c>
      <c r="B1030" s="67"/>
      <c r="D1030" s="106"/>
      <c r="E1030" s="105"/>
      <c r="F1030" s="106"/>
      <c r="H1030" s="15"/>
    </row>
    <row r="1031" spans="1:8" ht="15" customHeight="1">
      <c r="A1031" s="7"/>
      <c r="B1031" s="69" t="s">
        <v>1003</v>
      </c>
      <c r="C1031" s="14" t="s">
        <v>1023</v>
      </c>
      <c r="D1031" s="251"/>
      <c r="E1031" s="105" t="s">
        <v>1024</v>
      </c>
      <c r="F1031" s="251" t="str">
        <f>IF(wskakunin_KENPEI_RITU_A="","",wskakunin_KENPEI_RITU_A)</f>
        <v/>
      </c>
      <c r="H1031" s="15"/>
    </row>
    <row r="1032" spans="1:8" ht="15" customHeight="1">
      <c r="A1032" s="7"/>
      <c r="B1032" s="69" t="s">
        <v>1006</v>
      </c>
      <c r="C1032" s="14" t="s">
        <v>1025</v>
      </c>
      <c r="D1032" s="251"/>
      <c r="E1032" s="105" t="s">
        <v>1026</v>
      </c>
      <c r="F1032" s="251" t="str">
        <f>IF(wskakunin_KENPEI_RITU_B="","",wskakunin_KENPEI_RITU_B)</f>
        <v/>
      </c>
    </row>
    <row r="1033" spans="1:8" ht="15" customHeight="1">
      <c r="A1033" s="7"/>
      <c r="B1033" s="69" t="s">
        <v>1009</v>
      </c>
      <c r="C1033" s="14" t="s">
        <v>1027</v>
      </c>
      <c r="D1033" s="251"/>
      <c r="E1033" s="105" t="s">
        <v>1028</v>
      </c>
      <c r="F1033" s="251" t="str">
        <f>IF(wskakunin_KENPEI_RITU_C="","",wskakunin_KENPEI_RITU_C)</f>
        <v/>
      </c>
    </row>
    <row r="1034" spans="1:8" ht="15" customHeight="1">
      <c r="A1034" s="68"/>
      <c r="B1034" s="69" t="s">
        <v>1012</v>
      </c>
      <c r="C1034" s="14" t="s">
        <v>1029</v>
      </c>
      <c r="D1034" s="251"/>
      <c r="E1034" s="105" t="s">
        <v>1030</v>
      </c>
      <c r="F1034" s="251" t="str">
        <f>IF(wskakunin_KENPEI_RITU_D="","",wskakunin_KENPEI_RITU_D)</f>
        <v/>
      </c>
    </row>
    <row r="1035" spans="1:8" ht="15" customHeight="1">
      <c r="A1035" s="7" t="s">
        <v>620</v>
      </c>
      <c r="B1035" s="27"/>
      <c r="D1035" s="106"/>
      <c r="E1035" s="105"/>
      <c r="F1035" s="106"/>
    </row>
    <row r="1036" spans="1:8" ht="15" customHeight="1">
      <c r="A1036" s="7"/>
      <c r="B1036" s="69" t="s">
        <v>1031</v>
      </c>
      <c r="C1036" s="14" t="s">
        <v>1032</v>
      </c>
      <c r="D1036" s="251"/>
      <c r="E1036" s="14" t="s">
        <v>1033</v>
      </c>
      <c r="F1036" s="151" t="str">
        <f>IF(wskakunin_SHIKITI_MENSEKI_1_TOTAL="", "", wskakunin_SHIKITI_MENSEKI_1_TOTAL)</f>
        <v/>
      </c>
    </row>
    <row r="1037" spans="1:8" ht="15" customHeight="1">
      <c r="A1037" s="218"/>
      <c r="B1037" s="69" t="s">
        <v>3203</v>
      </c>
      <c r="E1037" s="14" t="s">
        <v>3204</v>
      </c>
      <c r="F1037" s="151" t="str">
        <f>IF(wskakunin_SHIKITI_MENSEKI_1_TOTAL="","",IF(cst_wskakunin_p4_1__kouji_box="□","",wskakunin_SHIKITI_MENSEKI_1_TOTAL))</f>
        <v/>
      </c>
    </row>
    <row r="1038" spans="1:8" ht="15" customHeight="1">
      <c r="A1038" s="7"/>
      <c r="B1038" s="69" t="s">
        <v>1034</v>
      </c>
      <c r="C1038" s="14" t="s">
        <v>1035</v>
      </c>
      <c r="D1038" s="251"/>
      <c r="E1038" s="105" t="s">
        <v>1036</v>
      </c>
      <c r="F1038" s="251" t="str">
        <f>IF(wskakunin_SHIKITI_MENSEKI_2_TOTAL="","",wskakunin_SHIKITI_MENSEKI_2_TOTAL)</f>
        <v/>
      </c>
    </row>
    <row r="1039" spans="1:8" ht="15" customHeight="1">
      <c r="A1039" s="7"/>
      <c r="B1039" s="80" t="s">
        <v>1037</v>
      </c>
      <c r="C1039" s="14" t="s">
        <v>1038</v>
      </c>
      <c r="D1039" s="251"/>
      <c r="E1039" s="105" t="s">
        <v>1039</v>
      </c>
      <c r="F1039" s="251" t="str">
        <f>IF(wskakunin_LIMIT_YOUSEKI_RITU="","",wskakunin_LIMIT_YOUSEKI_RITU)</f>
        <v/>
      </c>
    </row>
    <row r="1040" spans="1:8" ht="15" customHeight="1">
      <c r="A1040" s="7"/>
      <c r="B1040" s="80" t="s">
        <v>1040</v>
      </c>
      <c r="C1040" s="14" t="s">
        <v>1041</v>
      </c>
      <c r="D1040" s="251"/>
      <c r="E1040" s="105" t="s">
        <v>1042</v>
      </c>
      <c r="F1040" s="251" t="str">
        <f>IF(wskakunin_LIMIT_KENPEI_RITU="","",wskakunin_LIMIT_KENPEI_RITU)</f>
        <v/>
      </c>
    </row>
    <row r="1041" spans="1:7" ht="15" customHeight="1">
      <c r="A1041" s="8"/>
      <c r="B1041" s="70" t="s">
        <v>400</v>
      </c>
      <c r="C1041" s="14" t="s">
        <v>1043</v>
      </c>
      <c r="D1041" s="151"/>
      <c r="E1041" s="14" t="s">
        <v>1044</v>
      </c>
      <c r="F1041" s="151" t="str">
        <f>IF(wskakunin_SHIKITI_MENSEKI_BIKOU="","",wskakunin_SHIKITI_MENSEKI_BIKOU)</f>
        <v/>
      </c>
    </row>
    <row r="1042" spans="1:7" ht="15" customHeight="1">
      <c r="A1042" s="44" t="s">
        <v>517</v>
      </c>
      <c r="B1042" s="45"/>
      <c r="D1042" s="15"/>
      <c r="F1042" s="15"/>
    </row>
    <row r="1043" spans="1:7" ht="15" customHeight="1">
      <c r="A1043" s="81"/>
      <c r="B1043" s="75" t="s">
        <v>1045</v>
      </c>
      <c r="C1043" s="14" t="s">
        <v>1046</v>
      </c>
      <c r="D1043" s="233"/>
      <c r="E1043" s="14" t="s">
        <v>1047</v>
      </c>
      <c r="F1043" s="233" t="str">
        <f>IF(wskakunin_YOUTO_CODE="","",wskakunin_YOUTO_CODE)</f>
        <v/>
      </c>
    </row>
    <row r="1044" spans="1:7" ht="15" customHeight="1">
      <c r="A1044" s="81"/>
      <c r="B1044" s="75" t="s">
        <v>38</v>
      </c>
      <c r="C1044" s="14" t="s">
        <v>1048</v>
      </c>
      <c r="D1044" s="151"/>
      <c r="E1044" s="14" t="s">
        <v>1049</v>
      </c>
      <c r="F1044" s="151" t="str">
        <f>IF(wskakunin_YOUTO="", "", wskakunin_YOUTO)</f>
        <v/>
      </c>
    </row>
    <row r="1045" spans="1:7" ht="15" customHeight="1">
      <c r="A1045" s="215"/>
      <c r="B1045" s="147" t="s">
        <v>2598</v>
      </c>
      <c r="C1045" s="14" t="s">
        <v>2599</v>
      </c>
      <c r="D1045" s="151"/>
      <c r="E1045" s="14" t="s">
        <v>2600</v>
      </c>
      <c r="F1045" s="151" t="str">
        <f>IF(shinsei_UNIT_COUNT="","",shinsei_UNIT_COUNT)</f>
        <v/>
      </c>
    </row>
    <row r="1046" spans="1:7" ht="15" customHeight="1">
      <c r="A1046" s="215"/>
      <c r="B1046" s="75" t="s">
        <v>2712</v>
      </c>
      <c r="D1046" s="15"/>
      <c r="E1046" s="14" t="s">
        <v>2714</v>
      </c>
      <c r="F1046" s="151" t="str">
        <f>IF(cst_wskakunin_YOUTO="一戸建ての住宅","■","□")</f>
        <v>□</v>
      </c>
    </row>
    <row r="1047" spans="1:7" ht="15" customHeight="1">
      <c r="A1047" s="215"/>
      <c r="B1047" s="75" t="s">
        <v>2713</v>
      </c>
      <c r="D1047" s="15"/>
      <c r="E1047" s="14" t="s">
        <v>2715</v>
      </c>
      <c r="F1047" s="151" t="str">
        <f>IF(OR(cst_wskakunin_YOUTO="",cst_wskakunin_YOUTO="一戸建ての住宅"),"□","■")</f>
        <v>□</v>
      </c>
    </row>
    <row r="1048" spans="1:7" ht="15" customHeight="1">
      <c r="A1048" s="1" t="s">
        <v>518</v>
      </c>
      <c r="B1048" s="66"/>
      <c r="D1048" s="15"/>
      <c r="F1048" s="15"/>
    </row>
    <row r="1049" spans="1:7" ht="15" customHeight="1">
      <c r="A1049" s="68"/>
      <c r="B1049" s="69" t="s">
        <v>2242</v>
      </c>
      <c r="C1049" s="14" t="s">
        <v>1050</v>
      </c>
      <c r="D1049" s="151" t="s">
        <v>376</v>
      </c>
      <c r="E1049" s="14" t="s">
        <v>1051</v>
      </c>
      <c r="F1049" s="151" t="str">
        <f>IF(wskakunin__kouji="", "", wskakunin__kouji)</f>
        <v>新築</v>
      </c>
    </row>
    <row r="1050" spans="1:7" ht="15" customHeight="1">
      <c r="A1050" s="7"/>
      <c r="B1050" s="69" t="s">
        <v>376</v>
      </c>
      <c r="C1050" s="14" t="s">
        <v>1052</v>
      </c>
      <c r="D1050" s="151">
        <v>1</v>
      </c>
      <c r="E1050" s="14" t="s">
        <v>2250</v>
      </c>
      <c r="F1050" s="151" t="str">
        <f>IF(wskakunin_KOUJI_SINTIKU=1,"■","□")</f>
        <v>■</v>
      </c>
    </row>
    <row r="1051" spans="1:7" ht="15" customHeight="1">
      <c r="A1051" s="7"/>
      <c r="B1051" s="69" t="s">
        <v>377</v>
      </c>
      <c r="C1051" s="14" t="s">
        <v>1053</v>
      </c>
      <c r="D1051" s="151"/>
      <c r="E1051" s="14" t="s">
        <v>2251</v>
      </c>
      <c r="F1051" s="151" t="str">
        <f>IF(wskakunin_KOUJI_ZOUTIKU=1,"■","□")</f>
        <v>□</v>
      </c>
    </row>
    <row r="1052" spans="1:7" ht="15" customHeight="1">
      <c r="A1052" s="7"/>
      <c r="B1052" s="69" t="s">
        <v>378</v>
      </c>
      <c r="C1052" s="14" t="s">
        <v>1054</v>
      </c>
      <c r="D1052" s="151"/>
      <c r="E1052" s="14" t="s">
        <v>2252</v>
      </c>
      <c r="F1052" s="151" t="str">
        <f>IF(wskakunin_KOUJI_KAITIKU=1,"■","□")</f>
        <v>□</v>
      </c>
    </row>
    <row r="1053" spans="1:7" ht="15" customHeight="1">
      <c r="A1053" s="7"/>
      <c r="B1053" s="69" t="s">
        <v>379</v>
      </c>
      <c r="C1053" s="14" t="s">
        <v>1055</v>
      </c>
      <c r="D1053" s="151"/>
      <c r="E1053" s="14" t="s">
        <v>2253</v>
      </c>
      <c r="F1053" s="151" t="str">
        <f>IF(wskakunin_KOUJI_ITEN=1,"■","□")</f>
        <v>□</v>
      </c>
    </row>
    <row r="1054" spans="1:7" ht="15" customHeight="1">
      <c r="A1054" s="7"/>
      <c r="B1054" s="69" t="s">
        <v>519</v>
      </c>
      <c r="C1054" s="14" t="s">
        <v>1056</v>
      </c>
      <c r="D1054" s="151"/>
      <c r="E1054" s="14" t="s">
        <v>2254</v>
      </c>
      <c r="F1054" s="151" t="str">
        <f>IF(wskakunin_KOUJI_YOUTOHENKOU=1,"■","□")</f>
        <v>□</v>
      </c>
      <c r="G1054" s="14" t="s">
        <v>2244</v>
      </c>
    </row>
    <row r="1055" spans="1:7" ht="15" customHeight="1">
      <c r="A1055" s="7"/>
      <c r="B1055" s="69" t="s">
        <v>1057</v>
      </c>
      <c r="C1055" s="14" t="s">
        <v>1058</v>
      </c>
      <c r="D1055" s="151"/>
      <c r="E1055" s="14" t="s">
        <v>2255</v>
      </c>
      <c r="F1055" s="151" t="str">
        <f>IF(wskakunin_KOUJI_DAI_SYUUZEN=1,"■","□")</f>
        <v>□</v>
      </c>
    </row>
    <row r="1056" spans="1:7" ht="15" customHeight="1">
      <c r="A1056" s="7"/>
      <c r="B1056" s="69" t="s">
        <v>1059</v>
      </c>
      <c r="C1056" s="14" t="s">
        <v>1060</v>
      </c>
      <c r="D1056" s="151"/>
      <c r="E1056" s="14" t="s">
        <v>2256</v>
      </c>
      <c r="F1056" s="151" t="str">
        <f>IF(wskakunin_KOUJI_DAI_MOYOUGAE=1,"■","□")</f>
        <v>□</v>
      </c>
    </row>
    <row r="1057" spans="1:7" ht="15" customHeight="1">
      <c r="A1057" s="7"/>
      <c r="B1057" s="69" t="s">
        <v>1061</v>
      </c>
      <c r="C1057" s="14" t="s">
        <v>1062</v>
      </c>
      <c r="D1057" s="151"/>
      <c r="E1057" s="14" t="s">
        <v>2639</v>
      </c>
      <c r="F1057" s="151" t="str">
        <f>IF(wskakuninKOUJI_SETUBI=1,"■","□")</f>
        <v>□</v>
      </c>
      <c r="G1057" s="14" t="s">
        <v>2243</v>
      </c>
    </row>
    <row r="1058" spans="1:7" ht="15" customHeight="1">
      <c r="A1058" s="218"/>
      <c r="B1058" s="265" t="s">
        <v>2710</v>
      </c>
      <c r="D1058" s="15"/>
      <c r="E1058" s="14" t="s">
        <v>2711</v>
      </c>
      <c r="F1058" s="151" t="str">
        <f>IF(OR(cst_wskakunin_KOUJI_ZOUTIKU_box="■",cst_wskakunin_KOUJI_KAITIKU_box="■"),"■","□")</f>
        <v>□</v>
      </c>
    </row>
    <row r="1059" spans="1:7" ht="15" customHeight="1">
      <c r="A1059" s="68"/>
      <c r="B1059" s="69"/>
    </row>
    <row r="1060" spans="1:7" ht="15" customHeight="1">
      <c r="A1060" s="7" t="s">
        <v>2424</v>
      </c>
      <c r="B1060" s="139"/>
      <c r="E1060" s="153"/>
      <c r="F1060" s="153"/>
    </row>
    <row r="1061" spans="1:7" ht="15" customHeight="1">
      <c r="A1061" s="7"/>
      <c r="B1061" s="149" t="s">
        <v>2423</v>
      </c>
      <c r="C1061" s="14" t="s">
        <v>2425</v>
      </c>
      <c r="D1061" s="151"/>
      <c r="E1061" s="14" t="s">
        <v>2429</v>
      </c>
      <c r="F1061" s="151" t="str">
        <f>IF(wskakunin_gaiyou1_WORK_SYURUI_CODE="","",wskakunin_gaiyou1_WORK_SYURUI_CODE)</f>
        <v/>
      </c>
    </row>
    <row r="1062" spans="1:7" ht="15" customHeight="1">
      <c r="A1062" s="7"/>
      <c r="B1062" s="149" t="s">
        <v>2433</v>
      </c>
      <c r="C1062" s="14" t="s">
        <v>2426</v>
      </c>
      <c r="D1062" s="151"/>
      <c r="E1062" s="14" t="s">
        <v>2430</v>
      </c>
      <c r="F1062" s="151" t="str">
        <f>IF(wskakunin_gaiyou1_WORK_SYURUI="","",wskakunin_gaiyou1_WORK_SYURUI)</f>
        <v/>
      </c>
    </row>
    <row r="1063" spans="1:7" ht="15" customHeight="1">
      <c r="A1063" s="7"/>
      <c r="B1063" s="149" t="s">
        <v>2434</v>
      </c>
      <c r="C1063" s="14" t="s">
        <v>2427</v>
      </c>
      <c r="D1063" s="151"/>
      <c r="E1063" s="14" t="s">
        <v>2431</v>
      </c>
      <c r="F1063" s="151" t="str">
        <f>IF(wskakunin_gaiyou1_TAKASA="","",wskakunin_gaiyou1_TAKASA)</f>
        <v/>
      </c>
    </row>
    <row r="1064" spans="1:7" ht="15" customHeight="1">
      <c r="A1064" s="7"/>
      <c r="B1064" s="149" t="s">
        <v>54</v>
      </c>
      <c r="C1064" s="14" t="s">
        <v>2428</v>
      </c>
      <c r="D1064" s="151"/>
      <c r="E1064" s="14" t="s">
        <v>2432</v>
      </c>
      <c r="F1064" s="151" t="str">
        <f>IF(wskakunin_gaiyou1_KOUZOU="","",wskakunin_gaiyou1_KOUZOU)</f>
        <v/>
      </c>
    </row>
    <row r="1065" spans="1:7" ht="15" customHeight="1">
      <c r="A1065" s="7"/>
      <c r="B1065" s="72" t="s">
        <v>2564</v>
      </c>
      <c r="C1065" s="14" t="s">
        <v>2565</v>
      </c>
      <c r="D1065" s="42"/>
      <c r="E1065" s="14" t="s">
        <v>2566</v>
      </c>
      <c r="F1065" s="42" t="str">
        <f>IF(wskakunin_gaiyou1_KOUJI_SINTIKU=1,"■","□")</f>
        <v>□</v>
      </c>
    </row>
    <row r="1066" spans="1:7" ht="15" customHeight="1">
      <c r="A1066" s="7"/>
      <c r="B1066" s="72" t="s">
        <v>2567</v>
      </c>
      <c r="C1066" s="14" t="s">
        <v>2568</v>
      </c>
      <c r="D1066" s="42"/>
      <c r="E1066" s="14" t="s">
        <v>2569</v>
      </c>
      <c r="F1066" s="42" t="str">
        <f>IF(wskakunin_gaiyou1_KOUJI_ZOUTIKU=1,"■","□")</f>
        <v>□</v>
      </c>
    </row>
    <row r="1067" spans="1:7" ht="15" customHeight="1">
      <c r="A1067" s="7"/>
      <c r="B1067" s="72" t="s">
        <v>2570</v>
      </c>
      <c r="C1067" s="14" t="s">
        <v>2571</v>
      </c>
      <c r="D1067" s="42"/>
      <c r="E1067" s="14" t="s">
        <v>2572</v>
      </c>
      <c r="F1067" s="42" t="str">
        <f>IF(wskakunin_gaiyou1_KOUJI_KAITIKU=1,"■","□")</f>
        <v>□</v>
      </c>
    </row>
    <row r="1068" spans="1:7" ht="15" customHeight="1">
      <c r="A1068" s="7"/>
      <c r="B1068" s="72" t="s">
        <v>2573</v>
      </c>
      <c r="C1068" s="14" t="s">
        <v>2574</v>
      </c>
      <c r="D1068" s="42"/>
      <c r="E1068" s="14" t="s">
        <v>2575</v>
      </c>
      <c r="F1068" s="42" t="str">
        <f>IF(wskakunin_gaiyou1_KOUJI_SONOTA=1,"■","□")</f>
        <v>□</v>
      </c>
    </row>
    <row r="1069" spans="1:7" ht="15" customHeight="1">
      <c r="A1069" s="7"/>
      <c r="B1069" s="72" t="s">
        <v>2576</v>
      </c>
      <c r="C1069" s="14" t="s">
        <v>2577</v>
      </c>
      <c r="D1069" s="42"/>
      <c r="E1069" s="14" t="s">
        <v>2578</v>
      </c>
      <c r="F1069" s="42" t="str">
        <f>IF(wskakunin_gaiyou1_KOUJI_SONOTA_TEXT="","",wskakunin_gaiyou1_KOUJI_SONOTA_TEXT)</f>
        <v/>
      </c>
    </row>
    <row r="1070" spans="1:7" ht="15" customHeight="1">
      <c r="A1070" s="7"/>
      <c r="B1070" s="149"/>
      <c r="D1070" s="15"/>
      <c r="F1070" s="15"/>
    </row>
    <row r="1071" spans="1:7" ht="15" customHeight="1">
      <c r="A1071" s="7"/>
      <c r="B1071" s="149" t="s">
        <v>2464</v>
      </c>
      <c r="C1071" s="14" t="s">
        <v>2470</v>
      </c>
      <c r="D1071" s="151"/>
      <c r="E1071" s="14" t="s">
        <v>2476</v>
      </c>
      <c r="F1071" s="151" t="str">
        <f>IF(wskakunin_gaiyou1_TIKUZOU_MENSEKI_SHINSEI="","",wskakunin_gaiyou1_TIKUZOU_MENSEKI_SHINSEI)</f>
        <v/>
      </c>
    </row>
    <row r="1072" spans="1:7" ht="15" customHeight="1">
      <c r="A1072" s="7"/>
      <c r="B1072" s="149" t="s">
        <v>2465</v>
      </c>
      <c r="C1072" s="14" t="s">
        <v>2471</v>
      </c>
      <c r="D1072" s="151"/>
      <c r="E1072" s="14" t="s">
        <v>2477</v>
      </c>
      <c r="F1072" s="151" t="str">
        <f>IF(wskakunin_gaiyou1_TIKUZOU_MENSEKI_IGAI="","",wskakunin_gaiyou1_TIKUZOU_MENSEKI_IGAI)</f>
        <v/>
      </c>
    </row>
    <row r="1073" spans="1:6" ht="15" customHeight="1">
      <c r="A1073" s="7"/>
      <c r="B1073" s="149" t="s">
        <v>2466</v>
      </c>
      <c r="C1073" s="14" t="s">
        <v>2472</v>
      </c>
      <c r="D1073" s="151"/>
      <c r="E1073" s="14" t="s">
        <v>2478</v>
      </c>
      <c r="F1073" s="151" t="str">
        <f>IF(wskakunin_gaiyou1_TIKUZOU_MENSEKI_TOTAL="","",wskakunin_gaiyou1_TIKUZOU_MENSEKI_TOTAL)</f>
        <v/>
      </c>
    </row>
    <row r="1074" spans="1:6" ht="15" customHeight="1">
      <c r="A1074" s="7"/>
      <c r="B1074" s="149" t="s">
        <v>2467</v>
      </c>
      <c r="C1074" s="14" t="s">
        <v>2473</v>
      </c>
      <c r="D1074" s="151"/>
      <c r="E1074" s="14" t="s">
        <v>2479</v>
      </c>
      <c r="F1074" s="151" t="str">
        <f>IF(wskakunin_gaiyou1_WORK_COUNT_SHINSEI="","",wskakunin_gaiyou1_WORK_COUNT_SHINSEI)</f>
        <v/>
      </c>
    </row>
    <row r="1075" spans="1:6" ht="15" customHeight="1">
      <c r="A1075" s="7"/>
      <c r="B1075" s="149" t="s">
        <v>2468</v>
      </c>
      <c r="C1075" s="14" t="s">
        <v>2474</v>
      </c>
      <c r="D1075" s="151"/>
      <c r="E1075" s="14" t="s">
        <v>2480</v>
      </c>
      <c r="F1075" s="151" t="str">
        <f>IF(wskakunin_gaiyou1_WORK_COUNT_IGAI="","",wskakunin_gaiyou1_WORK_COUNT_IGAI)</f>
        <v/>
      </c>
    </row>
    <row r="1076" spans="1:6" ht="15" customHeight="1">
      <c r="A1076" s="7"/>
      <c r="B1076" s="149" t="s">
        <v>2469</v>
      </c>
      <c r="C1076" s="14" t="s">
        <v>2475</v>
      </c>
      <c r="D1076" s="151"/>
      <c r="E1076" s="14" t="s">
        <v>2481</v>
      </c>
      <c r="F1076" s="151" t="str">
        <f>IF(wskakunin_gaiyou1_WORK_COUNT_TOTAL="","",wskakunin_gaiyou1_WORK_COUNT_TOTAL)</f>
        <v/>
      </c>
    </row>
    <row r="1077" spans="1:6" ht="15" customHeight="1">
      <c r="A1077" s="140"/>
      <c r="B1077" s="142"/>
      <c r="D1077" s="15"/>
    </row>
    <row r="1078" spans="1:6" ht="15" customHeight="1">
      <c r="A1078" s="7" t="s">
        <v>2435</v>
      </c>
      <c r="B1078" s="139"/>
      <c r="D1078" s="15"/>
    </row>
    <row r="1079" spans="1:6" ht="15" customHeight="1">
      <c r="A1079" s="7"/>
      <c r="B1079" s="149" t="s">
        <v>2436</v>
      </c>
      <c r="C1079" s="14" t="s">
        <v>2445</v>
      </c>
      <c r="D1079" s="151"/>
      <c r="E1079" s="14" t="s">
        <v>2454</v>
      </c>
      <c r="F1079" s="151" t="str">
        <f>IF(wskakunin_gaiyou1_NO="","",wskakunin_gaiyou1_NO)</f>
        <v/>
      </c>
    </row>
    <row r="1080" spans="1:6" ht="15" customHeight="1">
      <c r="A1080" s="7"/>
      <c r="B1080" s="149" t="s">
        <v>2437</v>
      </c>
      <c r="C1080" s="14" t="s">
        <v>2446</v>
      </c>
      <c r="D1080" s="151"/>
      <c r="E1080" s="14" t="s">
        <v>2455</v>
      </c>
      <c r="F1080" s="151" t="str">
        <f>IF(wskakunin_gaiyou1_EV_KIND="","",wskakunin_gaiyou1_EV_KIND)</f>
        <v/>
      </c>
    </row>
    <row r="1081" spans="1:6" ht="15" customHeight="1">
      <c r="A1081" s="7"/>
      <c r="B1081" s="149" t="s">
        <v>2438</v>
      </c>
      <c r="C1081" s="14" t="s">
        <v>2447</v>
      </c>
      <c r="D1081" s="151"/>
      <c r="E1081" s="14" t="s">
        <v>2456</v>
      </c>
      <c r="F1081" s="151" t="str">
        <f>IF(wskakunin_gaiyou1_YOUTO="","",wskakunin_gaiyou1_YOUTO)</f>
        <v/>
      </c>
    </row>
    <row r="1082" spans="1:6" ht="15" customHeight="1">
      <c r="A1082" s="7"/>
      <c r="B1082" s="149" t="s">
        <v>2439</v>
      </c>
      <c r="C1082" s="14" t="s">
        <v>2448</v>
      </c>
      <c r="D1082" s="151"/>
      <c r="E1082" s="14" t="s">
        <v>2457</v>
      </c>
      <c r="F1082" s="151" t="str">
        <f>IF(wskakunin_gaiyou1_SEKISAI="","",wskakunin_gaiyou1_SEKISAI)</f>
        <v/>
      </c>
    </row>
    <row r="1083" spans="1:6" ht="15" customHeight="1">
      <c r="A1083" s="7"/>
      <c r="B1083" s="149" t="s">
        <v>2440</v>
      </c>
      <c r="C1083" s="14" t="s">
        <v>2449</v>
      </c>
      <c r="D1083" s="151"/>
      <c r="E1083" s="14" t="s">
        <v>2458</v>
      </c>
      <c r="F1083" s="151" t="str">
        <f>IF(wskakunin_gaiyou1_TEIIN="","",wskakunin_gaiyou1_TEIIN)</f>
        <v/>
      </c>
    </row>
    <row r="1084" spans="1:6" ht="15" customHeight="1">
      <c r="A1084" s="7"/>
      <c r="B1084" s="149" t="s">
        <v>2441</v>
      </c>
      <c r="C1084" s="14" t="s">
        <v>2450</v>
      </c>
      <c r="D1084" s="151"/>
      <c r="E1084" s="14" t="s">
        <v>2459</v>
      </c>
      <c r="F1084" s="151" t="str">
        <f>IF(wskakunin_gaiyou1_SPEED="","",wskakunin_gaiyou1_SPEED)</f>
        <v/>
      </c>
    </row>
    <row r="1085" spans="1:6" ht="15" customHeight="1">
      <c r="A1085" s="7"/>
      <c r="B1085" s="149" t="s">
        <v>2442</v>
      </c>
      <c r="C1085" s="14" t="s">
        <v>2451</v>
      </c>
      <c r="D1085" s="151"/>
      <c r="E1085" s="14" t="s">
        <v>2460</v>
      </c>
      <c r="F1085" s="151" t="str">
        <f>IF(wskakunin_gaiyou1_SONOTA="","",wskakunin_gaiyou1_SONOTA)</f>
        <v/>
      </c>
    </row>
    <row r="1086" spans="1:6" ht="15" customHeight="1">
      <c r="A1086" s="7"/>
      <c r="B1086" s="149" t="s">
        <v>2443</v>
      </c>
      <c r="C1086" s="14" t="s">
        <v>2452</v>
      </c>
      <c r="D1086" s="151"/>
      <c r="E1086" s="14" t="s">
        <v>2461</v>
      </c>
      <c r="F1086" s="151" t="str">
        <f>IF(wskakunin_gaiyou1_NINSYOU_NO="","",wskakunin_gaiyou1_NINSYOU_NO)</f>
        <v/>
      </c>
    </row>
    <row r="1087" spans="1:6" ht="15" customHeight="1">
      <c r="A1087" s="7"/>
      <c r="B1087" s="149" t="s">
        <v>2444</v>
      </c>
      <c r="C1087" s="14" t="s">
        <v>2453</v>
      </c>
      <c r="D1087" s="151"/>
      <c r="E1087" s="14" t="s">
        <v>2462</v>
      </c>
      <c r="F1087" s="151" t="str">
        <f>IF(wskakunin_gaiyou1_SONOTA_and_NINSYOU_NO="","",wskakunin_gaiyou1_SONOTA_and_NINSYOU_NO)</f>
        <v/>
      </c>
    </row>
    <row r="1088" spans="1:6" ht="15" customHeight="1">
      <c r="A1088" s="7"/>
      <c r="B1088" s="142"/>
      <c r="D1088" s="15"/>
    </row>
    <row r="1089" spans="1:6" ht="15" customHeight="1">
      <c r="A1089" s="1" t="s">
        <v>520</v>
      </c>
      <c r="B1089" s="26"/>
      <c r="D1089" s="15"/>
      <c r="F1089" s="15"/>
    </row>
    <row r="1090" spans="1:6" ht="15" customHeight="1">
      <c r="A1090" s="7"/>
      <c r="B1090" s="69" t="s">
        <v>1063</v>
      </c>
      <c r="C1090" s="14" t="s">
        <v>3008</v>
      </c>
      <c r="D1090" s="252"/>
      <c r="E1090" s="14" t="s">
        <v>3011</v>
      </c>
      <c r="F1090" s="252" t="str">
        <f>IF(wskakunin_KENTIKU_MENSEKI_ZENTAI_SHINSEI="","",wskakunin_KENTIKU_MENSEKI_ZENTAI_SHINSEI)</f>
        <v/>
      </c>
    </row>
    <row r="1091" spans="1:6" ht="15" customHeight="1">
      <c r="A1091" s="7" t="s">
        <v>1281</v>
      </c>
      <c r="B1091" s="69" t="s">
        <v>521</v>
      </c>
      <c r="C1091" s="14" t="s">
        <v>3009</v>
      </c>
      <c r="D1091" s="252"/>
      <c r="E1091" s="14" t="s">
        <v>3012</v>
      </c>
      <c r="F1091" s="252" t="str">
        <f>IF(wskakunin_KENTIKU_MENSEKI_ZENTAI_IGAI="","",wskakunin_KENTIKU_MENSEKI_ZENTAI_IGAI)</f>
        <v/>
      </c>
    </row>
    <row r="1092" spans="1:6" ht="15" customHeight="1">
      <c r="A1092" s="7"/>
      <c r="B1092" s="69" t="s">
        <v>522</v>
      </c>
      <c r="C1092" s="14" t="s">
        <v>3010</v>
      </c>
      <c r="D1092" s="252"/>
      <c r="E1092" s="14" t="s">
        <v>3013</v>
      </c>
      <c r="F1092" s="252" t="str">
        <f>IF(wskakunin_KENTIKU_MENSEKI_ZENTAI_TOTAL="","",wskakunin_KENTIKU_MENSEKI_ZENTAI_TOTAL)</f>
        <v/>
      </c>
    </row>
    <row r="1093" spans="1:6" ht="15" customHeight="1">
      <c r="A1093" s="7"/>
      <c r="B1093" s="69" t="s">
        <v>1063</v>
      </c>
      <c r="C1093" s="14" t="s">
        <v>1064</v>
      </c>
      <c r="D1093" s="252"/>
      <c r="E1093" s="14" t="s">
        <v>1065</v>
      </c>
      <c r="F1093" s="252" t="str">
        <f>IF(wskakunin_KENTIKU_MENSEKI_SHINSEI="", "", wskakunin_KENTIKU_MENSEKI_SHINSEI)</f>
        <v/>
      </c>
    </row>
    <row r="1094" spans="1:6" ht="15" customHeight="1">
      <c r="A1094" s="7" t="s">
        <v>3007</v>
      </c>
      <c r="B1094" s="69" t="s">
        <v>521</v>
      </c>
      <c r="C1094" s="14" t="s">
        <v>1066</v>
      </c>
      <c r="D1094" s="252"/>
      <c r="E1094" s="14" t="s">
        <v>1067</v>
      </c>
      <c r="F1094" s="252" t="str">
        <f>IF(wskakunin_KENTIKU_MENSEKI_IGAI="","",wskakunin_KENTIKU_MENSEKI_IGAI)</f>
        <v/>
      </c>
    </row>
    <row r="1095" spans="1:6" ht="15" customHeight="1">
      <c r="A1095" s="7"/>
      <c r="B1095" s="69" t="s">
        <v>522</v>
      </c>
      <c r="C1095" s="14" t="s">
        <v>1068</v>
      </c>
      <c r="D1095" s="252"/>
      <c r="E1095" s="14" t="s">
        <v>1069</v>
      </c>
      <c r="F1095" s="252" t="str">
        <f>IF(wskakunin_KENTIKU_MENSEKI_TOTAL="","",wskakunin_KENTIKU_MENSEKI_TOTAL)</f>
        <v/>
      </c>
    </row>
    <row r="1096" spans="1:6" ht="15" customHeight="1">
      <c r="A1096" s="7"/>
      <c r="B1096" s="69" t="s">
        <v>516</v>
      </c>
      <c r="C1096" s="14" t="s">
        <v>1070</v>
      </c>
      <c r="D1096" s="252"/>
      <c r="E1096" s="14" t="s">
        <v>1071</v>
      </c>
      <c r="F1096" s="252" t="str">
        <f>IF(wskakunin_KENPEI_RITU="","",wskakunin_KENPEI_RITU)</f>
        <v/>
      </c>
    </row>
    <row r="1097" spans="1:6" ht="15" customHeight="1">
      <c r="A1097" s="140"/>
      <c r="B1097" s="142"/>
    </row>
    <row r="1098" spans="1:6" ht="15" customHeight="1">
      <c r="A1098" s="65" t="s">
        <v>523</v>
      </c>
      <c r="B1098" s="66"/>
      <c r="D1098" s="15"/>
      <c r="F1098" s="15"/>
    </row>
    <row r="1099" spans="1:6" ht="15" customHeight="1">
      <c r="A1099" s="7" t="s">
        <v>1281</v>
      </c>
      <c r="B1099" s="139"/>
      <c r="D1099" s="15"/>
      <c r="F1099" s="15"/>
    </row>
    <row r="1100" spans="1:6" ht="15" customHeight="1">
      <c r="A1100" s="7"/>
      <c r="B1100" s="69" t="s">
        <v>1063</v>
      </c>
      <c r="C1100" s="14" t="s">
        <v>1072</v>
      </c>
      <c r="D1100" s="251"/>
      <c r="E1100" s="14" t="s">
        <v>1073</v>
      </c>
      <c r="F1100" s="251" t="str">
        <f>IF(wskakunin_NOBE_MENSEKI_BUILD_SHINSEI="", "", wskakunin_NOBE_MENSEKI_BUILD_SHINSEI)</f>
        <v/>
      </c>
    </row>
    <row r="1101" spans="1:6" ht="15" customHeight="1">
      <c r="A1101" s="7"/>
      <c r="B1101" s="69" t="s">
        <v>521</v>
      </c>
      <c r="C1101" s="14" t="s">
        <v>1074</v>
      </c>
      <c r="D1101" s="251"/>
      <c r="E1101" s="14" t="s">
        <v>1075</v>
      </c>
      <c r="F1101" s="251" t="str">
        <f>IF(wskakunin_NOBE_MENSEKI_BUILD_IGAI="","",wskakunin_NOBE_MENSEKI_BUILD_IGAI)</f>
        <v/>
      </c>
    </row>
    <row r="1102" spans="1:6" ht="15" customHeight="1">
      <c r="A1102" s="7"/>
      <c r="B1102" s="69" t="s">
        <v>522</v>
      </c>
      <c r="C1102" s="14" t="s">
        <v>1076</v>
      </c>
      <c r="D1102" s="251"/>
      <c r="E1102" s="14" t="s">
        <v>1077</v>
      </c>
      <c r="F1102" s="251" t="str">
        <f>IF(wskakunin_NOBE_MENSEKI_BUILD_TOTAL="","",wskakunin_NOBE_MENSEKI_BUILD_TOTAL)</f>
        <v/>
      </c>
    </row>
    <row r="1103" spans="1:6" ht="15" customHeight="1">
      <c r="A1103" s="7"/>
      <c r="B1103" s="149"/>
      <c r="D1103" s="106"/>
      <c r="F1103" s="106"/>
    </row>
    <row r="1104" spans="1:6" ht="15" customHeight="1">
      <c r="A1104" s="43" t="s">
        <v>1282</v>
      </c>
      <c r="B1104" s="141"/>
      <c r="D1104" s="106"/>
      <c r="F1104" s="106"/>
    </row>
    <row r="1105" spans="1:6" ht="15" customHeight="1">
      <c r="A1105" s="7"/>
      <c r="B1105" s="69" t="s">
        <v>1063</v>
      </c>
      <c r="C1105" s="14" t="s">
        <v>1078</v>
      </c>
      <c r="D1105" s="251"/>
      <c r="E1105" s="14" t="s">
        <v>1079</v>
      </c>
      <c r="F1105" s="251" t="str">
        <f>IF(wskakunin_NOBE_MENSEKI_TIKAI_SHINSEI="","",wskakunin_NOBE_MENSEKI_TIKAI_SHINSEI)</f>
        <v/>
      </c>
    </row>
    <row r="1106" spans="1:6" ht="15" customHeight="1">
      <c r="A1106" s="7"/>
      <c r="B1106" s="69" t="s">
        <v>521</v>
      </c>
      <c r="C1106" s="14" t="s">
        <v>1080</v>
      </c>
      <c r="D1106" s="251"/>
      <c r="E1106" s="14" t="s">
        <v>1081</v>
      </c>
      <c r="F1106" s="251" t="str">
        <f>IF(wskakunin_NOBE_MENSEKI_TIKAI_IGAI="","",wskakunin_NOBE_MENSEKI_TIKAI_IGAI)</f>
        <v/>
      </c>
    </row>
    <row r="1107" spans="1:6" ht="15" customHeight="1">
      <c r="A1107" s="7"/>
      <c r="B1107" s="69" t="s">
        <v>522</v>
      </c>
      <c r="C1107" s="14" t="s">
        <v>1082</v>
      </c>
      <c r="D1107" s="251"/>
      <c r="E1107" s="14" t="s">
        <v>1083</v>
      </c>
      <c r="F1107" s="251" t="str">
        <f>IF(wskakunin_NOBE_MENSEKI_TIKAI_TOTAL="","",wskakunin_NOBE_MENSEKI_TIKAI_TOTAL)</f>
        <v/>
      </c>
    </row>
    <row r="1108" spans="1:6" ht="15" customHeight="1">
      <c r="A1108" s="68"/>
      <c r="B1108" s="69"/>
      <c r="D1108" s="106"/>
      <c r="F1108" s="106"/>
    </row>
    <row r="1109" spans="1:6" ht="15" customHeight="1">
      <c r="A1109" s="43" t="s">
        <v>1283</v>
      </c>
      <c r="B1109" s="141"/>
      <c r="D1109" s="106"/>
      <c r="F1109" s="106"/>
    </row>
    <row r="1110" spans="1:6" ht="15" customHeight="1">
      <c r="A1110" s="7"/>
      <c r="B1110" s="69" t="s">
        <v>1063</v>
      </c>
      <c r="C1110" s="14" t="s">
        <v>1084</v>
      </c>
      <c r="D1110" s="251"/>
      <c r="E1110" s="14" t="s">
        <v>1085</v>
      </c>
      <c r="F1110" s="251" t="str">
        <f>IF(wskakunin_NOBE_MENSEKI_SYOUKOURO_SHINSEI="","",wskakunin_NOBE_MENSEKI_SYOUKOURO_SHINSEI)</f>
        <v/>
      </c>
    </row>
    <row r="1111" spans="1:6" ht="15" customHeight="1">
      <c r="A1111" s="7"/>
      <c r="B1111" s="69" t="s">
        <v>521</v>
      </c>
      <c r="C1111" s="14" t="s">
        <v>1086</v>
      </c>
      <c r="D1111" s="251"/>
      <c r="E1111" s="14" t="s">
        <v>1087</v>
      </c>
      <c r="F1111" s="251" t="str">
        <f>IF(wskakunin_NOBE_MENSEKI_SYOUKOURO_IGAI="","",wskakunin_NOBE_MENSEKI_SYOUKOURO_IGAI)</f>
        <v/>
      </c>
    </row>
    <row r="1112" spans="1:6" ht="15" customHeight="1">
      <c r="A1112" s="7"/>
      <c r="B1112" s="69" t="s">
        <v>522</v>
      </c>
      <c r="C1112" s="14" t="s">
        <v>1088</v>
      </c>
      <c r="D1112" s="251"/>
      <c r="E1112" s="14" t="s">
        <v>1089</v>
      </c>
      <c r="F1112" s="251" t="str">
        <f>IF(wskakunin_NOBE_MENSEKI_SYOUKOURO_TOTAL="","",wskakunin_NOBE_MENSEKI_SYOUKOURO_TOTAL)</f>
        <v/>
      </c>
    </row>
    <row r="1113" spans="1:6" ht="15" customHeight="1">
      <c r="A1113" s="68"/>
      <c r="B1113" s="69"/>
      <c r="D1113" s="106"/>
      <c r="F1113" s="106"/>
    </row>
    <row r="1114" spans="1:6" ht="15" customHeight="1">
      <c r="A1114" s="43" t="s">
        <v>1284</v>
      </c>
      <c r="B1114" s="141"/>
      <c r="D1114" s="106"/>
      <c r="F1114" s="106"/>
    </row>
    <row r="1115" spans="1:6" ht="15" customHeight="1">
      <c r="A1115" s="7"/>
      <c r="B1115" s="69" t="s">
        <v>1063</v>
      </c>
      <c r="C1115" s="14" t="s">
        <v>1090</v>
      </c>
      <c r="D1115" s="251"/>
      <c r="E1115" s="14" t="s">
        <v>1091</v>
      </c>
      <c r="F1115" s="251" t="str">
        <f>IF(wskakunin_NOBE_MENSEKI_KYOYOU_SHINSEI="","",wskakunin_NOBE_MENSEKI_KYOYOU_SHINSEI)</f>
        <v/>
      </c>
    </row>
    <row r="1116" spans="1:6" ht="15" customHeight="1">
      <c r="A1116" s="7"/>
      <c r="B1116" s="69" t="s">
        <v>521</v>
      </c>
      <c r="C1116" s="14" t="s">
        <v>1092</v>
      </c>
      <c r="D1116" s="251"/>
      <c r="E1116" s="14" t="s">
        <v>1093</v>
      </c>
      <c r="F1116" s="251" t="str">
        <f>IF(wskakunin_NOBE_MENSEKI_KYOYOU_IGAI="","",wskakunin_NOBE_MENSEKI_KYOYOU_IGAI)</f>
        <v/>
      </c>
    </row>
    <row r="1117" spans="1:6" ht="15" customHeight="1">
      <c r="A1117" s="7"/>
      <c r="B1117" s="69" t="s">
        <v>522</v>
      </c>
      <c r="C1117" s="14" t="s">
        <v>1094</v>
      </c>
      <c r="D1117" s="251"/>
      <c r="E1117" s="14" t="s">
        <v>1095</v>
      </c>
      <c r="F1117" s="251" t="str">
        <f>IF(wskakunin_NOBE_MENSEKI_KYOYOU_TOTAL="","",wskakunin_NOBE_MENSEKI_KYOYOU_TOTAL)</f>
        <v/>
      </c>
    </row>
    <row r="1118" spans="1:6" ht="15" customHeight="1">
      <c r="A1118" s="68"/>
      <c r="B1118" s="69"/>
      <c r="D1118" s="106"/>
      <c r="F1118" s="106"/>
    </row>
    <row r="1119" spans="1:6" ht="15" customHeight="1">
      <c r="A1119" s="43" t="s">
        <v>3014</v>
      </c>
      <c r="B1119" s="141"/>
      <c r="D1119" s="106"/>
      <c r="F1119" s="106"/>
    </row>
    <row r="1120" spans="1:6" ht="15" customHeight="1">
      <c r="A1120" s="7"/>
      <c r="B1120" s="69" t="s">
        <v>1063</v>
      </c>
      <c r="C1120" s="14" t="s">
        <v>3015</v>
      </c>
      <c r="D1120" s="251"/>
      <c r="E1120" s="14" t="s">
        <v>3018</v>
      </c>
      <c r="F1120" s="251" t="str">
        <f>IF(wskakunin_NOBE_MENSEKI_KIKAI_SHINSEI="","",wskakunin_NOBE_MENSEKI_KIKAI_SHINSEI)</f>
        <v/>
      </c>
    </row>
    <row r="1121" spans="1:6" ht="15" customHeight="1">
      <c r="A1121" s="7"/>
      <c r="B1121" s="69" t="s">
        <v>521</v>
      </c>
      <c r="C1121" s="14" t="s">
        <v>3016</v>
      </c>
      <c r="D1121" s="251"/>
      <c r="E1121" s="14" t="s">
        <v>3019</v>
      </c>
      <c r="F1121" s="251" t="str">
        <f>IF(wskakunin_NOBE_MENSEKI_KIKAI_IGAI="","",wskakunin_NOBE_MENSEKI_KIKAI_IGAI)</f>
        <v/>
      </c>
    </row>
    <row r="1122" spans="1:6" ht="15" customHeight="1">
      <c r="A1122" s="7"/>
      <c r="B1122" s="69" t="s">
        <v>522</v>
      </c>
      <c r="C1122" s="14" t="s">
        <v>3017</v>
      </c>
      <c r="D1122" s="251"/>
      <c r="E1122" s="14" t="s">
        <v>3020</v>
      </c>
      <c r="F1122" s="251" t="str">
        <f>IF(wskakunin_NOBE_MENSEKI_KIKAI_TOTAL="","",wskakunin_NOBE_MENSEKI_KIKAI_TOTAL)</f>
        <v/>
      </c>
    </row>
    <row r="1123" spans="1:6" ht="15" customHeight="1">
      <c r="A1123" s="68"/>
      <c r="B1123" s="69"/>
      <c r="D1123" s="106"/>
      <c r="F1123" s="106"/>
    </row>
    <row r="1124" spans="1:6" ht="15" customHeight="1">
      <c r="A1124" s="43" t="s">
        <v>1285</v>
      </c>
      <c r="B1124" s="141"/>
      <c r="D1124" s="106"/>
      <c r="F1124" s="106"/>
    </row>
    <row r="1125" spans="1:6" ht="15" customHeight="1">
      <c r="A1125" s="7"/>
      <c r="B1125" s="69" t="s">
        <v>1063</v>
      </c>
      <c r="C1125" s="14" t="s">
        <v>1096</v>
      </c>
      <c r="D1125" s="251"/>
      <c r="E1125" s="14" t="s">
        <v>1097</v>
      </c>
      <c r="F1125" s="251" t="str">
        <f>IF(wskakunin_NOBE_MENSEKI_SYAKO_SHINSEI="","",wskakunin_NOBE_MENSEKI_SYAKO_SHINSEI)</f>
        <v/>
      </c>
    </row>
    <row r="1126" spans="1:6" ht="15" customHeight="1">
      <c r="A1126" s="7"/>
      <c r="B1126" s="69" t="s">
        <v>521</v>
      </c>
      <c r="C1126" s="14" t="s">
        <v>1098</v>
      </c>
      <c r="D1126" s="251"/>
      <c r="E1126" s="14" t="s">
        <v>1099</v>
      </c>
      <c r="F1126" s="251" t="str">
        <f>IF(wskakunin_NOBE_MENSEKI_SYAKO_IGAI="","",wskakunin_NOBE_MENSEKI_SYAKO_IGAI)</f>
        <v/>
      </c>
    </row>
    <row r="1127" spans="1:6" ht="15" customHeight="1">
      <c r="A1127" s="7"/>
      <c r="B1127" s="69" t="s">
        <v>522</v>
      </c>
      <c r="C1127" s="14" t="s">
        <v>1100</v>
      </c>
      <c r="D1127" s="251"/>
      <c r="E1127" s="14" t="s">
        <v>1101</v>
      </c>
      <c r="F1127" s="251" t="str">
        <f>IF(wskakunin_NOBE_MENSEKI_SYAKO_TOTAL="","",wskakunin_NOBE_MENSEKI_SYAKO_TOTAL)</f>
        <v/>
      </c>
    </row>
    <row r="1128" spans="1:6" ht="15" customHeight="1">
      <c r="A1128" s="68"/>
      <c r="B1128" s="69"/>
      <c r="D1128" s="106"/>
      <c r="F1128" s="106"/>
    </row>
    <row r="1129" spans="1:6" ht="15" customHeight="1">
      <c r="A1129" s="43" t="s">
        <v>1286</v>
      </c>
      <c r="B1129" s="141"/>
      <c r="D1129" s="106"/>
      <c r="F1129" s="106"/>
    </row>
    <row r="1130" spans="1:6" ht="15" customHeight="1">
      <c r="A1130" s="7"/>
      <c r="B1130" s="69" t="s">
        <v>1063</v>
      </c>
      <c r="C1130" s="14" t="s">
        <v>1102</v>
      </c>
      <c r="D1130" s="251"/>
      <c r="E1130" s="14" t="s">
        <v>1103</v>
      </c>
      <c r="F1130" s="251" t="str">
        <f>IF(wskakunin_NOBE_MENSEKI_BITIKUSOUKO_SHINSEI="","",wskakunin_NOBE_MENSEKI_BITIKUSOUKO_SHINSEI)</f>
        <v/>
      </c>
    </row>
    <row r="1131" spans="1:6" ht="15" customHeight="1">
      <c r="A1131" s="7"/>
      <c r="B1131" s="69" t="s">
        <v>521</v>
      </c>
      <c r="C1131" s="14" t="s">
        <v>1104</v>
      </c>
      <c r="D1131" s="251"/>
      <c r="E1131" s="14" t="s">
        <v>1105</v>
      </c>
      <c r="F1131" s="251" t="str">
        <f>IF(wskakunin_NOBE_MENSEKI_BITIKUSOUKO_IGAI="","",wskakunin_NOBE_MENSEKI_BITIKUSOUKO_IGAI)</f>
        <v/>
      </c>
    </row>
    <row r="1132" spans="1:6" ht="15" customHeight="1">
      <c r="A1132" s="7"/>
      <c r="B1132" s="69" t="s">
        <v>522</v>
      </c>
      <c r="C1132" s="14" t="s">
        <v>1106</v>
      </c>
      <c r="D1132" s="251"/>
      <c r="E1132" s="14" t="s">
        <v>1107</v>
      </c>
      <c r="F1132" s="251" t="str">
        <f>IF(wskakunin_NOBE_MENSEKI_BITIKUSOUKO_TOTAL="","",wskakunin_NOBE_MENSEKI_BITIKUSOUKO_TOTAL)</f>
        <v/>
      </c>
    </row>
    <row r="1133" spans="1:6" ht="15" customHeight="1">
      <c r="A1133" s="68"/>
      <c r="B1133" s="69"/>
      <c r="D1133" s="106"/>
      <c r="F1133" s="106"/>
    </row>
    <row r="1134" spans="1:6" ht="15" customHeight="1">
      <c r="A1134" s="43" t="s">
        <v>1287</v>
      </c>
      <c r="B1134" s="141"/>
      <c r="D1134" s="106"/>
      <c r="F1134" s="106"/>
    </row>
    <row r="1135" spans="1:6" ht="15" customHeight="1">
      <c r="A1135" s="7"/>
      <c r="B1135" s="69" t="s">
        <v>1063</v>
      </c>
      <c r="C1135" s="14" t="s">
        <v>1108</v>
      </c>
      <c r="D1135" s="251"/>
      <c r="E1135" s="14" t="s">
        <v>1109</v>
      </c>
      <c r="F1135" s="251" t="str">
        <f>IF(wskakunin_NOBE_MENSEKI_TIKUDENTI_SHINSEI="","",wskakunin_NOBE_MENSEKI_TIKUDENTI_SHINSEI)</f>
        <v/>
      </c>
    </row>
    <row r="1136" spans="1:6" ht="15" customHeight="1">
      <c r="A1136" s="7"/>
      <c r="B1136" s="69" t="s">
        <v>521</v>
      </c>
      <c r="C1136" s="14" t="s">
        <v>1110</v>
      </c>
      <c r="D1136" s="251"/>
      <c r="E1136" s="14" t="s">
        <v>1111</v>
      </c>
      <c r="F1136" s="251" t="str">
        <f>IF(wskakunin_NOBE_MENSEKI_TIKUDENTI_IGAI="","",wskakunin_NOBE_MENSEKI_TIKUDENTI_IGAI)</f>
        <v/>
      </c>
    </row>
    <row r="1137" spans="1:7" ht="15" customHeight="1">
      <c r="A1137" s="7"/>
      <c r="B1137" s="69" t="s">
        <v>522</v>
      </c>
      <c r="C1137" s="14" t="s">
        <v>1112</v>
      </c>
      <c r="D1137" s="251"/>
      <c r="E1137" s="14" t="s">
        <v>1113</v>
      </c>
      <c r="F1137" s="251" t="str">
        <f>IF(wskakunin_NOBE_MENSEKI_TIKUDENTI_TOTAL="","",wskakunin_NOBE_MENSEKI_TIKUDENTI_TOTAL)</f>
        <v/>
      </c>
    </row>
    <row r="1138" spans="1:7" ht="15" customHeight="1">
      <c r="A1138" s="68"/>
      <c r="B1138" s="69"/>
      <c r="D1138" s="106"/>
      <c r="F1138" s="106"/>
    </row>
    <row r="1139" spans="1:7" ht="15" customHeight="1">
      <c r="A1139" s="43" t="s">
        <v>1288</v>
      </c>
      <c r="B1139" s="141"/>
      <c r="D1139" s="106"/>
      <c r="F1139" s="106"/>
    </row>
    <row r="1140" spans="1:7" ht="15" customHeight="1">
      <c r="A1140" s="7"/>
      <c r="B1140" s="69" t="s">
        <v>1063</v>
      </c>
      <c r="C1140" s="14" t="s">
        <v>1114</v>
      </c>
      <c r="D1140" s="251"/>
      <c r="E1140" s="14" t="s">
        <v>1115</v>
      </c>
      <c r="F1140" s="251" t="str">
        <f>IF(wskakunin_NOBE_MENSEKI_JIKAHATUDEN_SHINSEI="","",wskakunin_NOBE_MENSEKI_JIKAHATUDEN_SHINSEI)</f>
        <v/>
      </c>
    </row>
    <row r="1141" spans="1:7" ht="15" customHeight="1">
      <c r="A1141" s="7"/>
      <c r="B1141" s="69" t="s">
        <v>521</v>
      </c>
      <c r="C1141" s="14" t="s">
        <v>1116</v>
      </c>
      <c r="D1141" s="251"/>
      <c r="E1141" s="14" t="s">
        <v>1117</v>
      </c>
      <c r="F1141" s="251" t="str">
        <f>IF(wskakunin_NOBE_MENSEKI_JIKAHATUDEN_IGAI="","",wskakunin_NOBE_MENSEKI_JIKAHATUDEN_IGAI)</f>
        <v/>
      </c>
      <c r="G1141" s="14" t="s">
        <v>531</v>
      </c>
    </row>
    <row r="1142" spans="1:7" ht="15" customHeight="1">
      <c r="A1142" s="7"/>
      <c r="B1142" s="69" t="s">
        <v>522</v>
      </c>
      <c r="C1142" s="14" t="s">
        <v>1118</v>
      </c>
      <c r="D1142" s="251"/>
      <c r="E1142" s="14" t="s">
        <v>1119</v>
      </c>
      <c r="F1142" s="251" t="str">
        <f>IF(wskakunin_NOBE_MENSEKI_JIKAHATUDEN_TOTAL="","",wskakunin_NOBE_MENSEKI_JIKAHATUDEN_TOTAL)</f>
        <v/>
      </c>
      <c r="G1142" s="14" t="s">
        <v>532</v>
      </c>
    </row>
    <row r="1143" spans="1:7" ht="15" customHeight="1">
      <c r="A1143" s="68"/>
      <c r="B1143" s="69"/>
      <c r="D1143" s="106"/>
      <c r="F1143" s="106"/>
    </row>
    <row r="1144" spans="1:7" ht="15" customHeight="1">
      <c r="A1144" s="43" t="s">
        <v>1289</v>
      </c>
      <c r="B1144" s="141"/>
      <c r="D1144" s="106"/>
      <c r="F1144" s="106"/>
    </row>
    <row r="1145" spans="1:7" ht="15" customHeight="1">
      <c r="A1145" s="7"/>
      <c r="B1145" s="69" t="s">
        <v>1063</v>
      </c>
      <c r="C1145" s="14" t="s">
        <v>1120</v>
      </c>
      <c r="D1145" s="251"/>
      <c r="E1145" s="14" t="s">
        <v>1121</v>
      </c>
      <c r="F1145" s="251" t="str">
        <f>IF(wskakunin_NOBE_MENSEKI_CHOSUISOU_SHINSEI="","",wskakunin_NOBE_MENSEKI_CHOSUISOU_SHINSEI)</f>
        <v/>
      </c>
      <c r="G1145" s="14" t="s">
        <v>531</v>
      </c>
    </row>
    <row r="1146" spans="1:7" ht="15" customHeight="1">
      <c r="A1146" s="7"/>
      <c r="B1146" s="69" t="s">
        <v>521</v>
      </c>
      <c r="C1146" s="14" t="s">
        <v>1122</v>
      </c>
      <c r="D1146" s="251"/>
      <c r="E1146" s="14" t="s">
        <v>1123</v>
      </c>
      <c r="F1146" s="251" t="str">
        <f>IF(wskakunin_NOBE_MENSEKI_CHOSUISOU_IGAI="","",wskakunin_NOBE_MENSEKI_CHOSUISOU_IGAI)</f>
        <v/>
      </c>
      <c r="G1146" s="14" t="s">
        <v>531</v>
      </c>
    </row>
    <row r="1147" spans="1:7" ht="15" customHeight="1">
      <c r="A1147" s="7"/>
      <c r="B1147" s="69" t="s">
        <v>522</v>
      </c>
      <c r="C1147" s="14" t="s">
        <v>1124</v>
      </c>
      <c r="D1147" s="251"/>
      <c r="E1147" s="14" t="s">
        <v>1125</v>
      </c>
      <c r="F1147" s="251" t="str">
        <f>IF(wskakunin_NOBE_MENSEKI_CHOSUISOU_TOTAL="","",wskakunin_NOBE_MENSEKI_CHOSUISOU_TOTAL)</f>
        <v/>
      </c>
      <c r="G1147" s="14" t="s">
        <v>531</v>
      </c>
    </row>
    <row r="1148" spans="1:7" ht="15" customHeight="1">
      <c r="A1148" s="68"/>
      <c r="B1148" s="69"/>
      <c r="D1148" s="106"/>
      <c r="F1148" s="106"/>
    </row>
    <row r="1149" spans="1:7" ht="15" customHeight="1">
      <c r="A1149" s="1305" t="s">
        <v>2411</v>
      </c>
      <c r="B1149" s="1306"/>
      <c r="D1149" s="106"/>
      <c r="F1149" s="106"/>
    </row>
    <row r="1150" spans="1:7" ht="15" customHeight="1">
      <c r="A1150" s="7"/>
      <c r="B1150" s="69" t="s">
        <v>1063</v>
      </c>
      <c r="C1150" s="14" t="s">
        <v>2412</v>
      </c>
      <c r="D1150" s="251"/>
      <c r="E1150" s="14" t="s">
        <v>2415</v>
      </c>
      <c r="F1150" s="251" t="str">
        <f>IF(wskakunin_NOBE_MENSEKI_TAKUHAI_SHINSEI="","",wskakunin_NOBE_MENSEKI_TAKUHAI_SHINSEI)</f>
        <v/>
      </c>
    </row>
    <row r="1151" spans="1:7" ht="15" customHeight="1">
      <c r="A1151" s="7"/>
      <c r="B1151" s="69" t="s">
        <v>521</v>
      </c>
      <c r="C1151" s="14" t="s">
        <v>2413</v>
      </c>
      <c r="D1151" s="251"/>
      <c r="E1151" s="14" t="s">
        <v>2416</v>
      </c>
      <c r="F1151" s="251" t="str">
        <f>IF(wskakunin_NOBE_MENSEKI_TAKUHAI_IGAI="","",wskakunin_NOBE_MENSEKI_TAKUHAI_IGAI)</f>
        <v/>
      </c>
    </row>
    <row r="1152" spans="1:7" ht="15" customHeight="1">
      <c r="A1152" s="7"/>
      <c r="B1152" s="69" t="s">
        <v>522</v>
      </c>
      <c r="C1152" s="14" t="s">
        <v>2414</v>
      </c>
      <c r="D1152" s="251"/>
      <c r="E1152" s="14" t="s">
        <v>2417</v>
      </c>
      <c r="F1152" s="251" t="str">
        <f>IF(wskakunin_NOBE_MENSEKI_TAKUHAI_TOTAL="","",wskakunin_NOBE_MENSEKI_TAKUHAI_TOTAL)</f>
        <v/>
      </c>
    </row>
    <row r="1153" spans="1:6" ht="15" customHeight="1">
      <c r="A1153" s="7"/>
      <c r="B1153" s="69"/>
      <c r="D1153" s="106"/>
      <c r="F1153" s="106"/>
    </row>
    <row r="1154" spans="1:6" ht="15" customHeight="1">
      <c r="A1154" s="43" t="s">
        <v>3021</v>
      </c>
      <c r="B1154" s="141"/>
      <c r="D1154" s="106"/>
      <c r="F1154" s="106"/>
    </row>
    <row r="1155" spans="1:6" ht="15" customHeight="1">
      <c r="A1155" s="7"/>
      <c r="B1155" s="69" t="s">
        <v>1063</v>
      </c>
      <c r="C1155" s="14" t="s">
        <v>3022</v>
      </c>
      <c r="D1155" s="252"/>
      <c r="E1155" s="14" t="s">
        <v>3025</v>
      </c>
      <c r="F1155" s="252" t="str">
        <f>IF(wskakunin_NOBE_MENSEKI_FUSANNYU_SHINSEI="","",wskakunin_NOBE_MENSEKI_FUSANNYU_SHINSEI)</f>
        <v/>
      </c>
    </row>
    <row r="1156" spans="1:6" ht="15" customHeight="1">
      <c r="A1156" s="7"/>
      <c r="B1156" s="69" t="s">
        <v>521</v>
      </c>
      <c r="C1156" s="14" t="s">
        <v>3023</v>
      </c>
      <c r="D1156" s="251"/>
      <c r="E1156" s="14" t="s">
        <v>3026</v>
      </c>
      <c r="F1156" s="251" t="str">
        <f>IF(wskakunin_NOBE_MENSEKI_FUSANNYU_IGAI="","",wskakunin_NOBE_MENSEKI_FUSANNYU_IGAI)</f>
        <v/>
      </c>
    </row>
    <row r="1157" spans="1:6" ht="15" customHeight="1">
      <c r="A1157" s="7"/>
      <c r="B1157" s="69" t="s">
        <v>522</v>
      </c>
      <c r="C1157" s="14" t="s">
        <v>3024</v>
      </c>
      <c r="D1157" s="251"/>
      <c r="E1157" s="14" t="s">
        <v>3027</v>
      </c>
      <c r="F1157" s="251" t="str">
        <f>IF(wskakunin_NOBE_MENSEKI_FUSANNYU_TOTAL="","",wskakunin_NOBE_MENSEKI_FUSANNYU_TOTAL)</f>
        <v/>
      </c>
    </row>
    <row r="1158" spans="1:6" ht="15" customHeight="1">
      <c r="A1158" s="68"/>
      <c r="B1158" s="69"/>
      <c r="D1158" s="106"/>
      <c r="F1158" s="106"/>
    </row>
    <row r="1159" spans="1:6" ht="15" customHeight="1">
      <c r="A1159" s="43" t="s">
        <v>1290</v>
      </c>
      <c r="B1159" s="141"/>
      <c r="D1159" s="106"/>
      <c r="F1159" s="106"/>
    </row>
    <row r="1160" spans="1:6" ht="15" customHeight="1">
      <c r="A1160" s="7"/>
      <c r="B1160" s="69" t="s">
        <v>1063</v>
      </c>
      <c r="C1160" s="14" t="s">
        <v>1126</v>
      </c>
      <c r="D1160" s="252"/>
      <c r="E1160" s="14" t="s">
        <v>1127</v>
      </c>
      <c r="F1160" s="252" t="str">
        <f>IF(wskakunin_NOBE_MENSEKI_JYUTAKU_SHINSEI="", "", wskakunin_NOBE_MENSEKI_JYUTAKU_SHINSEI)</f>
        <v/>
      </c>
    </row>
    <row r="1161" spans="1:6" ht="15" customHeight="1">
      <c r="A1161" s="7"/>
      <c r="B1161" s="69" t="s">
        <v>521</v>
      </c>
      <c r="C1161" s="14" t="s">
        <v>1128</v>
      </c>
      <c r="D1161" s="251"/>
      <c r="E1161" s="14" t="s">
        <v>1129</v>
      </c>
      <c r="F1161" s="251" t="str">
        <f>IF(wskakunin_NOBE_MENSEKI_JYUTAKU_IGAI="","",wskakunin_NOBE_MENSEKI_JYUTAKU_IGAI)</f>
        <v/>
      </c>
    </row>
    <row r="1162" spans="1:6" ht="15" customHeight="1">
      <c r="A1162" s="7"/>
      <c r="B1162" s="69" t="s">
        <v>522</v>
      </c>
      <c r="C1162" s="14" t="s">
        <v>1130</v>
      </c>
      <c r="D1162" s="251"/>
      <c r="E1162" s="14" t="s">
        <v>1131</v>
      </c>
      <c r="F1162" s="251" t="str">
        <f>IF(wskakunin_NOBE_MENSEKI_JYUTAKU_TOTAL="","",wskakunin_NOBE_MENSEKI_JYUTAKU_TOTAL)</f>
        <v/>
      </c>
    </row>
    <row r="1163" spans="1:6" ht="15" customHeight="1">
      <c r="A1163" s="68"/>
      <c r="B1163" s="69"/>
      <c r="D1163" s="106"/>
      <c r="F1163" s="106"/>
    </row>
    <row r="1164" spans="1:6" ht="15" customHeight="1">
      <c r="A1164" s="43" t="s">
        <v>1291</v>
      </c>
      <c r="B1164" s="141"/>
      <c r="D1164" s="106"/>
      <c r="F1164" s="106"/>
    </row>
    <row r="1165" spans="1:6" ht="15" customHeight="1">
      <c r="A1165" s="7"/>
      <c r="B1165" s="69" t="s">
        <v>1063</v>
      </c>
      <c r="C1165" s="14" t="s">
        <v>1132</v>
      </c>
      <c r="D1165" s="251"/>
      <c r="E1165" s="14" t="s">
        <v>1133</v>
      </c>
      <c r="F1165" s="251" t="str">
        <f>IF(wskakunin_NOBE_MENSEKI_ROUJIN_SHINSEI="","",wskakunin_NOBE_MENSEKI_ROUJIN_SHINSEI)</f>
        <v/>
      </c>
    </row>
    <row r="1166" spans="1:6" ht="15" customHeight="1">
      <c r="A1166" s="7"/>
      <c r="B1166" s="69" t="s">
        <v>521</v>
      </c>
      <c r="C1166" s="14" t="s">
        <v>1134</v>
      </c>
      <c r="D1166" s="251"/>
      <c r="E1166" s="14" t="s">
        <v>1135</v>
      </c>
      <c r="F1166" s="251" t="str">
        <f>IF(wskakunin_NOBE_MENSEKI_ROUJIN_IGAI="","",wskakunin_NOBE_MENSEKI_ROUJIN_IGAI)</f>
        <v/>
      </c>
    </row>
    <row r="1167" spans="1:6" ht="15" customHeight="1">
      <c r="A1167" s="7"/>
      <c r="B1167" s="69" t="s">
        <v>522</v>
      </c>
      <c r="C1167" s="14" t="s">
        <v>1136</v>
      </c>
      <c r="D1167" s="251"/>
      <c r="E1167" s="14" t="s">
        <v>1137</v>
      </c>
      <c r="F1167" s="251" t="str">
        <f>IF(wskakunin_NOBE_MENSEKI_ROUJIN_TOTAL="","",wskakunin_NOBE_MENSEKI_ROUJIN_TOTAL)</f>
        <v/>
      </c>
    </row>
    <row r="1168" spans="1:6" ht="15" customHeight="1">
      <c r="A1168" s="68"/>
      <c r="B1168" s="69"/>
      <c r="D1168" s="106"/>
      <c r="F1168" s="106"/>
    </row>
    <row r="1169" spans="1:6" ht="15" customHeight="1">
      <c r="A1169" s="43" t="s">
        <v>1292</v>
      </c>
      <c r="B1169" s="141"/>
      <c r="D1169" s="106"/>
      <c r="F1169" s="106"/>
    </row>
    <row r="1170" spans="1:6" ht="15" customHeight="1">
      <c r="A1170" s="7"/>
      <c r="B1170" s="69" t="s">
        <v>522</v>
      </c>
      <c r="C1170" s="14" t="s">
        <v>1138</v>
      </c>
      <c r="D1170" s="251"/>
      <c r="E1170" s="14" t="s">
        <v>1139</v>
      </c>
      <c r="F1170" s="251" t="str">
        <f>IF(wskakunin_NOBE_MENSEKI="","",wskakunin_NOBE_MENSEKI)</f>
        <v/>
      </c>
    </row>
    <row r="1171" spans="1:6" ht="15" customHeight="1">
      <c r="A1171" s="68"/>
      <c r="B1171" s="69"/>
      <c r="D1171" s="106"/>
      <c r="F1171" s="106"/>
    </row>
    <row r="1172" spans="1:6" ht="15" customHeight="1">
      <c r="A1172" s="43" t="s">
        <v>117</v>
      </c>
      <c r="B1172" s="141"/>
      <c r="D1172" s="106"/>
      <c r="F1172" s="106"/>
    </row>
    <row r="1173" spans="1:6" ht="15" customHeight="1">
      <c r="A1173" s="7"/>
      <c r="B1173" s="69" t="s">
        <v>522</v>
      </c>
      <c r="C1173" s="14" t="s">
        <v>1140</v>
      </c>
      <c r="D1173" s="251"/>
      <c r="E1173" s="14" t="s">
        <v>1141</v>
      </c>
      <c r="F1173" s="251" t="str">
        <f>IF(wskakunin_YOUSEKI_RITU="","",wskakunin_YOUSEKI_RITU)</f>
        <v/>
      </c>
    </row>
    <row r="1174" spans="1:6" ht="15" customHeight="1">
      <c r="A1174" s="68"/>
      <c r="B1174" s="69"/>
      <c r="D1174" s="106"/>
      <c r="F1174" s="106"/>
    </row>
    <row r="1175" spans="1:6" ht="15" customHeight="1">
      <c r="A1175" s="7" t="s">
        <v>524</v>
      </c>
      <c r="B1175" s="139"/>
      <c r="D1175" s="15"/>
      <c r="F1175" s="15"/>
    </row>
    <row r="1176" spans="1:6" ht="15" customHeight="1">
      <c r="A1176" s="7"/>
      <c r="B1176" s="69" t="s">
        <v>1142</v>
      </c>
      <c r="C1176" s="14" t="s">
        <v>1143</v>
      </c>
      <c r="D1176" s="151"/>
      <c r="E1176" s="14" t="s">
        <v>1144</v>
      </c>
      <c r="F1176" s="151" t="str">
        <f>IF(wskakunin_BUILD_SHINSEI_COUNT="","",wskakunin_BUILD_SHINSEI_COUNT)</f>
        <v/>
      </c>
    </row>
    <row r="1177" spans="1:6" ht="15" customHeight="1">
      <c r="A1177" s="7"/>
      <c r="B1177" s="69" t="s">
        <v>1145</v>
      </c>
      <c r="C1177" s="14" t="s">
        <v>1146</v>
      </c>
      <c r="D1177" s="151"/>
      <c r="E1177" s="14" t="s">
        <v>1147</v>
      </c>
      <c r="F1177" s="151" t="str">
        <f>IF(wskakunin_BUILD_SONOTA_COUNT="","",wskakunin_BUILD_SONOTA_COUNT)</f>
        <v/>
      </c>
    </row>
    <row r="1178" spans="1:6" ht="15" customHeight="1">
      <c r="A1178" s="8"/>
      <c r="B1178" s="70"/>
      <c r="D1178" s="15"/>
      <c r="F1178" s="15"/>
    </row>
    <row r="1179" spans="1:6" ht="15" customHeight="1">
      <c r="A1179" s="65" t="s">
        <v>525</v>
      </c>
      <c r="B1179" s="66"/>
      <c r="D1179" s="15"/>
      <c r="F1179" s="15"/>
    </row>
    <row r="1180" spans="1:6" ht="15" customHeight="1">
      <c r="A1180" s="43" t="s">
        <v>622</v>
      </c>
      <c r="B1180" s="67"/>
      <c r="D1180" s="15"/>
      <c r="F1180" s="15"/>
    </row>
    <row r="1181" spans="1:6" ht="15" customHeight="1">
      <c r="A1181" s="7"/>
      <c r="B1181" s="69" t="s">
        <v>1148</v>
      </c>
      <c r="C1181" s="14" t="s">
        <v>1149</v>
      </c>
      <c r="D1181" s="250"/>
      <c r="E1181" s="14" t="s">
        <v>1150</v>
      </c>
      <c r="F1181" s="250" t="str">
        <f>IF(wskakunin_TAKASA_MAX_SHINSEI="","",wskakunin_TAKASA_MAX_SHINSEI)</f>
        <v/>
      </c>
    </row>
    <row r="1182" spans="1:6" ht="15" customHeight="1">
      <c r="A1182" s="68"/>
      <c r="B1182" s="69" t="s">
        <v>526</v>
      </c>
      <c r="C1182" s="14" t="s">
        <v>1151</v>
      </c>
      <c r="D1182" s="250"/>
      <c r="E1182" s="14" t="s">
        <v>1152</v>
      </c>
      <c r="F1182" s="250" t="str">
        <f>IF(wskakunin_TAKASA_MAX_SONOTA="","",wskakunin_TAKASA_MAX_SONOTA)</f>
        <v/>
      </c>
    </row>
    <row r="1183" spans="1:6" ht="15" customHeight="1">
      <c r="A1183" s="43" t="s">
        <v>623</v>
      </c>
      <c r="B1183" s="67"/>
      <c r="D1183" s="15"/>
      <c r="F1183" s="15"/>
    </row>
    <row r="1184" spans="1:6" ht="15" customHeight="1">
      <c r="A1184" s="7"/>
      <c r="B1184" s="69" t="s">
        <v>1148</v>
      </c>
      <c r="C1184" s="14" t="s">
        <v>1153</v>
      </c>
      <c r="D1184" s="151"/>
      <c r="E1184" s="14" t="s">
        <v>1154</v>
      </c>
      <c r="F1184" s="151" t="str">
        <f>IF(wskakunin_KAISU_TIJYOU_SHINSEI="", "", wskakunin_KAISU_TIJYOU_SHINSEI)</f>
        <v/>
      </c>
    </row>
    <row r="1185" spans="1:6" ht="15" customHeight="1">
      <c r="A1185" s="68"/>
      <c r="B1185" s="69" t="s">
        <v>526</v>
      </c>
      <c r="C1185" s="14" t="s">
        <v>1155</v>
      </c>
      <c r="D1185" s="151"/>
      <c r="E1185" s="14" t="s">
        <v>1156</v>
      </c>
      <c r="F1185" s="151" t="str">
        <f>IF(wskakunin_KAISU_TIJYOU_SONOTA="","",wskakunin_KAISU_TIJYOU_SONOTA)</f>
        <v/>
      </c>
    </row>
    <row r="1186" spans="1:6" ht="15" customHeight="1">
      <c r="A1186" s="43" t="s">
        <v>624</v>
      </c>
      <c r="B1186" s="67"/>
      <c r="D1186" s="15"/>
      <c r="F1186" s="15"/>
    </row>
    <row r="1187" spans="1:6" ht="15" customHeight="1">
      <c r="A1187" s="7"/>
      <c r="B1187" s="69" t="s">
        <v>1148</v>
      </c>
      <c r="C1187" s="14" t="s">
        <v>1157</v>
      </c>
      <c r="D1187" s="151">
        <v>0</v>
      </c>
      <c r="E1187" s="14" t="s">
        <v>1158</v>
      </c>
      <c r="F1187" s="151">
        <f>IF(wskakunin_KAISU_TIKA_SHINSEI__zero="", "", wskakunin_KAISU_TIKA_SHINSEI__zero)</f>
        <v>0</v>
      </c>
    </row>
    <row r="1188" spans="1:6" ht="15" customHeight="1">
      <c r="A1188" s="68"/>
      <c r="B1188" s="69" t="s">
        <v>526</v>
      </c>
      <c r="C1188" s="14" t="s">
        <v>1159</v>
      </c>
      <c r="D1188" s="151"/>
      <c r="E1188" s="14" t="s">
        <v>1160</v>
      </c>
      <c r="F1188" s="151" t="str">
        <f>IF(wskakunin_KAISU_TIKA_SONOTA="","",wskakunin_KAISU_TIKA_SONOTA)</f>
        <v/>
      </c>
    </row>
    <row r="1189" spans="1:6" ht="15" customHeight="1">
      <c r="A1189" s="43" t="s">
        <v>54</v>
      </c>
      <c r="B1189" s="67"/>
      <c r="D1189" s="15"/>
      <c r="F1189" s="15"/>
    </row>
    <row r="1190" spans="1:6" ht="15" customHeight="1">
      <c r="A1190" s="7"/>
      <c r="B1190" s="69" t="s">
        <v>54</v>
      </c>
      <c r="C1190" s="14" t="s">
        <v>1161</v>
      </c>
      <c r="D1190" s="151"/>
      <c r="E1190" s="14" t="s">
        <v>1162</v>
      </c>
      <c r="F1190" s="151" t="str">
        <f>IF(wskakunin_KOUZOU1="","",wskakunin_KOUZOU1)</f>
        <v/>
      </c>
    </row>
    <row r="1191" spans="1:6" ht="15" customHeight="1">
      <c r="A1191" s="7"/>
      <c r="B1191" s="69" t="s">
        <v>527</v>
      </c>
      <c r="C1191" s="14" t="s">
        <v>1163</v>
      </c>
      <c r="D1191" s="151"/>
      <c r="E1191" s="14" t="s">
        <v>1164</v>
      </c>
      <c r="F1191" s="151" t="str">
        <f>IF(wskakunin_KOUZOU2="","",wskakunin_KOUZOU2)</f>
        <v/>
      </c>
    </row>
    <row r="1192" spans="1:6" ht="15" customHeight="1">
      <c r="A1192" s="7"/>
      <c r="B1192" s="69"/>
      <c r="E1192" s="14" t="s">
        <v>2409</v>
      </c>
      <c r="F1192" s="14" t="str">
        <f>IF(OR(LEFT(wskakunin_KOUZOU1,2)="木造",LEFT(wskakunin_KOUZOU2,2)="木造"),"○","")</f>
        <v/>
      </c>
    </row>
    <row r="1193" spans="1:6" ht="15" customHeight="1">
      <c r="A1193" s="84"/>
      <c r="B1193" s="69"/>
      <c r="D1193" s="15"/>
      <c r="E1193" s="14" t="s">
        <v>2410</v>
      </c>
      <c r="F1193" s="15" t="str">
        <f>IF(OR(wskakunin_KOUZOU1="木造（在来工法）",wskakunin_KOUZOU1="木造（軸組工法）",wskakunin_KOUZOU1="木造（在来軸組工法）",wskakunin_KOUZOU1="木造（テクノストラクチャー）",wskakunin_KOUZOU2="木造（在来工法）",wskakunin_KOUZOU2="木造（軸組工法）",wskakunin_KOUZOU2="木造（在来軸組工法）",wskakunin_KOUZOU2="木造（テクノストラクチャー）"),"○","")</f>
        <v/>
      </c>
    </row>
    <row r="1194" spans="1:6" ht="15" customHeight="1">
      <c r="A1194" s="7"/>
      <c r="B1194" s="139"/>
      <c r="D1194" s="15"/>
      <c r="E1194" s="14" t="s">
        <v>2561</v>
      </c>
      <c r="F1194" s="151" t="str">
        <f>IF(cst_wskakunin_KOUZOU1="","",IF(AND(cst_wskakunin_KOUZOU1&lt;&gt;"",cst_wskakunin_KOUZOU2&lt;&gt;""),cst_wskakunin_KOUZOU1&amp;" 一部 "&amp;cst_wskakunin_KOUZOU2,cst_wskakunin_KOUZOU1))</f>
        <v/>
      </c>
    </row>
    <row r="1195" spans="1:6" ht="15" customHeight="1">
      <c r="A1195" s="7" t="s">
        <v>528</v>
      </c>
      <c r="B1195" s="27"/>
    </row>
    <row r="1196" spans="1:6" ht="15" customHeight="1">
      <c r="A1196" s="7"/>
      <c r="B1196" s="69" t="s">
        <v>626</v>
      </c>
      <c r="C1196" s="14" t="s">
        <v>1165</v>
      </c>
      <c r="D1196" s="151"/>
      <c r="E1196" s="14" t="s">
        <v>1166</v>
      </c>
      <c r="F1196" s="151" t="str">
        <f>IF(wskakunin_TOKUREI_TAKASA=1,"有","無")</f>
        <v>無</v>
      </c>
    </row>
    <row r="1197" spans="1:6" ht="15" customHeight="1">
      <c r="A1197" s="7"/>
      <c r="B1197" s="69" t="s">
        <v>627</v>
      </c>
      <c r="D1197" s="15"/>
      <c r="E1197" s="14" t="s">
        <v>629</v>
      </c>
      <c r="F1197" s="151" t="str">
        <f>IF(wskakunin_TOKUREI_TAKASA=1,"■","□")</f>
        <v>□</v>
      </c>
    </row>
    <row r="1198" spans="1:6" ht="15" customHeight="1">
      <c r="A1198" s="7"/>
      <c r="B1198" s="69" t="s">
        <v>628</v>
      </c>
      <c r="D1198" s="15"/>
      <c r="E1198" s="14" t="s">
        <v>1167</v>
      </c>
      <c r="F1198" s="151" t="str">
        <f>IF(wskakunin_TOKUREI_TAKASA="","□",IF(wskakunin_TOKUREI_TAKASA=0,"■","□"))</f>
        <v>□</v>
      </c>
    </row>
    <row r="1199" spans="1:6" ht="15" customHeight="1">
      <c r="A1199" s="7"/>
      <c r="B1199" s="69"/>
      <c r="D1199" s="15"/>
      <c r="F1199" s="15"/>
    </row>
    <row r="1200" spans="1:6" ht="15" customHeight="1">
      <c r="A1200" s="43" t="s">
        <v>625</v>
      </c>
      <c r="B1200" s="67"/>
      <c r="D1200" s="15"/>
      <c r="F1200" s="15"/>
    </row>
    <row r="1201" spans="1:6" ht="15" customHeight="1">
      <c r="A1201" s="7"/>
      <c r="B1201" s="69" t="s">
        <v>1168</v>
      </c>
      <c r="C1201" s="14" t="s">
        <v>1169</v>
      </c>
      <c r="D1201" s="151"/>
      <c r="E1201" s="14" t="s">
        <v>1170</v>
      </c>
      <c r="F1201" s="151" t="str">
        <f>IF(wskakunin_TOKUREI_TAKASA_DOURO=1,"■","□")</f>
        <v>□</v>
      </c>
    </row>
    <row r="1202" spans="1:6" ht="15" customHeight="1">
      <c r="A1202" s="7"/>
      <c r="B1202" s="69" t="s">
        <v>1171</v>
      </c>
      <c r="C1202" s="14" t="s">
        <v>1172</v>
      </c>
      <c r="D1202" s="151"/>
      <c r="E1202" s="14" t="s">
        <v>1173</v>
      </c>
      <c r="F1202" s="151" t="str">
        <f>IF(wskakunin_TOKUREI_TAKASA_RINTI=1,"■","□")</f>
        <v>□</v>
      </c>
    </row>
    <row r="1203" spans="1:6" ht="15" customHeight="1">
      <c r="A1203" s="7"/>
      <c r="B1203" s="69" t="s">
        <v>1174</v>
      </c>
      <c r="C1203" s="14" t="s">
        <v>1175</v>
      </c>
      <c r="D1203" s="151"/>
      <c r="E1203" s="14" t="s">
        <v>1176</v>
      </c>
      <c r="F1203" s="151" t="str">
        <f>IF(wskakunin_TOKUREI_TAKASA_KITA=1,"■","□")</f>
        <v>□</v>
      </c>
    </row>
    <row r="1204" spans="1:6" ht="15" customHeight="1">
      <c r="A1204" s="8"/>
      <c r="B1204" s="70"/>
      <c r="D1204" s="15"/>
      <c r="F1204" s="15"/>
    </row>
    <row r="1205" spans="1:6" ht="15" customHeight="1">
      <c r="A1205" s="85" t="s">
        <v>529</v>
      </c>
      <c r="B1205" s="94"/>
      <c r="C1205" s="14" t="s">
        <v>1239</v>
      </c>
    </row>
    <row r="1206" spans="1:6" ht="15" customHeight="1">
      <c r="A1206" s="90" t="s">
        <v>1184</v>
      </c>
      <c r="B1206" s="144"/>
    </row>
    <row r="1207" spans="1:6" ht="15" customHeight="1">
      <c r="A1207" s="87"/>
      <c r="B1207" s="80" t="s">
        <v>1240</v>
      </c>
      <c r="C1207" s="14" t="s">
        <v>1245</v>
      </c>
      <c r="D1207" s="233"/>
      <c r="E1207" s="14" t="s">
        <v>1263</v>
      </c>
      <c r="F1207" s="151" t="str">
        <f>IF(wskakunin_kyoka01_HOUREI="","",wskakunin_kyoka01_HOUREI)</f>
        <v/>
      </c>
    </row>
    <row r="1208" spans="1:6" ht="15" customHeight="1">
      <c r="A1208" s="87"/>
      <c r="B1208" s="80" t="s">
        <v>1241</v>
      </c>
      <c r="C1208" s="14" t="s">
        <v>1244</v>
      </c>
      <c r="D1208" s="233"/>
      <c r="E1208" s="14" t="s">
        <v>2610</v>
      </c>
      <c r="F1208" s="151" t="str">
        <f>IF(wskakunin_kyoka01_JOUKOU="","",wskakunin_kyoka01_JOUKOU)</f>
        <v/>
      </c>
    </row>
    <row r="1209" spans="1:6" ht="15" customHeight="1">
      <c r="A1209" s="87"/>
      <c r="B1209" s="80" t="s">
        <v>1242</v>
      </c>
      <c r="C1209" s="14" t="s">
        <v>1246</v>
      </c>
      <c r="D1209" s="233"/>
      <c r="E1209" s="14" t="s">
        <v>2611</v>
      </c>
      <c r="F1209" s="151" t="str">
        <f>IF(wskakunin_kyoka01_KYOKA_NO="","",wskakunin_kyoka01_KYOKA_NO)</f>
        <v/>
      </c>
    </row>
    <row r="1210" spans="1:6" ht="15" customHeight="1">
      <c r="A1210" s="87"/>
      <c r="B1210" s="80" t="s">
        <v>1243</v>
      </c>
      <c r="C1210" s="14" t="s">
        <v>1247</v>
      </c>
      <c r="D1210" s="232"/>
      <c r="E1210" s="14" t="s">
        <v>2612</v>
      </c>
      <c r="F1210" s="151" t="str">
        <f>IF(wskakunin_kyoka01_KYOKA_DATE="","",wskakunin_kyoka01_KYOKA_DATE)</f>
        <v/>
      </c>
    </row>
    <row r="1211" spans="1:6" ht="15" customHeight="1">
      <c r="A1211" s="87"/>
      <c r="B1211" s="80" t="s">
        <v>400</v>
      </c>
      <c r="C1211" s="14" t="s">
        <v>1248</v>
      </c>
      <c r="D1211" s="233"/>
      <c r="E1211" s="14" t="s">
        <v>2613</v>
      </c>
      <c r="F1211" s="151" t="str">
        <f>IF(wskakunin_kyoka01_BIKOU="","",wskakunin_kyoka01_BIKOU)</f>
        <v/>
      </c>
    </row>
    <row r="1212" spans="1:6" ht="15" customHeight="1">
      <c r="A1212" s="87"/>
      <c r="B1212" s="145" t="s">
        <v>1260</v>
      </c>
      <c r="D1212" s="32"/>
      <c r="F1212" s="15"/>
    </row>
    <row r="1213" spans="1:6" ht="15" customHeight="1">
      <c r="A1213" s="87"/>
      <c r="B1213" s="145"/>
      <c r="D1213" s="15"/>
      <c r="F1213" s="15"/>
    </row>
    <row r="1214" spans="1:6" ht="15" customHeight="1">
      <c r="A1214" s="90" t="s">
        <v>1191</v>
      </c>
      <c r="B1214" s="144"/>
    </row>
    <row r="1215" spans="1:6" ht="15" customHeight="1">
      <c r="A1215" s="87"/>
      <c r="B1215" s="80" t="s">
        <v>1240</v>
      </c>
      <c r="C1215" s="14" t="s">
        <v>1249</v>
      </c>
      <c r="D1215" s="233"/>
      <c r="E1215" s="14" t="s">
        <v>1264</v>
      </c>
      <c r="F1215" s="151" t="str">
        <f>IF(wskakunin_kyoka02_HOUREI="","",wskakunin_kyoka02_HOUREI)</f>
        <v/>
      </c>
    </row>
    <row r="1216" spans="1:6" ht="15" customHeight="1">
      <c r="A1216" s="87"/>
      <c r="B1216" s="80" t="s">
        <v>1241</v>
      </c>
      <c r="C1216" s="14" t="s">
        <v>1250</v>
      </c>
      <c r="D1216" s="233"/>
      <c r="E1216" s="14" t="s">
        <v>2614</v>
      </c>
      <c r="F1216" s="151" t="str">
        <f>IF(wskakunin_kyoka02_JOUKOU="","",wskakunin_kyoka02_JOUKOU)</f>
        <v/>
      </c>
    </row>
    <row r="1217" spans="1:7" ht="15" customHeight="1">
      <c r="A1217" s="87"/>
      <c r="B1217" s="80" t="s">
        <v>1242</v>
      </c>
      <c r="C1217" s="14" t="s">
        <v>1251</v>
      </c>
      <c r="D1217" s="233"/>
      <c r="E1217" s="14" t="s">
        <v>2615</v>
      </c>
      <c r="F1217" s="151" t="str">
        <f>IF(wskakunin_kyoka02_KYOKA_NO="","",wskakunin_kyoka02_KYOKA_NO)</f>
        <v/>
      </c>
    </row>
    <row r="1218" spans="1:7" ht="15" customHeight="1">
      <c r="A1218" s="87"/>
      <c r="B1218" s="80" t="s">
        <v>1243</v>
      </c>
      <c r="C1218" s="14" t="s">
        <v>1252</v>
      </c>
      <c r="D1218" s="253"/>
      <c r="E1218" s="14" t="s">
        <v>2616</v>
      </c>
      <c r="F1218" s="253" t="str">
        <f>IF(wskakunin_kyoka02_KYOKA_DATE="","",wskakunin_kyoka02_KYOKA_DATE)</f>
        <v/>
      </c>
    </row>
    <row r="1219" spans="1:7" ht="15" customHeight="1">
      <c r="A1219" s="87"/>
      <c r="B1219" s="80" t="s">
        <v>400</v>
      </c>
      <c r="C1219" s="14" t="s">
        <v>1253</v>
      </c>
      <c r="D1219" s="233"/>
      <c r="E1219" s="14" t="s">
        <v>2617</v>
      </c>
      <c r="F1219" s="151" t="str">
        <f>IF(wskakunin_kyoka02_BIKOU="","",wskakunin_kyoka02_BIKOU)</f>
        <v/>
      </c>
    </row>
    <row r="1220" spans="1:7" ht="15" customHeight="1">
      <c r="A1220" s="87"/>
      <c r="B1220" s="145" t="s">
        <v>1262</v>
      </c>
      <c r="D1220" s="32"/>
      <c r="F1220" s="15"/>
    </row>
    <row r="1221" spans="1:7" ht="15" customHeight="1">
      <c r="A1221" s="146"/>
      <c r="B1221" s="145"/>
      <c r="D1221" s="15"/>
      <c r="F1221" s="15"/>
    </row>
    <row r="1222" spans="1:7" ht="15" customHeight="1">
      <c r="A1222" s="90" t="s">
        <v>1195</v>
      </c>
      <c r="B1222" s="144"/>
    </row>
    <row r="1223" spans="1:7" ht="15" customHeight="1">
      <c r="A1223" s="87"/>
      <c r="B1223" s="80" t="s">
        <v>1240</v>
      </c>
      <c r="C1223" s="14" t="s">
        <v>1254</v>
      </c>
      <c r="D1223" s="233"/>
      <c r="E1223" s="14" t="s">
        <v>1265</v>
      </c>
      <c r="F1223" s="151" t="str">
        <f>IF(wskakunin_kyoka03_HOUREI="","",wskakunin_kyoka03_HOUREI)</f>
        <v/>
      </c>
    </row>
    <row r="1224" spans="1:7" ht="15" customHeight="1">
      <c r="A1224" s="87"/>
      <c r="B1224" s="80" t="s">
        <v>1241</v>
      </c>
      <c r="C1224" s="14" t="s">
        <v>1255</v>
      </c>
      <c r="D1224" s="233"/>
      <c r="E1224" s="14" t="s">
        <v>2618</v>
      </c>
      <c r="F1224" s="151" t="str">
        <f>IF(wskakunin_kyoka03_JOUKOU="","",wskakunin_kyoka03_JOUKOU)</f>
        <v/>
      </c>
    </row>
    <row r="1225" spans="1:7" ht="15" customHeight="1">
      <c r="A1225" s="87"/>
      <c r="B1225" s="80" t="s">
        <v>1242</v>
      </c>
      <c r="C1225" s="14" t="s">
        <v>1256</v>
      </c>
      <c r="D1225" s="233"/>
      <c r="E1225" s="14" t="s">
        <v>2619</v>
      </c>
      <c r="F1225" s="151" t="str">
        <f>IF(wskakunin_kyoka03_KYOKA_NO="","",wskakunin_kyoka03_KYOKA_NO)</f>
        <v/>
      </c>
    </row>
    <row r="1226" spans="1:7" ht="15" customHeight="1">
      <c r="A1226" s="87"/>
      <c r="B1226" s="80" t="s">
        <v>1243</v>
      </c>
      <c r="C1226" s="14" t="s">
        <v>1257</v>
      </c>
      <c r="D1226" s="253"/>
      <c r="E1226" s="14" t="s">
        <v>2620</v>
      </c>
      <c r="F1226" s="253" t="str">
        <f>IF(wskakunin_kyoka03_KYOKA_DATE="","",wskakunin_kyoka03_KYOKA_DATE)</f>
        <v/>
      </c>
    </row>
    <row r="1227" spans="1:7" ht="15" customHeight="1">
      <c r="A1227" s="87"/>
      <c r="B1227" s="80" t="s">
        <v>400</v>
      </c>
      <c r="C1227" s="14" t="s">
        <v>1258</v>
      </c>
      <c r="D1227" s="233"/>
      <c r="E1227" s="14" t="s">
        <v>2621</v>
      </c>
      <c r="F1227" s="151" t="str">
        <f>IF(wskakunin_kyoka03_BIKOU="","",wskakunin_kyoka03_BIKOU)</f>
        <v/>
      </c>
    </row>
    <row r="1228" spans="1:7" ht="15" customHeight="1">
      <c r="A1228" s="87"/>
      <c r="B1228" s="145" t="s">
        <v>1261</v>
      </c>
      <c r="D1228" s="32"/>
      <c r="F1228" s="15"/>
    </row>
    <row r="1229" spans="1:7" ht="15" customHeight="1">
      <c r="A1229" s="146"/>
      <c r="B1229" s="80"/>
      <c r="D1229" s="15"/>
      <c r="F1229" s="15"/>
    </row>
    <row r="1230" spans="1:7" ht="15" customHeight="1">
      <c r="A1230" s="87" t="s">
        <v>1259</v>
      </c>
      <c r="B1230" s="143"/>
      <c r="D1230" s="15"/>
      <c r="E1230" s="14" t="s">
        <v>1266</v>
      </c>
      <c r="F1230" s="151" t="str">
        <f>cst_wskakunin_kyoka01_HOUREI&amp;IF(cst_wskakunin_kyoka02_HOUREI&lt;&gt;"",CHAR(10)&amp;cst_wskakunin_kyoka02_HOUREI,cst_wskakunin_kyoka02_HOUREI)&amp;IF(cst_wskakunin_kyoka03_HOUREI&lt;&gt;"",CHAR(10)&amp;cst_wskakunin_kyoka03_HOUREI,cst_wskakunin_kyoka03_HOUREI)</f>
        <v/>
      </c>
      <c r="G1230" s="14" t="s">
        <v>1267</v>
      </c>
    </row>
    <row r="1231" spans="1:7" ht="15" customHeight="1">
      <c r="A1231" s="89"/>
      <c r="B1231" s="95"/>
      <c r="D1231" s="15"/>
      <c r="F1231" s="15"/>
    </row>
    <row r="1232" spans="1:7" ht="15" customHeight="1">
      <c r="A1232" s="85" t="s">
        <v>1177</v>
      </c>
      <c r="B1232" s="94"/>
      <c r="C1232" s="14" t="s">
        <v>1178</v>
      </c>
      <c r="D1232" s="253"/>
      <c r="E1232" s="14" t="s">
        <v>1179</v>
      </c>
      <c r="F1232" s="253" t="str">
        <f>IF(wskakunin_KOUJI_TYAKUSYU_YOTEI_DATE="", "", wskakunin_KOUJI_TYAKUSYU_YOTEI_DATE)</f>
        <v/>
      </c>
    </row>
    <row r="1233" spans="1:8" ht="15" customHeight="1">
      <c r="A1233" s="200"/>
      <c r="B1233" s="207"/>
      <c r="D1233" s="15"/>
      <c r="F1233" s="15"/>
    </row>
    <row r="1234" spans="1:8" ht="15" customHeight="1">
      <c r="A1234" s="85" t="s">
        <v>1180</v>
      </c>
      <c r="B1234" s="94"/>
      <c r="C1234" s="14" t="s">
        <v>1181</v>
      </c>
      <c r="D1234" s="253"/>
      <c r="E1234" s="14" t="s">
        <v>1182</v>
      </c>
      <c r="F1234" s="253" t="str">
        <f>IF(wskakunin_KOUJI_KANRYOU_YOTEI_DATE="", "", wskakunin_KOUJI_KANRYOU_YOTEI_DATE)</f>
        <v/>
      </c>
    </row>
    <row r="1235" spans="1:8" ht="15" customHeight="1">
      <c r="A1235" s="89"/>
      <c r="B1235" s="95"/>
      <c r="D1235" s="15"/>
      <c r="F1235" s="15"/>
    </row>
    <row r="1236" spans="1:8" ht="15" customHeight="1">
      <c r="A1236" s="46"/>
      <c r="B1236" s="47" t="s">
        <v>605</v>
      </c>
      <c r="E1236" s="14" t="s">
        <v>2407</v>
      </c>
      <c r="F1236" s="42" t="str">
        <f>IF(OR(wskakunin_KOUJI_TYAKUSYU_YOTEI_DATE="",wskakunin_KOUJI_KANRYOU_YOTEI_DATE=""),"",IF(DATEDIF(wskakunin_KOUJI_TYAKUSYU_YOTEI_DATE,wskakunin_KOUJI_KANRYOU_YOTEI_DATE,"D")&lt;=44,0,DATEDIF(wskakunin_KOUJI_TYAKUSYU_YOTEI_DATE,wskakunin_KOUJI_KANRYOU_YOTEI_DATE+16,"Y")))</f>
        <v/>
      </c>
      <c r="G1236" s="15"/>
      <c r="H1236" s="15"/>
    </row>
    <row r="1237" spans="1:8" ht="15" customHeight="1">
      <c r="A1237" s="48"/>
      <c r="B1237" s="64" t="s">
        <v>606</v>
      </c>
      <c r="E1237" s="14" t="s">
        <v>2408</v>
      </c>
      <c r="F1237" s="42" t="str">
        <f>IF(OR(wskakunin_KOUJI_TYAKUSYU_YOTEI_DATE="",wskakunin_KOUJI_KANRYOU_YOTEI_DATE=""),"",IF(DATEDIF(wskakunin_KOUJI_TYAKUSYU_YOTEI_DATE,wskakunin_KOUJI_KANRYOU_YOTEI_DATE,"D")&lt;=44,1,DATEDIF(wskakunin_KOUJI_TYAKUSYU_YOTEI_DATE,wskakunin_KOUJI_KANRYOU_YOTEI_DATE+16,"YM")))</f>
        <v/>
      </c>
      <c r="G1237" s="15"/>
      <c r="H1237" s="15"/>
    </row>
    <row r="1238" spans="1:8" ht="15" customHeight="1">
      <c r="A1238" s="49"/>
      <c r="B1238" s="61"/>
      <c r="G1238" s="15"/>
      <c r="H1238" s="15"/>
    </row>
    <row r="1239" spans="1:8" ht="15" customHeight="1">
      <c r="G1239" s="15"/>
      <c r="H1239" s="15"/>
    </row>
    <row r="1240" spans="1:8" ht="15" customHeight="1">
      <c r="A1240" s="86" t="s">
        <v>1183</v>
      </c>
      <c r="B1240" s="107"/>
    </row>
    <row r="1241" spans="1:8" ht="15" customHeight="1">
      <c r="A1241" s="90" t="s">
        <v>1184</v>
      </c>
      <c r="B1241" s="108"/>
    </row>
    <row r="1242" spans="1:8" ht="15" customHeight="1">
      <c r="A1242" s="88"/>
      <c r="B1242" s="80" t="s">
        <v>630</v>
      </c>
      <c r="C1242" s="14" t="s">
        <v>1185</v>
      </c>
      <c r="D1242" s="151"/>
      <c r="E1242" s="14" t="s">
        <v>1186</v>
      </c>
      <c r="F1242" s="151" t="str">
        <f>IF(wskakunin_koutei01_KOUTEI_KAISUU="","",wskakunin_koutei01_KOUTEI_KAISUU)</f>
        <v/>
      </c>
    </row>
    <row r="1243" spans="1:8" ht="15" customHeight="1">
      <c r="A1243" s="88"/>
      <c r="B1243" s="80" t="s">
        <v>631</v>
      </c>
      <c r="C1243" s="14" t="s">
        <v>1187</v>
      </c>
      <c r="D1243" s="253"/>
      <c r="E1243" s="14" t="s">
        <v>1188</v>
      </c>
      <c r="F1243" s="253" t="str">
        <f>IF(wskakunin_koutei01_KOUTEI_DATE="","",wskakunin_koutei01_KOUTEI_DATE)</f>
        <v/>
      </c>
    </row>
    <row r="1244" spans="1:8" ht="15" customHeight="1">
      <c r="A1244" s="88"/>
      <c r="B1244" s="80" t="s">
        <v>632</v>
      </c>
      <c r="C1244" s="14" t="s">
        <v>1189</v>
      </c>
      <c r="D1244" s="151"/>
      <c r="E1244" s="14" t="s">
        <v>1190</v>
      </c>
      <c r="F1244" s="151" t="str">
        <f>IF(wskakunin_koutei01_KOUTEI_TEXT="","",wskakunin_koutei01_KOUTEI_TEXT)</f>
        <v/>
      </c>
    </row>
    <row r="1245" spans="1:8" ht="15" customHeight="1">
      <c r="A1245" s="91"/>
      <c r="B1245" s="80"/>
      <c r="D1245" s="15"/>
      <c r="F1245" s="15"/>
    </row>
    <row r="1246" spans="1:8" ht="15" customHeight="1">
      <c r="A1246" s="90" t="s">
        <v>1191</v>
      </c>
      <c r="B1246" s="108"/>
    </row>
    <row r="1247" spans="1:8" ht="15" customHeight="1">
      <c r="A1247" s="88"/>
      <c r="B1247" s="80" t="s">
        <v>630</v>
      </c>
      <c r="C1247" s="14" t="s">
        <v>1192</v>
      </c>
      <c r="D1247" s="151"/>
      <c r="E1247" s="14" t="s">
        <v>550</v>
      </c>
      <c r="F1247" s="151" t="str">
        <f>IF(wskakunin_koutei02_KOUTEI_KAISUU="","",wskakunin_koutei02_KOUTEI_KAISUU)</f>
        <v/>
      </c>
    </row>
    <row r="1248" spans="1:8" ht="15" customHeight="1">
      <c r="A1248" s="88"/>
      <c r="B1248" s="80" t="s">
        <v>631</v>
      </c>
      <c r="C1248" s="14" t="s">
        <v>1193</v>
      </c>
      <c r="D1248" s="253"/>
      <c r="E1248" s="14" t="s">
        <v>551</v>
      </c>
      <c r="F1248" s="253" t="str">
        <f>IF(wskakunin_koutei02_KOUTEI_DATE="","",wskakunin_koutei02_KOUTEI_DATE)</f>
        <v/>
      </c>
    </row>
    <row r="1249" spans="1:6" ht="15" customHeight="1">
      <c r="A1249" s="88"/>
      <c r="B1249" s="80" t="s">
        <v>632</v>
      </c>
      <c r="C1249" s="14" t="s">
        <v>1194</v>
      </c>
      <c r="D1249" s="151"/>
      <c r="E1249" s="14" t="s">
        <v>552</v>
      </c>
      <c r="F1249" s="151" t="str">
        <f>IF(wskakunin_koutei02_KOUTEI_TEXT="","",wskakunin_koutei02_KOUTEI_TEXT)</f>
        <v/>
      </c>
    </row>
    <row r="1250" spans="1:6" ht="15" customHeight="1">
      <c r="A1250" s="92"/>
      <c r="B1250" s="80"/>
      <c r="D1250" s="15"/>
      <c r="F1250" s="15"/>
    </row>
    <row r="1251" spans="1:6" ht="15" customHeight="1">
      <c r="A1251" s="87" t="s">
        <v>1195</v>
      </c>
      <c r="B1251" s="42"/>
    </row>
    <row r="1252" spans="1:6" ht="15" customHeight="1">
      <c r="A1252" s="88"/>
      <c r="B1252" s="80" t="s">
        <v>630</v>
      </c>
      <c r="C1252" s="14" t="s">
        <v>1196</v>
      </c>
      <c r="D1252" s="151"/>
      <c r="E1252" s="14" t="s">
        <v>1197</v>
      </c>
      <c r="F1252" s="151" t="str">
        <f>IF(wskakunin_koutei03_KOUTEI_KAISUU="","",wskakunin_koutei03_KOUTEI_KAISUU)</f>
        <v/>
      </c>
    </row>
    <row r="1253" spans="1:6" ht="15" customHeight="1">
      <c r="A1253" s="88"/>
      <c r="B1253" s="80" t="s">
        <v>631</v>
      </c>
      <c r="C1253" s="14" t="s">
        <v>1198</v>
      </c>
      <c r="D1253" s="253"/>
      <c r="E1253" s="14" t="s">
        <v>1199</v>
      </c>
      <c r="F1253" s="253" t="str">
        <f>IF(wskakunin_koutei03_KOUTEI_DATE="","",wskakunin_koutei03_KOUTEI_DATE)</f>
        <v/>
      </c>
    </row>
    <row r="1254" spans="1:6" ht="15" customHeight="1">
      <c r="A1254" s="88"/>
      <c r="B1254" s="80" t="s">
        <v>632</v>
      </c>
      <c r="C1254" s="14" t="s">
        <v>1200</v>
      </c>
      <c r="D1254" s="151"/>
      <c r="E1254" s="14" t="s">
        <v>1201</v>
      </c>
      <c r="F1254" s="151" t="str">
        <f>IF(wskakunin_koutei03_KOUTEI_TEXT="","",wskakunin_koutei03_KOUTEI_TEXT)</f>
        <v/>
      </c>
    </row>
    <row r="1255" spans="1:6" ht="15" customHeight="1">
      <c r="A1255" s="92"/>
      <c r="B1255" s="80"/>
      <c r="D1255" s="15"/>
      <c r="F1255" s="15"/>
    </row>
    <row r="1256" spans="1:6" ht="15" customHeight="1">
      <c r="A1256" s="87" t="s">
        <v>2370</v>
      </c>
      <c r="B1256" s="42"/>
    </row>
    <row r="1257" spans="1:6" ht="15" customHeight="1">
      <c r="A1257" s="88"/>
      <c r="B1257" s="80" t="s">
        <v>630</v>
      </c>
      <c r="C1257" s="14" t="s">
        <v>2595</v>
      </c>
      <c r="D1257" s="151"/>
      <c r="E1257" s="14" t="s">
        <v>2660</v>
      </c>
      <c r="F1257" s="151" t="str">
        <f>IF(wskakunin_koutei04_KOUTEI_KAISUU="","",wskakunin_koutei04_KOUTEI_KAISUU)</f>
        <v/>
      </c>
    </row>
    <row r="1258" spans="1:6" ht="15" customHeight="1">
      <c r="A1258" s="88"/>
      <c r="B1258" s="80" t="s">
        <v>631</v>
      </c>
      <c r="C1258" s="14" t="s">
        <v>2596</v>
      </c>
      <c r="D1258" s="253"/>
      <c r="E1258" s="14" t="s">
        <v>2661</v>
      </c>
      <c r="F1258" s="253" t="str">
        <f>IF(wskakunin_koutei04_KOUTEI_DATE="","",wskakunin_koutei04_KOUTEI_DATE)</f>
        <v/>
      </c>
    </row>
    <row r="1259" spans="1:6" ht="15" customHeight="1">
      <c r="A1259" s="88"/>
      <c r="B1259" s="80" t="s">
        <v>632</v>
      </c>
      <c r="C1259" s="14" t="s">
        <v>2597</v>
      </c>
      <c r="D1259" s="151"/>
      <c r="E1259" s="14" t="s">
        <v>2662</v>
      </c>
      <c r="F1259" s="151" t="str">
        <f>IF(wskakunin_koutei04_KOUTEI_TEXT="","",wskakunin_koutei04_KOUTEI_TEXT)</f>
        <v/>
      </c>
    </row>
    <row r="1260" spans="1:6" ht="15" customHeight="1">
      <c r="A1260" s="93"/>
      <c r="B1260" s="259"/>
      <c r="D1260" s="15"/>
      <c r="F1260" s="15"/>
    </row>
    <row r="1261" spans="1:6" ht="15" customHeight="1">
      <c r="A1261" s="1307" t="s">
        <v>4102</v>
      </c>
      <c r="B1261" s="260" t="s">
        <v>4103</v>
      </c>
      <c r="C1261" s="14" t="s">
        <v>4106</v>
      </c>
      <c r="D1261" s="151"/>
      <c r="E1261" s="14" t="s">
        <v>4110</v>
      </c>
      <c r="F1261" s="151" t="str">
        <f>IF(wskakunin_MOKUZOU_KEIKA_FLAG="","",wskakunin_MOKUZOU_KEIKA_FLAG)</f>
        <v/>
      </c>
    </row>
    <row r="1262" spans="1:6" ht="15" customHeight="1">
      <c r="A1262" s="1308"/>
      <c r="B1262" s="1270"/>
      <c r="D1262" s="15"/>
      <c r="E1262" s="14" t="s">
        <v>4111</v>
      </c>
      <c r="F1262" s="151" t="str">
        <f>IF(wskakunin_MOKUZOU_KEIKA_FLAG=1,"■","□")</f>
        <v>□</v>
      </c>
    </row>
    <row r="1263" spans="1:6" ht="15" customHeight="1">
      <c r="A1263" s="1308"/>
      <c r="B1263" s="1270"/>
      <c r="D1263" s="15"/>
      <c r="E1263" s="14" t="s">
        <v>4112</v>
      </c>
      <c r="F1263" s="151" t="str">
        <f>IF(wskakunin_MOKUZOU_KEIKA_FLAG="","□",IF(wskakunin_MOKUZOU_KEIKA_FLAG=0,"■","□"))</f>
        <v>□</v>
      </c>
    </row>
    <row r="1264" spans="1:6" ht="15" customHeight="1">
      <c r="A1264" s="1308"/>
      <c r="B1264" s="1270" t="s">
        <v>4104</v>
      </c>
      <c r="C1264" s="14" t="s">
        <v>4107</v>
      </c>
      <c r="D1264" s="151"/>
      <c r="E1264" s="14" t="s">
        <v>4113</v>
      </c>
      <c r="F1264" s="151" t="str">
        <f>IF(wskakunin_MOKUZOU_KEIKA_HASIRA_FLAG=1,"■","□")</f>
        <v>□</v>
      </c>
    </row>
    <row r="1265" spans="1:6" ht="15" customHeight="1">
      <c r="A1265" s="1309"/>
      <c r="B1265" s="1270" t="s">
        <v>1</v>
      </c>
      <c r="C1265" s="14" t="s">
        <v>4108</v>
      </c>
      <c r="D1265" s="151"/>
      <c r="E1265" s="14" t="s">
        <v>4114</v>
      </c>
      <c r="F1265" s="151" t="str">
        <f>IF(wskakunin_MOKUZOU_KEIKA_ETC_FLAG=1,"■","□")</f>
        <v>□</v>
      </c>
    </row>
    <row r="1266" spans="1:6" ht="15" customHeight="1">
      <c r="A1266" s="1271" t="s">
        <v>4105</v>
      </c>
      <c r="B1266" s="260"/>
      <c r="C1266" s="14" t="s">
        <v>4109</v>
      </c>
      <c r="D1266" s="151"/>
      <c r="E1266" s="14" t="s">
        <v>4115</v>
      </c>
      <c r="F1266" s="151" t="str">
        <f>IF(wskakunin_KITEI_CHOUSA_FLAG="","",wskakunin_KITEI_CHOUSA_FLAG)</f>
        <v/>
      </c>
    </row>
    <row r="1267" spans="1:6" ht="15" customHeight="1">
      <c r="A1267" s="258"/>
      <c r="B1267" s="80" t="s">
        <v>627</v>
      </c>
      <c r="D1267" s="15"/>
      <c r="E1267" s="14" t="s">
        <v>4116</v>
      </c>
      <c r="F1267" s="151" t="str">
        <f>IF(wskakunin_KITEI_CHOUSA_FLAG=1,"■","□")</f>
        <v>□</v>
      </c>
    </row>
    <row r="1268" spans="1:6" ht="15" customHeight="1">
      <c r="A1268" s="93"/>
      <c r="B1268" s="80" t="s">
        <v>628</v>
      </c>
      <c r="D1268" s="15"/>
      <c r="E1268" s="14" t="s">
        <v>4117</v>
      </c>
      <c r="F1268" s="151" t="str">
        <f>IF(wskakunin_KITEI_CHOUSA_FLAG="","□",IF(wskakunin_KITEI_CHOUSA_FLAG=0,"■","□"))</f>
        <v>□</v>
      </c>
    </row>
    <row r="1269" spans="1:6" ht="15" customHeight="1">
      <c r="A1269" s="258"/>
      <c r="B1269" s="1269"/>
      <c r="D1269" s="15"/>
      <c r="F1269" s="15"/>
    </row>
    <row r="1270" spans="1:6" ht="15" customHeight="1">
      <c r="A1270" s="258"/>
      <c r="B1270" s="1269"/>
      <c r="D1270" s="15"/>
      <c r="F1270" s="15"/>
    </row>
    <row r="1271" spans="1:6" ht="15" customHeight="1">
      <c r="A1271" s="258" t="s">
        <v>2667</v>
      </c>
      <c r="B1271" s="260"/>
      <c r="C1271" s="14" t="s">
        <v>2668</v>
      </c>
      <c r="D1271" s="151"/>
      <c r="E1271" s="14" t="s">
        <v>2669</v>
      </c>
      <c r="F1271" s="151" t="str">
        <f>IF(wskakunin_BOUKA_SETUBI_FLAG="","",wskakunin_BOUKA_SETUBI_FLAG)</f>
        <v/>
      </c>
    </row>
    <row r="1272" spans="1:6" ht="15" customHeight="1">
      <c r="A1272" s="258"/>
      <c r="B1272" s="80" t="s">
        <v>627</v>
      </c>
      <c r="D1272" s="15"/>
      <c r="E1272" s="14" t="s">
        <v>2670</v>
      </c>
      <c r="F1272" s="151" t="str">
        <f>IF(wskakunin_BOUKA_SETUBI_FLAG=1,"■","□")</f>
        <v>□</v>
      </c>
    </row>
    <row r="1273" spans="1:6" ht="15" customHeight="1">
      <c r="A1273" s="258"/>
      <c r="B1273" s="80" t="s">
        <v>628</v>
      </c>
      <c r="D1273" s="15"/>
      <c r="E1273" s="14" t="s">
        <v>2671</v>
      </c>
      <c r="F1273" s="151" t="str">
        <f>IF(wskakunin_BOUKA_SETUBI_FLAG="","□",IF(wskakunin_BOUKA_SETUBI_FLAG=0,"■","□"))</f>
        <v>□</v>
      </c>
    </row>
    <row r="1274" spans="1:6" ht="15" customHeight="1">
      <c r="A1274" s="258"/>
      <c r="B1274" s="143"/>
      <c r="D1274" s="15"/>
      <c r="F1274" s="15"/>
    </row>
    <row r="1275" spans="1:6" ht="15" customHeight="1">
      <c r="A1275" s="28" t="s">
        <v>1202</v>
      </c>
      <c r="B1275" s="94"/>
      <c r="C1275" s="14" t="s">
        <v>1203</v>
      </c>
      <c r="D1275" s="151"/>
      <c r="E1275" s="14" t="s">
        <v>1204</v>
      </c>
      <c r="F1275" s="151" t="str">
        <f>IF(wskakunin_P3_SONOTA="","",wskakunin_P3_SONOTA)</f>
        <v/>
      </c>
    </row>
    <row r="1276" spans="1:6" ht="15" customHeight="1">
      <c r="A1276" s="29"/>
      <c r="B1276" s="95"/>
      <c r="D1276" s="15"/>
      <c r="F1276" s="15"/>
    </row>
    <row r="1277" spans="1:6" ht="15" customHeight="1">
      <c r="A1277" s="96" t="s">
        <v>530</v>
      </c>
      <c r="B1277" s="97"/>
      <c r="C1277" s="14" t="s">
        <v>1205</v>
      </c>
      <c r="D1277" s="151"/>
      <c r="E1277" s="14" t="s">
        <v>1206</v>
      </c>
      <c r="F1277" s="151" t="str">
        <f>IF(wskakunin_P3_BIKOU="","",wskakunin_P3_BIKOU)</f>
        <v/>
      </c>
    </row>
    <row r="1278" spans="1:6" ht="15" customHeight="1">
      <c r="A1278" s="49"/>
      <c r="B1278" s="61"/>
    </row>
    <row r="1281" spans="1:7" ht="15" customHeight="1">
      <c r="A1281" s="175" t="s">
        <v>1207</v>
      </c>
      <c r="B1281" s="104" t="s">
        <v>31</v>
      </c>
    </row>
    <row r="1282" spans="1:7" ht="15" customHeight="1">
      <c r="A1282" s="86" t="s">
        <v>639</v>
      </c>
      <c r="B1282" s="107"/>
    </row>
    <row r="1283" spans="1:7" ht="15" customHeight="1">
      <c r="A1283" s="176" t="s">
        <v>638</v>
      </c>
      <c r="B1283" s="177"/>
    </row>
    <row r="1284" spans="1:7" ht="15" customHeight="1">
      <c r="A1284" s="48"/>
      <c r="B1284" s="72" t="s">
        <v>2248</v>
      </c>
      <c r="E1284" s="32" t="s">
        <v>2249</v>
      </c>
      <c r="F1284" s="42" t="str">
        <f>IF(wskakunin_TOKUREI_1="1","第１号",IF(wskakunin_TOKUREI_2="1","第２号",IF(wskakunin_TOKUREI_3="1","第３号",IF(wskakunin_TOKUREI_4="1","第４号",""))))</f>
        <v/>
      </c>
    </row>
    <row r="1285" spans="1:7" ht="15" customHeight="1">
      <c r="A1285" s="48"/>
      <c r="B1285" s="71" t="s">
        <v>634</v>
      </c>
      <c r="C1285" s="32" t="s">
        <v>1268</v>
      </c>
      <c r="D1285" s="234"/>
    </row>
    <row r="1286" spans="1:7" ht="15" customHeight="1">
      <c r="A1286" s="48"/>
      <c r="B1286" s="71" t="s">
        <v>635</v>
      </c>
      <c r="C1286" s="32" t="s">
        <v>1269</v>
      </c>
      <c r="D1286" s="234"/>
    </row>
    <row r="1287" spans="1:7" ht="15" customHeight="1">
      <c r="A1287" s="48"/>
      <c r="B1287" s="71" t="s">
        <v>636</v>
      </c>
      <c r="C1287" s="32" t="s">
        <v>1270</v>
      </c>
      <c r="D1287" s="234"/>
    </row>
    <row r="1288" spans="1:7" ht="15" customHeight="1">
      <c r="A1288" s="48"/>
      <c r="B1288" s="71" t="s">
        <v>637</v>
      </c>
      <c r="C1288" s="32" t="s">
        <v>1271</v>
      </c>
      <c r="D1288" s="234"/>
    </row>
    <row r="1289" spans="1:7" ht="15" customHeight="1">
      <c r="A1289" s="178"/>
      <c r="B1289" s="72"/>
    </row>
    <row r="1290" spans="1:7" ht="15" customHeight="1">
      <c r="A1290" s="46" t="s">
        <v>640</v>
      </c>
      <c r="B1290" s="47"/>
      <c r="C1290" s="14" t="s">
        <v>1272</v>
      </c>
      <c r="D1290" s="234"/>
      <c r="E1290" s="14" t="s">
        <v>2257</v>
      </c>
      <c r="F1290" s="42" t="str">
        <f>IF(wskakunin_KENTIKU_NINSYO_NO="","",wskakunin_KENTIKU_NINSYO_NO)</f>
        <v/>
      </c>
    </row>
    <row r="1291" spans="1:7" ht="15" customHeight="1">
      <c r="A1291" s="173"/>
      <c r="B1291" s="174"/>
    </row>
    <row r="1292" spans="1:7" ht="15" customHeight="1">
      <c r="A1292" s="179" t="s">
        <v>641</v>
      </c>
      <c r="B1292" s="47"/>
      <c r="C1292" s="14" t="s">
        <v>2258</v>
      </c>
      <c r="D1292" s="256"/>
      <c r="E1292" s="14" t="s">
        <v>2274</v>
      </c>
      <c r="F1292" s="256" t="str">
        <f ca="1">IF(chk_JOB_KIND_kakunin=1,"",IF(wskakunin_KOUJI_TYAKUSYU_DATE="","",wskakunin_KOUJI_TYAKUSYU_DATE))</f>
        <v/>
      </c>
      <c r="G1292" s="14" t="s">
        <v>2260</v>
      </c>
    </row>
    <row r="1293" spans="1:7" ht="15" customHeight="1">
      <c r="A1293" s="180"/>
      <c r="B1293" s="174"/>
      <c r="D1293" s="103"/>
    </row>
    <row r="1294" spans="1:7" ht="15" customHeight="1">
      <c r="A1294" s="179" t="s">
        <v>2652</v>
      </c>
      <c r="B1294" s="47"/>
      <c r="D1294" s="103"/>
    </row>
    <row r="1295" spans="1:7" ht="15" customHeight="1">
      <c r="A1295" s="230"/>
      <c r="B1295" s="72" t="s">
        <v>2651</v>
      </c>
      <c r="D1295" s="103"/>
      <c r="E1295" s="14" t="s">
        <v>2653</v>
      </c>
      <c r="F1295" s="256" t="str">
        <f ca="1">IF(chk_JOB_KIND_kakunin=1,"",IF(wskakunin_KOUJI_KANRYOU_YOTEI_DATE="","",wskakunin_KOUJI_KANRYOU_YOTEI_DATE))</f>
        <v/>
      </c>
    </row>
    <row r="1296" spans="1:7" ht="15" customHeight="1">
      <c r="A1296" s="179" t="s">
        <v>642</v>
      </c>
      <c r="B1296" s="47"/>
    </row>
    <row r="1297" spans="1:7" ht="15" customHeight="1">
      <c r="A1297" s="48"/>
      <c r="B1297" s="71" t="s">
        <v>558</v>
      </c>
      <c r="C1297" s="14" t="s">
        <v>1293</v>
      </c>
      <c r="D1297" s="234"/>
      <c r="E1297" s="14" t="s">
        <v>2276</v>
      </c>
      <c r="F1297" s="42" t="str">
        <f>IF(wskakunin_TOKUTEI_KOUTEI="","",wskakunin_TOKUTEI_KOUTEI)</f>
        <v/>
      </c>
      <c r="G1297" s="14" t="s">
        <v>2262</v>
      </c>
    </row>
    <row r="1298" spans="1:7" ht="15" customHeight="1">
      <c r="A1298" s="48"/>
      <c r="B1298" s="72" t="s">
        <v>2263</v>
      </c>
      <c r="E1298" s="14" t="s">
        <v>2277</v>
      </c>
      <c r="F1298" s="42" t="str">
        <f ca="1">IF(chk_JOB_KIND_kakunin=1,IF(wskakunin_koutei01_KOUTEI_TEXT="","",wskakunin_koutei01_KOUTEI_TEXT),cst_wskakunin_TOKUTEI_KOUTEI)</f>
        <v/>
      </c>
    </row>
    <row r="1299" spans="1:7" ht="15" customHeight="1">
      <c r="A1299" s="48"/>
      <c r="B1299" s="72" t="s">
        <v>2264</v>
      </c>
      <c r="E1299" s="14" t="s">
        <v>2278</v>
      </c>
      <c r="F1299" s="42" t="str">
        <f ca="1">IF(chk_JOB_KIND_kakunin=1,IF(wskakunin_koutei02_KOUTEI_TEXT="","",wskakunin_koutei02_KOUTEI_TEXT),cst_wskakunin_TOKUTEI_KOUTEI)</f>
        <v/>
      </c>
    </row>
    <row r="1300" spans="1:7" ht="15" customHeight="1">
      <c r="A1300" s="48"/>
      <c r="B1300" s="71" t="s">
        <v>643</v>
      </c>
      <c r="C1300" s="14" t="s">
        <v>1294</v>
      </c>
      <c r="D1300" s="256"/>
      <c r="E1300" s="14" t="s">
        <v>2279</v>
      </c>
      <c r="F1300" s="256" t="str">
        <f ca="1">IF(chk_JOB_KIND_kakunin=1,"",IF(wskakunin_TOKUTEI_KOUJI_KANRYOU_DATE="","",wskakunin_TOKUTEI_KOUJI_KANRYOU_DATE))</f>
        <v/>
      </c>
      <c r="G1300" s="14" t="s">
        <v>2260</v>
      </c>
    </row>
    <row r="1301" spans="1:7" ht="15" customHeight="1">
      <c r="A1301" s="48"/>
      <c r="B1301" s="71"/>
      <c r="D1301" s="103"/>
    </row>
    <row r="1302" spans="1:7" ht="15" customHeight="1">
      <c r="A1302" s="48"/>
      <c r="B1302" s="71" t="s">
        <v>644</v>
      </c>
      <c r="C1302" s="14" t="s">
        <v>1295</v>
      </c>
      <c r="D1302" s="255"/>
      <c r="E1302" s="14" t="s">
        <v>2280</v>
      </c>
      <c r="F1302" s="42" t="str">
        <f ca="1">IF(chk_JOB_KIND_kakunin=1,"",IF(wskakunin_KENSA_YUKA_MENSEKI="","",wskakunin_KENSA_YUKA_MENSEKI))</f>
        <v/>
      </c>
      <c r="G1302" s="14" t="s">
        <v>2260</v>
      </c>
    </row>
    <row r="1303" spans="1:7" ht="15" customHeight="1">
      <c r="A1303" s="173"/>
      <c r="B1303" s="182"/>
    </row>
    <row r="1304" spans="1:7" ht="15" customHeight="1">
      <c r="A1304" s="179" t="s">
        <v>645</v>
      </c>
      <c r="B1304" s="47"/>
    </row>
    <row r="1305" spans="1:7" ht="15" customHeight="1">
      <c r="A1305" s="194" t="s">
        <v>1184</v>
      </c>
      <c r="B1305" s="177"/>
    </row>
    <row r="1306" spans="1:7" ht="15" customHeight="1">
      <c r="A1306" s="195"/>
      <c r="B1306" s="72" t="s">
        <v>630</v>
      </c>
      <c r="C1306" s="14" t="s">
        <v>1296</v>
      </c>
      <c r="D1306" s="234"/>
      <c r="E1306" s="14" t="s">
        <v>2281</v>
      </c>
      <c r="F1306" s="42" t="str">
        <f>IF(wskakunin_koutei_izen01_KOUTEI_KAISUU="","",wskakunin_koutei_izen01_KOUTEI_KAISUU)</f>
        <v/>
      </c>
    </row>
    <row r="1307" spans="1:7" ht="15" customHeight="1">
      <c r="A1307" s="195"/>
      <c r="B1307" s="71" t="s">
        <v>558</v>
      </c>
      <c r="C1307" s="14" t="s">
        <v>1297</v>
      </c>
      <c r="D1307" s="234"/>
      <c r="E1307" s="14" t="s">
        <v>2282</v>
      </c>
      <c r="F1307" s="42" t="str">
        <f>IF(wskakunin_koutei_izen01_KOUTEI_TEXT="","",wskakunin_koutei_izen01_KOUTEI_TEXT)</f>
        <v/>
      </c>
    </row>
    <row r="1308" spans="1:7" ht="15" customHeight="1">
      <c r="A1308" s="195"/>
      <c r="B1308" s="113" t="s">
        <v>646</v>
      </c>
      <c r="C1308" s="14" t="s">
        <v>1298</v>
      </c>
      <c r="D1308" s="234"/>
      <c r="E1308" s="14" t="s">
        <v>2283</v>
      </c>
      <c r="F1308" s="42" t="str">
        <f>IF(wskakunin_koutei_izen01_INTER_ISSUE_NAME="","",wskakunin_koutei_izen01_INTER_ISSUE_NAME)</f>
        <v/>
      </c>
    </row>
    <row r="1309" spans="1:7" ht="15" customHeight="1">
      <c r="A1309" s="195"/>
      <c r="B1309" s="113" t="s">
        <v>647</v>
      </c>
      <c r="C1309" s="14" t="s">
        <v>1299</v>
      </c>
      <c r="D1309" s="234"/>
      <c r="E1309" s="14" t="s">
        <v>2284</v>
      </c>
      <c r="F1309" s="42" t="str">
        <f>IF(wskakunin_koutei_izen01_INTER_ISSUE_NO="","",wskakunin_koutei_izen01_INTER_ISSUE_NO)</f>
        <v/>
      </c>
    </row>
    <row r="1310" spans="1:7" ht="15" customHeight="1">
      <c r="A1310" s="195"/>
      <c r="B1310" s="113" t="s">
        <v>648</v>
      </c>
      <c r="C1310" s="14" t="s">
        <v>1300</v>
      </c>
      <c r="D1310" s="256"/>
      <c r="E1310" s="14" t="s">
        <v>2285</v>
      </c>
      <c r="F1310" s="256" t="str">
        <f>IF(wskakunin_koutei_izen01_INTER_ISSUE_DATE="","",wskakunin_koutei_izen01_INTER_ISSUE_DATE)</f>
        <v/>
      </c>
    </row>
    <row r="1311" spans="1:7" ht="15" customHeight="1">
      <c r="A1311" s="196"/>
      <c r="B1311" s="72"/>
    </row>
    <row r="1312" spans="1:7" ht="15" customHeight="1">
      <c r="A1312" s="195" t="s">
        <v>1191</v>
      </c>
      <c r="B1312" s="152"/>
    </row>
    <row r="1313" spans="1:6" ht="15" customHeight="1">
      <c r="A1313" s="195"/>
      <c r="B1313" s="72" t="s">
        <v>630</v>
      </c>
      <c r="C1313" s="14" t="s">
        <v>1301</v>
      </c>
      <c r="D1313" s="234"/>
      <c r="E1313" s="14" t="s">
        <v>2299</v>
      </c>
      <c r="F1313" s="42" t="str">
        <f>IF(wskakunin_koutei_izen02_KOUTEI_KAISUU="","",wskakunin_koutei_izen02_KOUTEI_KAISUU)</f>
        <v/>
      </c>
    </row>
    <row r="1314" spans="1:6" ht="15" customHeight="1">
      <c r="A1314" s="195"/>
      <c r="B1314" s="71" t="s">
        <v>558</v>
      </c>
      <c r="C1314" s="14" t="s">
        <v>1302</v>
      </c>
      <c r="D1314" s="234"/>
      <c r="E1314" s="14" t="s">
        <v>2300</v>
      </c>
      <c r="F1314" s="42" t="str">
        <f>IF(wskakunin_koutei_izen02_KOUTEI_TEXT="","",wskakunin_koutei_izen02_KOUTEI_TEXT)</f>
        <v/>
      </c>
    </row>
    <row r="1315" spans="1:6" ht="15" customHeight="1">
      <c r="A1315" s="195"/>
      <c r="B1315" s="113" t="s">
        <v>646</v>
      </c>
      <c r="C1315" s="14" t="s">
        <v>1303</v>
      </c>
      <c r="D1315" s="234"/>
      <c r="E1315" s="14" t="s">
        <v>2301</v>
      </c>
      <c r="F1315" s="42" t="str">
        <f>IF(wskakunin_koutei_izen02_INTER_ISSUE_NAME="","",wskakunin_koutei_izen02_INTER_ISSUE_NAME)</f>
        <v/>
      </c>
    </row>
    <row r="1316" spans="1:6" ht="15" customHeight="1">
      <c r="A1316" s="195"/>
      <c r="B1316" s="113" t="s">
        <v>647</v>
      </c>
      <c r="C1316" s="14" t="s">
        <v>1304</v>
      </c>
      <c r="D1316" s="234"/>
      <c r="E1316" s="14" t="s">
        <v>2302</v>
      </c>
      <c r="F1316" s="42" t="str">
        <f>IF(wskakunin_koutei_izen02_INTER_ISSUE_NO="","",wskakunin_koutei_izen02_INTER_ISSUE_NO)</f>
        <v/>
      </c>
    </row>
    <row r="1317" spans="1:6" ht="15" customHeight="1">
      <c r="A1317" s="195"/>
      <c r="B1317" s="113" t="s">
        <v>648</v>
      </c>
      <c r="C1317" s="14" t="s">
        <v>1305</v>
      </c>
      <c r="D1317" s="256"/>
      <c r="E1317" s="14" t="s">
        <v>2303</v>
      </c>
      <c r="F1317" s="256" t="str">
        <f>IF(wskakunin_koutei_izen02_INTER_ISSUE_DATE="","",wskakunin_koutei_izen02_INTER_ISSUE_DATE)</f>
        <v/>
      </c>
    </row>
    <row r="1318" spans="1:6" ht="15" customHeight="1">
      <c r="A1318" s="195"/>
      <c r="B1318" s="72"/>
    </row>
    <row r="1319" spans="1:6" ht="15" customHeight="1">
      <c r="A1319" s="194" t="s">
        <v>1195</v>
      </c>
      <c r="B1319" s="177"/>
    </row>
    <row r="1320" spans="1:6" ht="15" customHeight="1">
      <c r="A1320" s="195"/>
      <c r="B1320" s="72" t="s">
        <v>630</v>
      </c>
      <c r="C1320" s="14" t="s">
        <v>2371</v>
      </c>
      <c r="D1320" s="234"/>
      <c r="E1320" s="14" t="s">
        <v>2381</v>
      </c>
      <c r="F1320" s="42" t="str">
        <f>IF(wskakunin_koutei_izen03_KOUTEI_KAISUU="","",wskakunin_koutei_izen03_KOUTEI_KAISUU)</f>
        <v/>
      </c>
    </row>
    <row r="1321" spans="1:6" ht="15" customHeight="1">
      <c r="A1321" s="195"/>
      <c r="B1321" s="71" t="s">
        <v>558</v>
      </c>
      <c r="C1321" s="14" t="s">
        <v>2372</v>
      </c>
      <c r="D1321" s="234"/>
      <c r="E1321" s="14" t="s">
        <v>2382</v>
      </c>
      <c r="F1321" s="42" t="str">
        <f>IF(wskakunin_koutei_izen03_KOUTEI_TEXT="","",wskakunin_koutei_izen03_KOUTEI_TEXT)</f>
        <v/>
      </c>
    </row>
    <row r="1322" spans="1:6" ht="15" customHeight="1">
      <c r="A1322" s="195"/>
      <c r="B1322" s="113" t="s">
        <v>646</v>
      </c>
      <c r="C1322" s="14" t="s">
        <v>2373</v>
      </c>
      <c r="D1322" s="234"/>
      <c r="E1322" s="14" t="s">
        <v>2383</v>
      </c>
      <c r="F1322" s="42" t="str">
        <f>IF(wskakunin_koutei_izen03_INTER_ISSUE_NAME="","",wskakunin_koutei_izen03_INTER_ISSUE_NAME)</f>
        <v/>
      </c>
    </row>
    <row r="1323" spans="1:6" ht="15" customHeight="1">
      <c r="A1323" s="195"/>
      <c r="B1323" s="113" t="s">
        <v>647</v>
      </c>
      <c r="C1323" s="14" t="s">
        <v>2374</v>
      </c>
      <c r="D1323" s="234"/>
      <c r="E1323" s="14" t="s">
        <v>2384</v>
      </c>
      <c r="F1323" s="42" t="str">
        <f>IF(wskakunin_koutei_izen03_INTER_ISSUE_NO="","",wskakunin_koutei_izen03_INTER_ISSUE_NO)</f>
        <v/>
      </c>
    </row>
    <row r="1324" spans="1:6" ht="15" customHeight="1">
      <c r="A1324" s="195"/>
      <c r="B1324" s="113" t="s">
        <v>648</v>
      </c>
      <c r="C1324" s="14" t="s">
        <v>2375</v>
      </c>
      <c r="D1324" s="254"/>
      <c r="E1324" s="14" t="s">
        <v>2385</v>
      </c>
      <c r="F1324" s="254" t="str">
        <f>IF(wskakunin_koutei_izen03_INTER_ISSUE_DATE="","",wskakunin_koutei_izen03_INTER_ISSUE_DATE)</f>
        <v/>
      </c>
    </row>
    <row r="1325" spans="1:6" ht="15" customHeight="1">
      <c r="A1325" s="196"/>
      <c r="B1325" s="72"/>
    </row>
    <row r="1326" spans="1:6" ht="15" customHeight="1">
      <c r="A1326" s="194" t="s">
        <v>2370</v>
      </c>
      <c r="B1326" s="177"/>
    </row>
    <row r="1327" spans="1:6" ht="15" customHeight="1">
      <c r="A1327" s="195"/>
      <c r="B1327" s="72" t="s">
        <v>630</v>
      </c>
      <c r="C1327" s="14" t="s">
        <v>2376</v>
      </c>
      <c r="D1327" s="234"/>
      <c r="E1327" s="14" t="s">
        <v>2386</v>
      </c>
      <c r="F1327" s="42" t="str">
        <f>IF(wskakunin_koutei_izen04_KOUTEI_KAISUU="","",wskakunin_koutei_izen04_KOUTEI_KAISUU)</f>
        <v/>
      </c>
    </row>
    <row r="1328" spans="1:6" ht="15" customHeight="1">
      <c r="A1328" s="195"/>
      <c r="B1328" s="71" t="s">
        <v>558</v>
      </c>
      <c r="C1328" s="14" t="s">
        <v>2377</v>
      </c>
      <c r="D1328" s="234"/>
      <c r="E1328" s="14" t="s">
        <v>2387</v>
      </c>
      <c r="F1328" s="42" t="str">
        <f>IF(wskakunin_koutei_izen04_KOUTEI_TEXT="","",wskakunin_koutei_izen04_KOUTEI_TEXT)</f>
        <v/>
      </c>
    </row>
    <row r="1329" spans="1:7" ht="15" customHeight="1">
      <c r="A1329" s="195"/>
      <c r="B1329" s="113" t="s">
        <v>646</v>
      </c>
      <c r="C1329" s="14" t="s">
        <v>2378</v>
      </c>
      <c r="D1329" s="234"/>
      <c r="E1329" s="14" t="s">
        <v>2388</v>
      </c>
      <c r="F1329" s="42" t="str">
        <f>IF(wskakunin_koutei_izen04_INTER_ISSUE_NAME="","",wskakunin_koutei_izen04_INTER_ISSUE_NAME)</f>
        <v/>
      </c>
    </row>
    <row r="1330" spans="1:7" ht="15" customHeight="1">
      <c r="A1330" s="195"/>
      <c r="B1330" s="113" t="s">
        <v>647</v>
      </c>
      <c r="C1330" s="14" t="s">
        <v>2379</v>
      </c>
      <c r="D1330" s="234"/>
      <c r="E1330" s="14" t="s">
        <v>2389</v>
      </c>
      <c r="F1330" s="42" t="str">
        <f>IF(wskakunin_koutei_izen04_INTER_ISSUE_NO="","",wskakunin_koutei_izen04_INTER_ISSUE_NO)</f>
        <v/>
      </c>
    </row>
    <row r="1331" spans="1:7" ht="15" customHeight="1">
      <c r="A1331" s="195"/>
      <c r="B1331" s="113" t="s">
        <v>648</v>
      </c>
      <c r="C1331" s="14" t="s">
        <v>2380</v>
      </c>
      <c r="D1331" s="254"/>
      <c r="E1331" s="14" t="s">
        <v>2390</v>
      </c>
      <c r="F1331" s="254" t="str">
        <f>IF(wskakunin_koutei_izen04_INTER_ISSUE_DATE="","",wskakunin_koutei_izen04_INTER_ISSUE_DATE)</f>
        <v/>
      </c>
    </row>
    <row r="1332" spans="1:7" ht="15" customHeight="1">
      <c r="A1332" s="196"/>
      <c r="B1332" s="72"/>
    </row>
    <row r="1333" spans="1:7" ht="15" customHeight="1">
      <c r="A1333" s="194" t="s">
        <v>2391</v>
      </c>
      <c r="B1333" s="177" t="s">
        <v>2360</v>
      </c>
      <c r="G1333" s="14" t="s">
        <v>2260</v>
      </c>
    </row>
    <row r="1334" spans="1:7" ht="15" customHeight="1">
      <c r="A1334" s="195"/>
      <c r="B1334" s="72" t="s">
        <v>2265</v>
      </c>
      <c r="E1334" s="14" t="s">
        <v>2286</v>
      </c>
      <c r="F1334" s="42" t="str">
        <f ca="1">IF(chk_JOB_KIND_kakunin=1,"",cst_wskakunin_koutei_izen01_KOUTEI_KAISUU)</f>
        <v/>
      </c>
    </row>
    <row r="1335" spans="1:7" ht="15" customHeight="1">
      <c r="A1335" s="195"/>
      <c r="B1335" s="71" t="s">
        <v>2266</v>
      </c>
      <c r="E1335" s="14" t="s">
        <v>2287</v>
      </c>
      <c r="F1335" s="42" t="str">
        <f ca="1">IF(chk_JOB_KIND_kakunin=1,"",cst_wskakunin_koutei_izen01_KOUTEI_TEXT)</f>
        <v/>
      </c>
    </row>
    <row r="1336" spans="1:7" ht="15" customHeight="1">
      <c r="A1336" s="195"/>
      <c r="B1336" s="113" t="s">
        <v>2267</v>
      </c>
      <c r="E1336" s="14" t="s">
        <v>2290</v>
      </c>
      <c r="F1336" s="42" t="str">
        <f ca="1">IF(chk_JOB_KIND_kakunin=1,"",cst_wskakunin_koutei_izen01_INTER_ISSUE_NAME)</f>
        <v/>
      </c>
    </row>
    <row r="1337" spans="1:7" ht="15" customHeight="1">
      <c r="A1337" s="195"/>
      <c r="B1337" s="113" t="s">
        <v>2268</v>
      </c>
      <c r="E1337" s="14" t="s">
        <v>2288</v>
      </c>
      <c r="F1337" s="42" t="str">
        <f ca="1">IF(chk_JOB_KIND_kakunin=1,"",cst_wskakunin_koutei_izen01_INTER_ISSUE_NO)</f>
        <v/>
      </c>
    </row>
    <row r="1338" spans="1:7" ht="15" customHeight="1">
      <c r="A1338" s="195"/>
      <c r="B1338" s="113" t="s">
        <v>2269</v>
      </c>
      <c r="E1338" s="14" t="s">
        <v>2289</v>
      </c>
      <c r="F1338" s="256" t="str">
        <f ca="1">IF(chk_JOB_KIND_kakunin=1,"",cst_wskakunin_koutei_izen01_INTER_ISSUE_DATE)</f>
        <v/>
      </c>
    </row>
    <row r="1339" spans="1:7" ht="15" customHeight="1">
      <c r="A1339" s="195"/>
      <c r="B1339" s="72"/>
    </row>
    <row r="1340" spans="1:7" ht="15" customHeight="1">
      <c r="A1340" s="194" t="s">
        <v>2391</v>
      </c>
      <c r="B1340" s="177" t="s">
        <v>2361</v>
      </c>
      <c r="G1340" s="14" t="s">
        <v>2296</v>
      </c>
    </row>
    <row r="1341" spans="1:7" ht="15" customHeight="1">
      <c r="A1341" s="195"/>
      <c r="B1341" s="72" t="s">
        <v>2265</v>
      </c>
      <c r="E1341" s="14" t="s">
        <v>2291</v>
      </c>
      <c r="F1341" s="42" t="str">
        <f ca="1">IF(chk_INTER1_state_in_conf=1,cst_wskakunin_koutei01_KOUTEI_KAISUU,"")</f>
        <v/>
      </c>
    </row>
    <row r="1342" spans="1:7" ht="15" customHeight="1">
      <c r="A1342" s="195"/>
      <c r="B1342" s="71" t="s">
        <v>2266</v>
      </c>
      <c r="E1342" s="14" t="s">
        <v>2292</v>
      </c>
      <c r="F1342" s="42" t="str">
        <f ca="1">IF(chk_INTER1_state_in_conf=1,cst_wskakunin_koutei01_KOUTEI_TEXT,"")</f>
        <v/>
      </c>
    </row>
    <row r="1343" spans="1:7" ht="15" customHeight="1">
      <c r="A1343" s="195"/>
      <c r="B1343" s="113" t="s">
        <v>2267</v>
      </c>
      <c r="E1343" s="14" t="s">
        <v>2293</v>
      </c>
      <c r="F1343" s="42" t="str">
        <f ca="1">IF(chk_INTER1_state_in_conf=1,cst_wskakunin_KIKAN_NAME,"")</f>
        <v/>
      </c>
    </row>
    <row r="1344" spans="1:7" ht="15" customHeight="1">
      <c r="A1344" s="195"/>
      <c r="B1344" s="113" t="s">
        <v>2268</v>
      </c>
      <c r="E1344" s="14" t="s">
        <v>2294</v>
      </c>
      <c r="F1344" s="42" t="str">
        <f ca="1">IF(chk_INTER1_state_in_conf=1,"第   KAK建合        号","")</f>
        <v/>
      </c>
    </row>
    <row r="1345" spans="1:7" ht="15" customHeight="1">
      <c r="A1345" s="195"/>
      <c r="B1345" s="113" t="s">
        <v>2269</v>
      </c>
      <c r="E1345" s="14" t="s">
        <v>2295</v>
      </c>
      <c r="F1345" s="256" t="str">
        <f ca="1">IF(chk_INTER1_state_in_conf=1,"","")</f>
        <v/>
      </c>
    </row>
    <row r="1346" spans="1:7" ht="15" customHeight="1">
      <c r="A1346" s="196"/>
      <c r="B1346" s="72"/>
    </row>
    <row r="1347" spans="1:7" ht="15" customHeight="1">
      <c r="A1347" s="194" t="s">
        <v>2392</v>
      </c>
      <c r="B1347" s="177" t="s">
        <v>2360</v>
      </c>
      <c r="G1347" s="14" t="s">
        <v>2260</v>
      </c>
    </row>
    <row r="1348" spans="1:7" ht="15" customHeight="1">
      <c r="A1348" s="195"/>
      <c r="B1348" s="72" t="s">
        <v>2265</v>
      </c>
      <c r="E1348" s="14" t="s">
        <v>2393</v>
      </c>
      <c r="F1348" s="42" t="str">
        <f ca="1">IF(chk_JOB_KIND_kakunin=1,"",cst_wskakunin_koutei_izen02_KOUTEI_KAISUU)</f>
        <v/>
      </c>
    </row>
    <row r="1349" spans="1:7" ht="15" customHeight="1">
      <c r="A1349" s="195"/>
      <c r="B1349" s="71" t="s">
        <v>2266</v>
      </c>
      <c r="E1349" s="14" t="s">
        <v>2394</v>
      </c>
      <c r="F1349" s="42" t="str">
        <f ca="1">IF(chk_JOB_KIND_kakunin=1,"",cst_wskakunin_koutei_izen02_KOUTEI_TEXT)</f>
        <v/>
      </c>
    </row>
    <row r="1350" spans="1:7" ht="15" customHeight="1">
      <c r="A1350" s="195"/>
      <c r="B1350" s="113" t="s">
        <v>2267</v>
      </c>
      <c r="E1350" s="14" t="s">
        <v>2395</v>
      </c>
      <c r="F1350" s="42" t="str">
        <f ca="1">IF(chk_JOB_KIND_kakunin=1,"",cst_wskakunin_koutei_izen02_INTER_ISSUE_NAME)</f>
        <v/>
      </c>
    </row>
    <row r="1351" spans="1:7" ht="15" customHeight="1">
      <c r="A1351" s="195"/>
      <c r="B1351" s="113" t="s">
        <v>2268</v>
      </c>
      <c r="E1351" s="14" t="s">
        <v>2396</v>
      </c>
      <c r="F1351" s="42" t="str">
        <f ca="1">IF(chk_JOB_KIND_kakunin=1,"",cst_wskakunin_koutei_izen02_INTER_ISSUE_NO)</f>
        <v/>
      </c>
    </row>
    <row r="1352" spans="1:7" ht="15" customHeight="1">
      <c r="A1352" s="195"/>
      <c r="B1352" s="113" t="s">
        <v>2269</v>
      </c>
      <c r="E1352" s="14" t="s">
        <v>2397</v>
      </c>
      <c r="F1352" s="256" t="str">
        <f ca="1">IF(chk_JOB_KIND_kakunin=1,"",cst_wskakunin_koutei_izen02_INTER_ISSUE_DATE)</f>
        <v/>
      </c>
    </row>
    <row r="1353" spans="1:7" ht="15" customHeight="1">
      <c r="A1353" s="195"/>
      <c r="B1353" s="72"/>
    </row>
    <row r="1354" spans="1:7" ht="15" customHeight="1">
      <c r="A1354" s="194" t="s">
        <v>2392</v>
      </c>
      <c r="B1354" s="177" t="s">
        <v>2361</v>
      </c>
      <c r="G1354" s="14" t="s">
        <v>2260</v>
      </c>
    </row>
    <row r="1355" spans="1:7" ht="15" customHeight="1">
      <c r="A1355" s="195"/>
      <c r="B1355" s="72" t="s">
        <v>2265</v>
      </c>
      <c r="E1355" s="14" t="s">
        <v>2398</v>
      </c>
      <c r="F1355" s="42" t="str">
        <f ca="1">IF(chk_INTER1_state_in_conf=1,"","")</f>
        <v/>
      </c>
    </row>
    <row r="1356" spans="1:7" ht="15" customHeight="1">
      <c r="A1356" s="195"/>
      <c r="B1356" s="71" t="s">
        <v>2266</v>
      </c>
      <c r="E1356" s="14" t="s">
        <v>2399</v>
      </c>
      <c r="F1356" s="42" t="str">
        <f ca="1">IF(chk_INTER1_state_in_conf=1,"","")</f>
        <v/>
      </c>
    </row>
    <row r="1357" spans="1:7" ht="15" customHeight="1">
      <c r="A1357" s="195"/>
      <c r="B1357" s="113" t="s">
        <v>2267</v>
      </c>
      <c r="E1357" s="14" t="s">
        <v>2400</v>
      </c>
      <c r="F1357" s="42" t="str">
        <f ca="1">IF(chk_INTER1_state_in_conf=1,"","")</f>
        <v/>
      </c>
    </row>
    <row r="1358" spans="1:7" ht="15" customHeight="1">
      <c r="A1358" s="195"/>
      <c r="B1358" s="113" t="s">
        <v>2268</v>
      </c>
      <c r="E1358" s="14" t="s">
        <v>2401</v>
      </c>
      <c r="F1358" s="42" t="str">
        <f ca="1">IF(chk_INTER1_state_in_conf=1,"","")</f>
        <v/>
      </c>
    </row>
    <row r="1359" spans="1:7" ht="15" customHeight="1">
      <c r="A1359" s="195"/>
      <c r="B1359" s="113" t="s">
        <v>2269</v>
      </c>
      <c r="E1359" s="14" t="s">
        <v>2402</v>
      </c>
      <c r="F1359" s="256" t="str">
        <f ca="1">IF(chk_INTER1_state_in_conf=1,"","")</f>
        <v/>
      </c>
    </row>
    <row r="1360" spans="1:7" ht="15" customHeight="1">
      <c r="A1360" s="196"/>
      <c r="B1360" s="72"/>
    </row>
    <row r="1361" spans="1:7" ht="15" customHeight="1">
      <c r="A1361" s="183" t="s">
        <v>649</v>
      </c>
      <c r="B1361" s="107"/>
    </row>
    <row r="1362" spans="1:7" ht="15" customHeight="1">
      <c r="A1362" s="194" t="s">
        <v>1184</v>
      </c>
      <c r="B1362" s="177"/>
    </row>
    <row r="1363" spans="1:7" ht="15" customHeight="1">
      <c r="A1363" s="195"/>
      <c r="B1363" s="72" t="s">
        <v>630</v>
      </c>
      <c r="C1363" s="14" t="s">
        <v>1306</v>
      </c>
      <c r="D1363" s="234"/>
      <c r="E1363" s="14" t="s">
        <v>2306</v>
      </c>
      <c r="F1363" s="42" t="str">
        <f>IF(wskakunin_koutei_ikou01_KOUTEI_KAISUU="","",wskakunin_koutei_ikou01_KOUTEI_KAISUU)</f>
        <v/>
      </c>
    </row>
    <row r="1364" spans="1:7" ht="15" customHeight="1">
      <c r="A1364" s="195"/>
      <c r="B1364" s="71" t="s">
        <v>558</v>
      </c>
      <c r="C1364" s="14" t="s">
        <v>1307</v>
      </c>
      <c r="D1364" s="234"/>
      <c r="E1364" s="14" t="s">
        <v>2307</v>
      </c>
      <c r="F1364" s="42" t="str">
        <f>IF(wskakunin_koutei_ikou01_KOUTEI_TEXT="","",wskakunin_koutei_ikou01_KOUTEI_TEXT)</f>
        <v/>
      </c>
    </row>
    <row r="1365" spans="1:7" ht="15" customHeight="1">
      <c r="A1365" s="195"/>
      <c r="B1365" s="71" t="s">
        <v>650</v>
      </c>
      <c r="C1365" s="14" t="s">
        <v>1308</v>
      </c>
      <c r="D1365" s="256"/>
      <c r="E1365" s="14" t="s">
        <v>2308</v>
      </c>
      <c r="F1365" s="256" t="str">
        <f>IF(wskakunin_koutei_ikou01_KOUTEI_DATE="","",wskakunin_koutei_ikou01_KOUTEI_DATE)</f>
        <v/>
      </c>
    </row>
    <row r="1366" spans="1:7" ht="15" customHeight="1">
      <c r="A1366" s="196"/>
      <c r="B1366" s="72"/>
    </row>
    <row r="1367" spans="1:7" ht="15" customHeight="1">
      <c r="A1367" s="194" t="s">
        <v>2369</v>
      </c>
      <c r="B1367" s="177"/>
    </row>
    <row r="1368" spans="1:7" ht="15" customHeight="1">
      <c r="A1368" s="195"/>
      <c r="B1368" s="72" t="s">
        <v>630</v>
      </c>
      <c r="C1368" s="14" t="s">
        <v>1309</v>
      </c>
      <c r="D1368" s="234"/>
      <c r="E1368" s="14" t="s">
        <v>2316</v>
      </c>
      <c r="F1368" s="42" t="str">
        <f>IF(wskakunin_koutei_ikou02_KOUTEI_KAISUU="","",wskakunin_koutei_ikou02_KOUTEI_KAISUU)</f>
        <v/>
      </c>
    </row>
    <row r="1369" spans="1:7" ht="15" customHeight="1">
      <c r="A1369" s="195"/>
      <c r="B1369" s="71" t="s">
        <v>558</v>
      </c>
      <c r="C1369" s="14" t="s">
        <v>1310</v>
      </c>
      <c r="D1369" s="234"/>
      <c r="E1369" s="14" t="s">
        <v>2317</v>
      </c>
      <c r="F1369" s="42" t="str">
        <f>IF(wskakunin_koutei_ikou02_KOUTEI_TEXT="","",wskakunin_koutei_ikou02_KOUTEI_TEXT)</f>
        <v/>
      </c>
    </row>
    <row r="1370" spans="1:7" ht="15" customHeight="1">
      <c r="A1370" s="195"/>
      <c r="B1370" s="71" t="s">
        <v>650</v>
      </c>
      <c r="C1370" s="14" t="s">
        <v>1311</v>
      </c>
      <c r="D1370" s="256"/>
      <c r="E1370" s="14" t="s">
        <v>2318</v>
      </c>
      <c r="F1370" s="256" t="str">
        <f>IF(wskakunin_koutei_ikou02_KOUTEI_DATE="","",wskakunin_koutei_ikou02_KOUTEI_DATE)</f>
        <v/>
      </c>
    </row>
    <row r="1371" spans="1:7" ht="15" customHeight="1">
      <c r="A1371" s="196"/>
      <c r="B1371" s="72"/>
    </row>
    <row r="1372" spans="1:7" ht="15" customHeight="1">
      <c r="A1372" s="194" t="s">
        <v>2403</v>
      </c>
      <c r="B1372" s="177" t="s">
        <v>2360</v>
      </c>
      <c r="G1372" s="14" t="s">
        <v>2261</v>
      </c>
    </row>
    <row r="1373" spans="1:7" ht="15" customHeight="1">
      <c r="A1373" s="195"/>
      <c r="B1373" s="72" t="s">
        <v>2265</v>
      </c>
      <c r="E1373" s="14" t="s">
        <v>2321</v>
      </c>
      <c r="F1373" s="42" t="str">
        <f ca="1">IF(chk_INTER2_state_in_conf=1,cst_wskakunin_koutei02_KOUTEI_KAISUU,cst_wskakunin_koutei_ikou01_KOUTEI_KAISUU)</f>
        <v/>
      </c>
    </row>
    <row r="1374" spans="1:7" ht="15" customHeight="1">
      <c r="A1374" s="195"/>
      <c r="B1374" s="71" t="s">
        <v>2266</v>
      </c>
      <c r="E1374" s="14" t="s">
        <v>2322</v>
      </c>
      <c r="F1374" s="42" t="str">
        <f ca="1">IF(chk_INTER2_state_in_conf=1,cst_wskakunin_koutei02_KOUTEI_TEXT,cst_wskakunin_koutei_ikou01_KOUTEI_TEXT)</f>
        <v/>
      </c>
    </row>
    <row r="1375" spans="1:7" ht="15" customHeight="1">
      <c r="A1375" s="195"/>
      <c r="B1375" s="71" t="s">
        <v>2305</v>
      </c>
      <c r="E1375" s="14" t="s">
        <v>2309</v>
      </c>
      <c r="F1375" s="256" t="str">
        <f ca="1">IF(chk_INTER2_state_in_conf=1,cst_wskakunin_koutei02_KOUTEI_DATE,cst_wskakunin_koutei_ikou01_KOUTEI_DATE)</f>
        <v/>
      </c>
    </row>
    <row r="1376" spans="1:7" ht="15" customHeight="1">
      <c r="A1376" s="196"/>
      <c r="B1376" s="72"/>
    </row>
    <row r="1377" spans="1:7" ht="15" customHeight="1">
      <c r="A1377" s="194" t="s">
        <v>2403</v>
      </c>
      <c r="B1377" s="152" t="s">
        <v>2361</v>
      </c>
      <c r="G1377" s="14" t="s">
        <v>2304</v>
      </c>
    </row>
    <row r="1378" spans="1:7" ht="15" customHeight="1">
      <c r="A1378" s="195"/>
      <c r="B1378" s="72" t="s">
        <v>2265</v>
      </c>
      <c r="E1378" s="14" t="s">
        <v>2323</v>
      </c>
      <c r="F1378" s="42" t="str">
        <f ca="1">IF(chk_INTER3_state_in_conf=1,cst_wskakunin_koutei03_KOUTEI_KAISUU,"")</f>
        <v/>
      </c>
    </row>
    <row r="1379" spans="1:7" ht="15" customHeight="1">
      <c r="A1379" s="195"/>
      <c r="B1379" s="71" t="s">
        <v>2266</v>
      </c>
      <c r="E1379" s="14" t="s">
        <v>2310</v>
      </c>
      <c r="F1379" s="42" t="str">
        <f ca="1">IF(chk_INTER3_state_in_conf=1,cst_wskakunin_koutei03_KOUTEI_TEXT,"")</f>
        <v/>
      </c>
    </row>
    <row r="1380" spans="1:7" ht="15" customHeight="1">
      <c r="A1380" s="195"/>
      <c r="B1380" s="71" t="s">
        <v>2305</v>
      </c>
      <c r="E1380" s="14" t="s">
        <v>2311</v>
      </c>
      <c r="F1380" s="256" t="str">
        <f ca="1">IF(chk_INTER3_state_in_conf=1,cst_wskakunin_koutei03_KOUTEI_DATE,"")</f>
        <v/>
      </c>
    </row>
    <row r="1381" spans="1:7" ht="15" customHeight="1">
      <c r="A1381" s="196"/>
      <c r="B1381" s="72"/>
    </row>
    <row r="1382" spans="1:7" ht="15" customHeight="1">
      <c r="A1382" s="194" t="s">
        <v>2404</v>
      </c>
      <c r="B1382" s="177" t="s">
        <v>2360</v>
      </c>
      <c r="G1382" s="14" t="s">
        <v>2314</v>
      </c>
    </row>
    <row r="1383" spans="1:7" ht="15" customHeight="1">
      <c r="A1383" s="195"/>
      <c r="B1383" s="72" t="s">
        <v>2265</v>
      </c>
      <c r="E1383" s="14" t="s">
        <v>2324</v>
      </c>
      <c r="F1383" s="42" t="str">
        <f ca="1">IF(chk_INTER2_state_in_conf=1,cst_wskakunin_koutei02_KOUTEI_KAISUU,cst_wskakunin_koutei_ikou02_KOUTEI_KAISUU)</f>
        <v/>
      </c>
    </row>
    <row r="1384" spans="1:7" ht="15" customHeight="1">
      <c r="A1384" s="195"/>
      <c r="B1384" s="71" t="s">
        <v>2266</v>
      </c>
      <c r="E1384" s="14" t="s">
        <v>2325</v>
      </c>
      <c r="F1384" s="42" t="str">
        <f ca="1">IF(chk_INTER2_state_in_conf=1,cst_wskakunin_koutei02_KOUTEI_TEXT,cst_wskakunin_koutei_ikou02_KOUTEI_TEXT)</f>
        <v/>
      </c>
    </row>
    <row r="1385" spans="1:7" ht="15" customHeight="1">
      <c r="A1385" s="195"/>
      <c r="B1385" s="71" t="s">
        <v>2305</v>
      </c>
      <c r="E1385" s="14" t="s">
        <v>2312</v>
      </c>
      <c r="F1385" s="256" t="str">
        <f ca="1">IF(chk_INTER2_state_in_conf=1,cst_wskakunin_koutei02_KOUTEI_DATE,cst_wskakunin_koutei_ikou02_KOUTEI_DATE)</f>
        <v/>
      </c>
    </row>
    <row r="1386" spans="1:7" ht="15" customHeight="1">
      <c r="A1386" s="196"/>
      <c r="B1386" s="72"/>
    </row>
    <row r="1387" spans="1:7" ht="15" customHeight="1">
      <c r="A1387" s="194" t="s">
        <v>2404</v>
      </c>
      <c r="B1387" s="152" t="s">
        <v>2361</v>
      </c>
      <c r="G1387" s="14" t="s">
        <v>2315</v>
      </c>
    </row>
    <row r="1388" spans="1:7" ht="15" customHeight="1">
      <c r="A1388" s="195"/>
      <c r="B1388" s="72" t="s">
        <v>2265</v>
      </c>
      <c r="E1388" s="14" t="s">
        <v>2326</v>
      </c>
      <c r="F1388" s="42" t="str">
        <f ca="1">IF(chk_INTER3_state_in_conf=1,cst_wskakunin_koutei03_KOUTEI_KAISUU,"")</f>
        <v/>
      </c>
    </row>
    <row r="1389" spans="1:7" ht="15" customHeight="1">
      <c r="A1389" s="195"/>
      <c r="B1389" s="71" t="s">
        <v>2266</v>
      </c>
      <c r="E1389" s="14" t="s">
        <v>2313</v>
      </c>
      <c r="F1389" s="42" t="str">
        <f ca="1">IF(chk_INTER3_state_in_conf=1,cst_wskakunin_koutei03_KOUTEI_TEXT,"")</f>
        <v/>
      </c>
    </row>
    <row r="1390" spans="1:7" ht="15" customHeight="1">
      <c r="A1390" s="195"/>
      <c r="B1390" s="71" t="s">
        <v>2305</v>
      </c>
      <c r="E1390" s="14" t="s">
        <v>2327</v>
      </c>
      <c r="F1390" s="256" t="str">
        <f ca="1">IF(chk_INTER3_state_in_conf=1,cst_wskakunin_koutei03_KOUTEI_DATE,"")</f>
        <v/>
      </c>
    </row>
    <row r="1391" spans="1:7" ht="15" customHeight="1">
      <c r="A1391" s="197"/>
      <c r="B1391" s="182"/>
    </row>
    <row r="1392" spans="1:7" ht="15" customHeight="1">
      <c r="A1392" s="179" t="s">
        <v>651</v>
      </c>
      <c r="B1392" s="47"/>
      <c r="C1392" s="1281" t="s">
        <v>2180</v>
      </c>
    </row>
    <row r="1393" spans="1:7" ht="15" customHeight="1">
      <c r="A1393" s="48"/>
      <c r="B1393" s="77" t="s">
        <v>652</v>
      </c>
      <c r="C1393" s="14" t="s">
        <v>2181</v>
      </c>
      <c r="D1393" s="234"/>
      <c r="E1393" s="14" t="s">
        <v>2319</v>
      </c>
      <c r="F1393" s="42" t="str">
        <f>IF(wskakunin_keibi_henkou01_HENKOU_SYURUI="","",wskakunin_keibi_henkou01_HENKOU_SYURUI)</f>
        <v/>
      </c>
    </row>
    <row r="1394" spans="1:7" ht="15" customHeight="1">
      <c r="A1394" s="48"/>
      <c r="B1394" s="77" t="s">
        <v>653</v>
      </c>
      <c r="C1394" s="14" t="s">
        <v>2182</v>
      </c>
      <c r="D1394" s="234"/>
      <c r="E1394" s="14" t="s">
        <v>2320</v>
      </c>
      <c r="F1394" s="42" t="str">
        <f>IF(wskakunin_keibi_henkou01_HENKOU_GAIYOU="","",wskakunin_keibi_henkou01_HENKOU_GAIYOU)</f>
        <v/>
      </c>
    </row>
    <row r="1395" spans="1:7" ht="15" customHeight="1">
      <c r="A1395" s="173"/>
      <c r="B1395" s="182"/>
      <c r="C1395" s="15"/>
    </row>
    <row r="1396" spans="1:7" ht="15" customHeight="1">
      <c r="A1396" s="175" t="s">
        <v>1208</v>
      </c>
      <c r="B1396" s="104" t="s">
        <v>31</v>
      </c>
      <c r="F1396" s="14" t="s">
        <v>2331</v>
      </c>
      <c r="G1396" s="14" t="s">
        <v>2330</v>
      </c>
    </row>
    <row r="1397" spans="1:7" ht="15" customHeight="1">
      <c r="A1397" s="179" t="s">
        <v>2650</v>
      </c>
      <c r="B1397" s="181"/>
      <c r="C1397" s="14" t="s">
        <v>2259</v>
      </c>
      <c r="D1397" s="256"/>
      <c r="E1397" s="14" t="s">
        <v>2275</v>
      </c>
      <c r="F1397" s="256" t="str">
        <f ca="1">IF(chk_JOB_KIND_kakunin=1,"",IF(wskakunin_KOUJI_KANRYOU_DATE="","",wskakunin_KOUJI_KANRYOU_DATE))</f>
        <v/>
      </c>
      <c r="G1397" s="14" t="s">
        <v>2260</v>
      </c>
    </row>
    <row r="1398" spans="1:7" ht="15" customHeight="1">
      <c r="A1398" s="86" t="s">
        <v>2333</v>
      </c>
      <c r="B1398" s="107"/>
    </row>
    <row r="1399" spans="1:7" ht="15" customHeight="1">
      <c r="A1399" s="176" t="s">
        <v>2335</v>
      </c>
      <c r="B1399" s="177" t="s">
        <v>2350</v>
      </c>
    </row>
    <row r="1400" spans="1:7" ht="15" customHeight="1">
      <c r="A1400" s="48"/>
      <c r="B1400" s="72" t="s">
        <v>630</v>
      </c>
      <c r="E1400" s="14" t="s">
        <v>1186</v>
      </c>
      <c r="F1400" s="14" t="str">
        <f>cst_wskakunin_koutei01_KOUTEI_KAISUU</f>
        <v/>
      </c>
    </row>
    <row r="1401" spans="1:7" ht="15" customHeight="1">
      <c r="A1401" s="48"/>
      <c r="B1401" s="72" t="s">
        <v>558</v>
      </c>
      <c r="E1401" s="14" t="s">
        <v>1190</v>
      </c>
      <c r="F1401" s="14" t="str">
        <f>cst_wskakunin_koutei01_KOUTEI_TEXT</f>
        <v/>
      </c>
    </row>
    <row r="1402" spans="1:7" ht="15" customHeight="1">
      <c r="A1402" s="48"/>
      <c r="B1402" s="72" t="s">
        <v>2334</v>
      </c>
      <c r="C1402" s="14" t="s">
        <v>2340</v>
      </c>
      <c r="D1402" s="234"/>
      <c r="E1402" s="14" t="s">
        <v>2352</v>
      </c>
      <c r="F1402" s="42" t="str">
        <f>IF(wskakunin_koutei01_INTER_ISSUE_NAME="","",wskakunin_koutei01_INTER_ISSUE_NAME)</f>
        <v/>
      </c>
    </row>
    <row r="1403" spans="1:7" ht="15" customHeight="1">
      <c r="A1403" s="48"/>
      <c r="B1403" s="72" t="s">
        <v>647</v>
      </c>
      <c r="C1403" s="14" t="s">
        <v>2341</v>
      </c>
      <c r="D1403" s="234"/>
      <c r="E1403" s="14" t="s">
        <v>2353</v>
      </c>
      <c r="F1403" s="42" t="str">
        <f>IF(wskakunin_koutei01_INTER_ISSUE_NO="","",wskakunin_koutei01_INTER_ISSUE_NO)</f>
        <v/>
      </c>
    </row>
    <row r="1404" spans="1:7" ht="15" customHeight="1">
      <c r="A1404" s="48"/>
      <c r="B1404" s="72" t="s">
        <v>648</v>
      </c>
      <c r="C1404" s="14" t="s">
        <v>2342</v>
      </c>
      <c r="D1404" s="256"/>
      <c r="E1404" s="14" t="s">
        <v>2354</v>
      </c>
      <c r="F1404" s="256" t="str">
        <f>IF(wskakunin_koutei01_INTER_ISSUE_DATE="","",wskakunin_koutei01_INTER_ISSUE_DATE)</f>
        <v/>
      </c>
    </row>
    <row r="1405" spans="1:7" ht="15" customHeight="1">
      <c r="A1405" s="48"/>
      <c r="B1405" s="72"/>
      <c r="D1405" s="192"/>
      <c r="F1405" s="192"/>
    </row>
    <row r="1406" spans="1:7" ht="15" customHeight="1">
      <c r="A1406" s="176"/>
      <c r="B1406" s="193" t="s">
        <v>2351</v>
      </c>
      <c r="D1406" s="192"/>
      <c r="F1406" s="192"/>
    </row>
    <row r="1407" spans="1:7" ht="15" customHeight="1">
      <c r="A1407" s="48"/>
      <c r="B1407" s="72" t="s">
        <v>630</v>
      </c>
      <c r="D1407" s="192"/>
      <c r="E1407" s="14" t="s">
        <v>2356</v>
      </c>
      <c r="F1407" s="254" t="str">
        <f ca="1">IF(OR(chk_INTER_state_in_final=10,chk_INTER_state_in_final=40),cst_wskakunin_koutei01_KOUTEI_KAISUU,IF(chk_INTER_state_in_final=30,cst_wskakunin_keika01_TOUTEI_KAISUU_inter0,IF(chk_INTER_state_in_final=31,cst_wskakunin_koutei_izen01_KOUTEI_KAISUU,IF(chk_INTER_state_in_final=32,cst_wskakunin_koutei_izen01_KOUTEI_KAISUU,""))))</f>
        <v/>
      </c>
    </row>
    <row r="1408" spans="1:7" ht="15" customHeight="1">
      <c r="A1408" s="48"/>
      <c r="B1408" s="72" t="s">
        <v>558</v>
      </c>
      <c r="D1408" s="192"/>
      <c r="E1408" s="14" t="s">
        <v>2357</v>
      </c>
      <c r="F1408" s="254" t="str">
        <f ca="1">IF(OR(chk_INTER_state_in_final=10,chk_INTER_state_in_final=40),cst_wskakunin_koutei01_KOUTEI_TEXT,IF(chk_INTER_state_in_final=30,cst_wskakunin_TOKUTEI_KOUTEI,IF(chk_INTER_state_in_final=31,cst_wskakunin_koutei_izen01_KOUTEI_TEXT,IF(chk_INTER_state_in_final=32,cst_wskakunin_koutei_izen01_KOUTEI_TEXT,""))))</f>
        <v/>
      </c>
    </row>
    <row r="1409" spans="1:6" ht="15" customHeight="1">
      <c r="A1409" s="48"/>
      <c r="B1409" s="72" t="s">
        <v>2334</v>
      </c>
      <c r="D1409" s="192"/>
      <c r="E1409" s="14" t="s">
        <v>2358</v>
      </c>
      <c r="F1409" s="254" t="str">
        <f ca="1">IF(OR(chk_INTER_state_in_final=10,chk_INTER_state_in_final=40),cst_wskakunin_koutei01_INTER_ISSUE_NAME,IF(chk_INTER_state_in_final=30,cst_wskakunin_keika01_INTER_ISSUE_NAME_inter0,IF(chk_INTER_state_in_final=31,cst_wskakunin_koutei_izen01_INTER_ISSUE_NAME,IF(chk_INTER_state_in_final=32,cst_wskakunin_koutei_izen01_INTER_ISSUE_NAME,""))))</f>
        <v/>
      </c>
    </row>
    <row r="1410" spans="1:6" ht="15" customHeight="1">
      <c r="A1410" s="48"/>
      <c r="B1410" s="72" t="s">
        <v>647</v>
      </c>
      <c r="D1410" s="192"/>
      <c r="E1410" s="14" t="s">
        <v>2359</v>
      </c>
      <c r="F1410" s="254" t="str">
        <f ca="1">IF(OR(chk_INTER_state_in_final=10,chk_INTER_state_in_final=40),cst_wskakunin_koutei01_INTER_ISSUE_NO,IF(chk_INTER_state_in_final=30,cst_wskakunin_keika01_INTER_ISSUE_NO_inter0,IF(chk_INTER_state_in_final=31,cst_wskakunin_koutei_izen01_INTER_ISSUE_NO,IF(chk_INTER_state_in_final=32,cst_wskakunin_koutei_izen01_INTER_ISSUE_NO,""))))</f>
        <v/>
      </c>
    </row>
    <row r="1411" spans="1:6" ht="15" customHeight="1">
      <c r="A1411" s="48"/>
      <c r="B1411" s="72" t="s">
        <v>648</v>
      </c>
      <c r="D1411" s="192"/>
      <c r="E1411" s="14" t="s">
        <v>2355</v>
      </c>
      <c r="F1411" s="256" t="str">
        <f ca="1">IF(OR(chk_INTER_state_in_final=10,chk_INTER_state_in_final=40),cst_wskakunin_koutei01_INTER_ISSUE_DATE,IF(chk_INTER_state_in_final=30,"",IF(chk_INTER_state_in_final=31,cst_wskakunin_koutei_izen01_INTER_ISSUE_DATE,IF(chk_INTER_state_in_final=32,cst_wskakunin_koutei_izen01_INTER_ISSUE_DATE,""))))</f>
        <v/>
      </c>
    </row>
    <row r="1412" spans="1:6" ht="15" customHeight="1">
      <c r="A1412" s="178"/>
      <c r="B1412" s="72"/>
    </row>
    <row r="1413" spans="1:6" ht="15" customHeight="1">
      <c r="A1413" s="48" t="s">
        <v>2336</v>
      </c>
      <c r="B1413" s="177" t="s">
        <v>2350</v>
      </c>
    </row>
    <row r="1414" spans="1:6" ht="15" customHeight="1">
      <c r="A1414" s="48"/>
      <c r="B1414" s="72" t="s">
        <v>630</v>
      </c>
      <c r="E1414" s="14" t="s">
        <v>550</v>
      </c>
      <c r="F1414" s="14" t="str">
        <f>cst_wskakunin_koutei02_KOUTEI_KAISUU</f>
        <v/>
      </c>
    </row>
    <row r="1415" spans="1:6" ht="15" customHeight="1">
      <c r="A1415" s="48"/>
      <c r="B1415" s="72" t="s">
        <v>558</v>
      </c>
      <c r="E1415" s="14" t="s">
        <v>552</v>
      </c>
      <c r="F1415" s="14" t="str">
        <f>cst_wskakunin_koutei02_KOUTEI_TEXT</f>
        <v/>
      </c>
    </row>
    <row r="1416" spans="1:6" ht="15" customHeight="1">
      <c r="A1416" s="48"/>
      <c r="B1416" s="72" t="s">
        <v>2334</v>
      </c>
      <c r="C1416" s="14" t="s">
        <v>2337</v>
      </c>
      <c r="D1416" s="234"/>
      <c r="E1416" s="14" t="s">
        <v>2362</v>
      </c>
      <c r="F1416" s="42" t="str">
        <f>IF(wskakunin_koutei02_INTER_ISSUE_NAME="","",wskakunin_koutei02_INTER_ISSUE_NAME)</f>
        <v/>
      </c>
    </row>
    <row r="1417" spans="1:6" ht="15" customHeight="1">
      <c r="A1417" s="48"/>
      <c r="B1417" s="72" t="s">
        <v>647</v>
      </c>
      <c r="C1417" s="14" t="s">
        <v>2338</v>
      </c>
      <c r="D1417" s="234"/>
      <c r="E1417" s="14" t="s">
        <v>2363</v>
      </c>
      <c r="F1417" s="42" t="str">
        <f>IF(wskakunin_koutei02_INTER_ISSUE_NO="","",wskakunin_koutei02_INTER_ISSUE_NO)</f>
        <v/>
      </c>
    </row>
    <row r="1418" spans="1:6" ht="15" customHeight="1">
      <c r="A1418" s="48"/>
      <c r="B1418" s="72" t="s">
        <v>648</v>
      </c>
      <c r="C1418" s="14" t="s">
        <v>2339</v>
      </c>
      <c r="D1418" s="256"/>
      <c r="E1418" s="14" t="s">
        <v>2343</v>
      </c>
      <c r="F1418" s="256" t="str">
        <f>IF(wskakunin_koutei02_INTER_ISSUE_DATE="","",wskakunin_koutei02_INTER_ISSUE_DATE)</f>
        <v/>
      </c>
    </row>
    <row r="1419" spans="1:6" ht="15" customHeight="1">
      <c r="A1419" s="48"/>
      <c r="B1419" s="72"/>
      <c r="D1419" s="192"/>
      <c r="F1419" s="192"/>
    </row>
    <row r="1420" spans="1:6" ht="15" customHeight="1">
      <c r="A1420" s="48"/>
      <c r="B1420" s="72"/>
      <c r="D1420" s="192"/>
      <c r="F1420" s="192"/>
    </row>
    <row r="1421" spans="1:6" ht="15" customHeight="1">
      <c r="A1421" s="176"/>
      <c r="B1421" s="193" t="s">
        <v>2351</v>
      </c>
      <c r="D1421" s="192"/>
      <c r="F1421" s="192"/>
    </row>
    <row r="1422" spans="1:6" ht="15" customHeight="1">
      <c r="A1422" s="48"/>
      <c r="B1422" s="72" t="s">
        <v>630</v>
      </c>
      <c r="D1422" s="192"/>
      <c r="E1422" s="14" t="s">
        <v>2364</v>
      </c>
      <c r="F1422" s="254" t="str">
        <f ca="1">IF(OR(chk_INTER_state_in_final=10,chk_INTER_state_in_final=40),cst_wskakunin_koutei02_KOUTEI_KAISUU,IF(chk_INTER_state_in_final=30,cst_wskakunin_keika02_TOUTEI_KAISUU_inter0,IF(chk_INTER_state_in_final=31,cst_wskakunin_koutei_izen01_KOUTEI_KAISUU,IF(chk_INTER_state_in_final=32,cst_wskakunin_koutei_izen02_KOUTEI_KAISUU,""))))</f>
        <v/>
      </c>
    </row>
    <row r="1423" spans="1:6" ht="15" customHeight="1">
      <c r="A1423" s="48"/>
      <c r="B1423" s="72" t="s">
        <v>558</v>
      </c>
      <c r="D1423" s="192"/>
      <c r="E1423" s="14" t="s">
        <v>2365</v>
      </c>
      <c r="F1423" s="254" t="str">
        <f ca="1">IF(OR(chk_INTER_state_in_final=10,chk_INTER_state_in_final=40),cst_wskakunin_koutei02_KOUTEI_TEXT,IF(chk_INTER_state_in_final=30,cst_wskakunin_koutei_ikou01_KOUTEI_TEXT,IF(chk_INTER_state_in_final=31,cst_wskakunin_koutei_izen01_KOUTEI_TEXT,IF(chk_INTER_state_in_final=32,cst_wskakunin_koutei_izen02_KOUTEI_TEXT,""))))</f>
        <v/>
      </c>
    </row>
    <row r="1424" spans="1:6" ht="15" customHeight="1">
      <c r="A1424" s="48"/>
      <c r="B1424" s="72" t="s">
        <v>2334</v>
      </c>
      <c r="D1424" s="192"/>
      <c r="E1424" s="14" t="s">
        <v>2366</v>
      </c>
      <c r="F1424" s="254" t="str">
        <f ca="1">IF(OR(chk_INTER_state_in_final=10,chk_INTER_state_in_final=40),cst_wskakunin_koutei02_INTER_ISSUE_NAME,IF(chk_INTER_state_in_final=30,cst_wskakunin_keika02_INTER_ISSUE_NAME_inter0,IF(chk_INTER_state_in_final=31,cst_wskakunin_koutei_izen01_INTER_ISSUE_NAME,IF(chk_INTER_state_in_final=32,cst_wskakunin_koutei_izen02_INTER_ISSUE_NAME,""))))</f>
        <v/>
      </c>
    </row>
    <row r="1425" spans="1:6" ht="15" customHeight="1">
      <c r="A1425" s="48"/>
      <c r="B1425" s="72" t="s">
        <v>647</v>
      </c>
      <c r="D1425" s="192"/>
      <c r="E1425" s="14" t="s">
        <v>2367</v>
      </c>
      <c r="F1425" s="254" t="str">
        <f ca="1">IF(OR(chk_INTER_state_in_final=10,chk_INTER_state_in_final=40),cst_wskakunin_koutei02_INTER_ISSUE_NO,IF(chk_INTER_state_in_final=30,cst_wskakunin_keika02_INTER_ISSUE_NO_inter0,IF(chk_INTER_state_in_final=31,cst_wskakunin_koutei_izen01_INTER_ISSUE_NO,IF(chk_INTER_state_in_final=32,cst_wskakunin_koutei_izen02_INTER_ISSUE_NO,""))))</f>
        <v/>
      </c>
    </row>
    <row r="1426" spans="1:6" ht="15" customHeight="1">
      <c r="A1426" s="48"/>
      <c r="B1426" s="72" t="s">
        <v>648</v>
      </c>
      <c r="D1426" s="192"/>
      <c r="E1426" s="14" t="s">
        <v>2368</v>
      </c>
      <c r="F1426" s="256" t="str">
        <f ca="1">IF(OR(chk_INTER_state_in_final=10,chk_INTER_state_in_final=40),cst_wskakunin_koutei02_INTER_ISSUE_DATE,IF(chk_INTER_state_in_final=30,"",IF(chk_INTER_state_in_final=31,cst_wskakunin_koutei_izen01_INTER_ISSUE_DATE,IF(chk_INTER_state_in_final=32,cst_wskakunin_koutei_izen02_INTER_ISSUE_DATE,""))))</f>
        <v/>
      </c>
    </row>
    <row r="1427" spans="1:6" ht="15" customHeight="1">
      <c r="A1427" s="173"/>
      <c r="B1427" s="191"/>
    </row>
    <row r="1428" spans="1:6" ht="15" customHeight="1">
      <c r="A1428" s="190"/>
      <c r="B1428" s="189"/>
    </row>
    <row r="1429" spans="1:6" ht="15" customHeight="1">
      <c r="A1429" s="42" t="s">
        <v>2656</v>
      </c>
      <c r="B1429" s="42"/>
      <c r="C1429" s="14" t="s">
        <v>2657</v>
      </c>
      <c r="D1429" s="42"/>
      <c r="E1429" s="14" t="s">
        <v>2658</v>
      </c>
      <c r="F1429" s="42" t="str">
        <f>IF(shinsei_build_YOUTO="","",shinsei_build_YOUTO)</f>
        <v/>
      </c>
    </row>
    <row r="1431" spans="1:6" ht="15" customHeight="1">
      <c r="A1431" s="42" t="s">
        <v>3355</v>
      </c>
      <c r="B1431" s="42"/>
    </row>
    <row r="1432" spans="1:6" ht="15" customHeight="1">
      <c r="A1432" s="739"/>
      <c r="B1432" s="746" t="s">
        <v>3433</v>
      </c>
      <c r="C1432" s="730" t="s">
        <v>3434</v>
      </c>
      <c r="D1432" s="42"/>
      <c r="E1432" s="745" t="s">
        <v>3441</v>
      </c>
      <c r="F1432" s="752" t="str">
        <f>IF(wsecoteki_BUILD_NAME="","",wsecoteki_BUILD_NAME)</f>
        <v/>
      </c>
    </row>
    <row r="1433" spans="1:6" ht="15" customHeight="1">
      <c r="A1433" s="747" t="s">
        <v>31</v>
      </c>
      <c r="B1433" s="748"/>
    </row>
    <row r="1434" spans="1:6" ht="15" customHeight="1">
      <c r="A1434" s="1" t="s">
        <v>939</v>
      </c>
      <c r="B1434" s="749"/>
    </row>
    <row r="1435" spans="1:6" ht="15" customHeight="1">
      <c r="A1435" s="218"/>
      <c r="B1435" s="69" t="s">
        <v>621</v>
      </c>
      <c r="C1435" s="14" t="s">
        <v>3435</v>
      </c>
      <c r="D1435" s="42"/>
      <c r="E1435" s="745" t="s">
        <v>3438</v>
      </c>
      <c r="F1435" s="752" t="str">
        <f>IF(wsecoteki_BUILD__address="","",wsecoteki_BUILD__address)</f>
        <v/>
      </c>
    </row>
    <row r="1436" spans="1:6" ht="15" customHeight="1">
      <c r="A1436" s="218"/>
      <c r="B1436" s="750" t="s">
        <v>1275</v>
      </c>
      <c r="C1436" s="14" t="s">
        <v>3436</v>
      </c>
      <c r="D1436" s="42"/>
      <c r="E1436" s="745" t="s">
        <v>3439</v>
      </c>
      <c r="F1436" s="752" t="str">
        <f>IF(wsecoteki_BUILD_KEN__ken="","",wsecoteki_BUILD_KEN__ken)</f>
        <v/>
      </c>
    </row>
    <row r="1437" spans="1:6" ht="15" customHeight="1">
      <c r="A1437" s="218"/>
      <c r="B1437" s="750" t="s">
        <v>1276</v>
      </c>
      <c r="C1437" s="14" t="s">
        <v>3437</v>
      </c>
      <c r="D1437" s="42"/>
      <c r="E1437" s="745" t="s">
        <v>3440</v>
      </c>
      <c r="F1437" s="752" t="str">
        <f>IF(wsecoteki_BUILD_ADDRESS="","",wsecoteki_BUILD_ADDRESS)</f>
        <v/>
      </c>
    </row>
    <row r="1438" spans="1:6" ht="15" customHeight="1">
      <c r="A1438" s="140"/>
      <c r="B1438" s="751"/>
    </row>
    <row r="1439" spans="1:6" ht="15" customHeight="1">
      <c r="A1439" s="728" t="s">
        <v>407</v>
      </c>
      <c r="B1439" s="729"/>
      <c r="C1439" s="730"/>
      <c r="E1439" s="745"/>
      <c r="F1439" s="745"/>
    </row>
    <row r="1440" spans="1:6" ht="15" customHeight="1">
      <c r="A1440" s="731"/>
      <c r="B1440" s="732" t="s">
        <v>7</v>
      </c>
      <c r="C1440" s="730" t="s">
        <v>3442</v>
      </c>
      <c r="D1440" s="42"/>
      <c r="E1440" s="745" t="s">
        <v>3443</v>
      </c>
      <c r="F1440" s="752" t="str">
        <f>IF(wsecoteki_APPLICANT_NAME="","",wsecoteki_APPLICANT_NAME)</f>
        <v/>
      </c>
    </row>
    <row r="1441" spans="1:6" ht="15" customHeight="1">
      <c r="A1441" s="728" t="s">
        <v>32</v>
      </c>
      <c r="B1441" s="729"/>
      <c r="C1441" s="730"/>
    </row>
    <row r="1442" spans="1:6" ht="15" customHeight="1">
      <c r="A1442" s="731"/>
      <c r="B1442" s="732" t="s">
        <v>35</v>
      </c>
      <c r="C1442" s="730" t="s">
        <v>3356</v>
      </c>
      <c r="D1442" s="42"/>
      <c r="E1442" s="745" t="s">
        <v>3395</v>
      </c>
      <c r="F1442" s="752" t="str">
        <f>IF(wsecoteki_owner1_JIMU_NAME="","",wsecoteki_owner1_JIMU_NAME)</f>
        <v/>
      </c>
    </row>
    <row r="1443" spans="1:6" ht="15" customHeight="1">
      <c r="A1443" s="731"/>
      <c r="B1443" s="732" t="s">
        <v>99</v>
      </c>
      <c r="C1443" s="730" t="s">
        <v>3357</v>
      </c>
      <c r="D1443" s="42"/>
      <c r="E1443" s="745" t="s">
        <v>3396</v>
      </c>
      <c r="F1443" s="752" t="str">
        <f>IF(wsecoteki_owner1_JIMU_NAME_KANA="","",wsecoteki_owner1_JIMU_NAME_KANA)</f>
        <v/>
      </c>
    </row>
    <row r="1444" spans="1:6" ht="15" customHeight="1">
      <c r="A1444" s="731"/>
      <c r="B1444" s="732" t="s">
        <v>33</v>
      </c>
      <c r="C1444" s="730" t="s">
        <v>3358</v>
      </c>
      <c r="D1444" s="42"/>
      <c r="E1444" s="745" t="s">
        <v>3397</v>
      </c>
      <c r="F1444" s="752" t="str">
        <f>IF(wsecoteki_owner1_POST="","",wsecoteki_owner1_POST)</f>
        <v/>
      </c>
    </row>
    <row r="1445" spans="1:6" ht="15" customHeight="1">
      <c r="A1445" s="731"/>
      <c r="B1445" s="732" t="s">
        <v>100</v>
      </c>
      <c r="C1445" s="730" t="s">
        <v>3359</v>
      </c>
      <c r="D1445" s="42"/>
      <c r="E1445" s="745" t="s">
        <v>3398</v>
      </c>
      <c r="F1445" s="752" t="str">
        <f>IF(wsecoteki_owner1_POST_KANA="","",wsecoteki_owner1_POST_KANA)</f>
        <v/>
      </c>
    </row>
    <row r="1446" spans="1:6" ht="15" customHeight="1">
      <c r="A1446" s="731"/>
      <c r="B1446" s="732" t="s">
        <v>7</v>
      </c>
      <c r="C1446" s="730" t="s">
        <v>3360</v>
      </c>
      <c r="D1446" s="42"/>
      <c r="E1446" s="745" t="s">
        <v>3399</v>
      </c>
      <c r="F1446" s="752" t="str">
        <f>IF(wsecoteki_owner1_NAME="","",wsecoteki_owner1_NAME)</f>
        <v/>
      </c>
    </row>
    <row r="1447" spans="1:6" ht="15" customHeight="1">
      <c r="A1447" s="731"/>
      <c r="B1447" s="732"/>
      <c r="C1447" s="730"/>
      <c r="E1447" s="745"/>
      <c r="F1447" s="745"/>
    </row>
    <row r="1448" spans="1:6" ht="15" customHeight="1">
      <c r="A1448" s="733"/>
      <c r="B1448" s="732" t="s">
        <v>101</v>
      </c>
      <c r="C1448" s="730" t="s">
        <v>3361</v>
      </c>
      <c r="D1448" s="42"/>
      <c r="E1448" s="745" t="s">
        <v>3400</v>
      </c>
      <c r="F1448" s="752" t="str">
        <f>IF(wsecoteki_owner1_NAME_KANA="","",wsecoteki_owner1_NAME_KANA)</f>
        <v/>
      </c>
    </row>
    <row r="1449" spans="1:6" ht="15" customHeight="1">
      <c r="A1449" s="733"/>
      <c r="B1449" s="732" t="s">
        <v>8</v>
      </c>
      <c r="C1449" s="730" t="s">
        <v>3362</v>
      </c>
      <c r="D1449" s="42"/>
      <c r="E1449" s="745" t="s">
        <v>3401</v>
      </c>
      <c r="F1449" s="752" t="str">
        <f>IF(wsecoteki_owner1_ZIP="","",wsecoteki_owner1_ZIP)</f>
        <v/>
      </c>
    </row>
    <row r="1450" spans="1:6" ht="15" customHeight="1">
      <c r="A1450" s="733"/>
      <c r="B1450" s="732"/>
      <c r="C1450" s="730"/>
      <c r="E1450" s="745"/>
      <c r="F1450" s="745"/>
    </row>
    <row r="1451" spans="1:6" ht="15" customHeight="1">
      <c r="A1451" s="733"/>
      <c r="B1451" s="732" t="s">
        <v>9</v>
      </c>
      <c r="C1451" s="730" t="s">
        <v>3363</v>
      </c>
      <c r="D1451" s="42"/>
      <c r="E1451" s="745" t="s">
        <v>3402</v>
      </c>
      <c r="F1451" s="752" t="str">
        <f>IF(wsecoteki_owner1__address="","",wsecoteki_owner1__address)</f>
        <v/>
      </c>
    </row>
    <row r="1452" spans="1:6" ht="15" customHeight="1">
      <c r="A1452" s="733"/>
      <c r="B1452" s="732"/>
      <c r="C1452" s="730"/>
      <c r="E1452" s="745"/>
      <c r="F1452" s="745"/>
    </row>
    <row r="1453" spans="1:6" ht="15" customHeight="1">
      <c r="A1453" s="733"/>
      <c r="B1453" s="732" t="s">
        <v>10</v>
      </c>
      <c r="C1453" s="730" t="s">
        <v>3364</v>
      </c>
      <c r="D1453" s="42"/>
      <c r="E1453" s="745" t="s">
        <v>3403</v>
      </c>
      <c r="F1453" s="752" t="str">
        <f>IF(wsecoteki_owner1_TEL="","",wsecoteki_owner1_TEL)</f>
        <v/>
      </c>
    </row>
    <row r="1454" spans="1:6" ht="15" customHeight="1">
      <c r="A1454" s="733"/>
      <c r="B1454" s="734" t="s">
        <v>97</v>
      </c>
      <c r="C1454" s="730"/>
      <c r="E1454" s="745" t="s">
        <v>3404</v>
      </c>
      <c r="F1454" s="752" t="str">
        <f>cst_wsecoteki_owner1_JIMU_NAME&amp;IF(AND(cst_wsecoteki_owner1_JIMU_NAME&lt;&gt;"",OR(cst_wsecoteki_owner1_POST&lt;&gt;"",cst_wsecoteki_owner1_NAME&lt;&gt;"")),"　","")&amp;cst_wsecoteki_owner1_POST&amp;IF(AND(cst_wsecoteki_owner1_POST&lt;&gt;"",cst_wsecoteki_owner1_NAME&lt;&gt;""),"　","")&amp;cst_wsecoteki_owner1_NAME</f>
        <v/>
      </c>
    </row>
    <row r="1455" spans="1:6" ht="15" customHeight="1">
      <c r="A1455" s="733"/>
      <c r="B1455" s="734" t="s">
        <v>3365</v>
      </c>
      <c r="C1455" s="730"/>
      <c r="E1455" s="745" t="s">
        <v>3405</v>
      </c>
      <c r="F1455" s="752" t="str">
        <f>cst_wsecoteki_owner1_JIMU_NAME_KANA&amp;IF(AND(cst_wsecoteki_owner1_JIMU_NAME_KANA&lt;&gt;"",OR(cst_wsecoteki_owner1_POST_KANA&lt;&gt;"",cst_wsecoteki_owner1_NAME_KANA&lt;&gt;"")),"　","")&amp;cst_wsecoteki_owner1_POST_KANA&amp;IF(AND(cst_wsecoteki_owner1_POST_KANA&lt;&gt;"",cst_wsecoteki_owner1_NAME_KANA&lt;&gt;""),"　","")&amp;cst_wsecoteki_owner1_NAME_KANA</f>
        <v/>
      </c>
    </row>
    <row r="1456" spans="1:6" ht="15" customHeight="1">
      <c r="A1456" s="735"/>
      <c r="B1456" s="736"/>
      <c r="C1456" s="730"/>
      <c r="E1456" s="745"/>
      <c r="F1456" s="745"/>
    </row>
    <row r="1457" spans="1:6" ht="15" customHeight="1">
      <c r="A1457" s="728" t="s">
        <v>1404</v>
      </c>
      <c r="B1457" s="729"/>
      <c r="C1457" s="730"/>
      <c r="E1457" s="745"/>
      <c r="F1457" s="745"/>
    </row>
    <row r="1458" spans="1:6" ht="15" customHeight="1">
      <c r="A1458" s="731"/>
      <c r="B1458" s="732" t="s">
        <v>35</v>
      </c>
      <c r="C1458" s="730" t="s">
        <v>3366</v>
      </c>
      <c r="D1458" s="42"/>
      <c r="E1458" s="745" t="s">
        <v>3406</v>
      </c>
      <c r="F1458" s="752" t="str">
        <f>IF(wsecoteki_owner2_JIMU_NAME="","",wsecoteki_owner2_JIMU_NAME)</f>
        <v/>
      </c>
    </row>
    <row r="1459" spans="1:6" ht="15" customHeight="1">
      <c r="A1459" s="731"/>
      <c r="B1459" s="732" t="s">
        <v>99</v>
      </c>
      <c r="C1459" s="730" t="s">
        <v>3367</v>
      </c>
      <c r="D1459" s="42"/>
      <c r="E1459" s="745" t="s">
        <v>3407</v>
      </c>
      <c r="F1459" s="752" t="str">
        <f>IF(wsecoteki_owner2_JIMU_NAME_KANA="","",wsecoteki_owner2_JIMU_NAME_KANA)</f>
        <v/>
      </c>
    </row>
    <row r="1460" spans="1:6" ht="15" customHeight="1">
      <c r="A1460" s="731"/>
      <c r="B1460" s="732" t="s">
        <v>33</v>
      </c>
      <c r="C1460" s="730" t="s">
        <v>3368</v>
      </c>
      <c r="D1460" s="42"/>
      <c r="E1460" s="745" t="s">
        <v>3408</v>
      </c>
      <c r="F1460" s="752" t="str">
        <f>IF(wsecoteki_owner2_POST="","",wsecoteki_owner2_POST)</f>
        <v/>
      </c>
    </row>
    <row r="1461" spans="1:6" ht="15" customHeight="1">
      <c r="A1461" s="731"/>
      <c r="B1461" s="732" t="s">
        <v>100</v>
      </c>
      <c r="C1461" s="730" t="s">
        <v>3369</v>
      </c>
      <c r="D1461" s="42"/>
      <c r="E1461" s="745" t="s">
        <v>3409</v>
      </c>
      <c r="F1461" s="752" t="str">
        <f>IF(wsecoteki_owner2_POST_KANA="","",wsecoteki_owner2_POST_KANA)</f>
        <v/>
      </c>
    </row>
    <row r="1462" spans="1:6" ht="15" customHeight="1">
      <c r="A1462" s="731"/>
      <c r="B1462" s="732" t="s">
        <v>7</v>
      </c>
      <c r="C1462" s="730" t="s">
        <v>3370</v>
      </c>
      <c r="D1462" s="42"/>
      <c r="E1462" s="745" t="s">
        <v>3410</v>
      </c>
      <c r="F1462" s="752" t="str">
        <f>IF(wsecoteki_owner2_NAME="","",wsecoteki_owner2_NAME)</f>
        <v/>
      </c>
    </row>
    <row r="1463" spans="1:6" ht="15" customHeight="1">
      <c r="A1463" s="731"/>
      <c r="B1463" s="732"/>
      <c r="C1463" s="730"/>
      <c r="E1463" s="745"/>
      <c r="F1463" s="745"/>
    </row>
    <row r="1464" spans="1:6" ht="15" customHeight="1">
      <c r="A1464" s="733"/>
      <c r="B1464" s="732" t="s">
        <v>101</v>
      </c>
      <c r="C1464" s="730" t="s">
        <v>3371</v>
      </c>
      <c r="D1464" s="42"/>
      <c r="E1464" s="745" t="s">
        <v>3411</v>
      </c>
      <c r="F1464" s="752" t="str">
        <f>IF(wsecoteki_owner2_NAME_KANA="","",wsecoteki_owner2_NAME_KANA)</f>
        <v/>
      </c>
    </row>
    <row r="1465" spans="1:6" ht="15" customHeight="1">
      <c r="A1465" s="733"/>
      <c r="B1465" s="732" t="s">
        <v>8</v>
      </c>
      <c r="C1465" s="730" t="s">
        <v>3372</v>
      </c>
      <c r="D1465" s="42"/>
      <c r="E1465" s="745" t="s">
        <v>3412</v>
      </c>
      <c r="F1465" s="752" t="str">
        <f>IF(wsecoteki_owner2_ZIP="","",wsecoteki_owner2_ZIP)</f>
        <v/>
      </c>
    </row>
    <row r="1466" spans="1:6" ht="15" customHeight="1">
      <c r="A1466" s="733"/>
      <c r="B1466" s="732"/>
      <c r="C1466" s="730"/>
      <c r="E1466" s="745"/>
      <c r="F1466" s="745"/>
    </row>
    <row r="1467" spans="1:6" ht="15" customHeight="1">
      <c r="A1467" s="733"/>
      <c r="B1467" s="732" t="s">
        <v>9</v>
      </c>
      <c r="C1467" s="730" t="s">
        <v>3373</v>
      </c>
      <c r="D1467" s="42"/>
      <c r="E1467" s="745" t="s">
        <v>3413</v>
      </c>
      <c r="F1467" s="752" t="str">
        <f>IF(wsecoteki_owner2__address="","",wsecoteki_owner2__address)</f>
        <v/>
      </c>
    </row>
    <row r="1468" spans="1:6" ht="15" customHeight="1">
      <c r="A1468" s="733"/>
      <c r="B1468" s="732"/>
      <c r="C1468" s="730"/>
      <c r="E1468" s="745"/>
      <c r="F1468" s="745"/>
    </row>
    <row r="1469" spans="1:6" ht="15" customHeight="1">
      <c r="A1469" s="733"/>
      <c r="B1469" s="732" t="s">
        <v>10</v>
      </c>
      <c r="C1469" s="730" t="s">
        <v>3374</v>
      </c>
      <c r="D1469" s="42"/>
      <c r="E1469" s="745" t="s">
        <v>3414</v>
      </c>
      <c r="F1469" s="752" t="str">
        <f>IF(wsecoteki_owner2_TEL="","",wsecoteki_owner2_TEL)</f>
        <v/>
      </c>
    </row>
    <row r="1470" spans="1:6" ht="15" customHeight="1">
      <c r="A1470" s="735"/>
      <c r="B1470" s="736"/>
      <c r="C1470" s="730"/>
      <c r="E1470" s="745"/>
      <c r="F1470" s="745"/>
    </row>
    <row r="1471" spans="1:6" ht="15" customHeight="1">
      <c r="A1471" s="737" t="s">
        <v>45</v>
      </c>
      <c r="B1471" s="738"/>
      <c r="C1471" s="730"/>
      <c r="E1471" s="745"/>
      <c r="F1471" s="745"/>
    </row>
    <row r="1472" spans="1:6" ht="15" customHeight="1">
      <c r="A1472" s="739"/>
      <c r="B1472" s="740" t="s">
        <v>542</v>
      </c>
      <c r="C1472" s="730" t="s">
        <v>3375</v>
      </c>
      <c r="D1472" s="42"/>
      <c r="E1472" s="745" t="s">
        <v>3415</v>
      </c>
      <c r="F1472" s="752" t="str">
        <f>IF(wsecoteki_dairi1__sikaku="","",wsecoteki_dairi1__sikaku)</f>
        <v/>
      </c>
    </row>
    <row r="1473" spans="1:6" ht="15" customHeight="1">
      <c r="A1473" s="739"/>
      <c r="B1473" s="740" t="s">
        <v>543</v>
      </c>
      <c r="C1473" s="730" t="s">
        <v>3376</v>
      </c>
      <c r="D1473" s="42"/>
      <c r="E1473" s="745" t="s">
        <v>3416</v>
      </c>
      <c r="F1473" s="752" t="str">
        <f>IF(wsecoteki_dairi1_SIKAKU__label="","",wsecoteki_dairi1_SIKAKU__label)</f>
        <v/>
      </c>
    </row>
    <row r="1474" spans="1:6" ht="15" customHeight="1">
      <c r="A1474" s="739"/>
      <c r="B1474" s="740" t="s">
        <v>538</v>
      </c>
      <c r="C1474" s="730" t="s">
        <v>3377</v>
      </c>
      <c r="D1474" s="42"/>
      <c r="E1474" s="745" t="s">
        <v>3417</v>
      </c>
      <c r="F1474" s="752" t="str">
        <f>IF(wsecoteki_dairi1_TOUROKU_KIKAN__label="","",wsecoteki_dairi1_TOUROKU_KIKAN__label)</f>
        <v/>
      </c>
    </row>
    <row r="1475" spans="1:6" ht="15" customHeight="1">
      <c r="A1475" s="739"/>
      <c r="B1475" s="740" t="s">
        <v>539</v>
      </c>
      <c r="C1475" s="730" t="s">
        <v>3378</v>
      </c>
      <c r="D1475" s="42"/>
      <c r="E1475" s="745" t="s">
        <v>3418</v>
      </c>
      <c r="F1475" s="752" t="str">
        <f>IF(wsecoteki_dairi1_KENTIKUSI_NO="","",wsecoteki_dairi1_KENTIKUSI_NO)</f>
        <v/>
      </c>
    </row>
    <row r="1476" spans="1:6" ht="15" customHeight="1">
      <c r="A1476" s="741"/>
      <c r="B1476" s="740" t="s">
        <v>7</v>
      </c>
      <c r="C1476" s="730" t="s">
        <v>3379</v>
      </c>
      <c r="D1476" s="42"/>
      <c r="E1476" s="745" t="s">
        <v>3419</v>
      </c>
      <c r="F1476" s="752" t="str">
        <f>IF(wsecoteki_dairi1_NAME="","",wsecoteki_dairi1_NAME)</f>
        <v/>
      </c>
    </row>
    <row r="1477" spans="1:6" ht="15" customHeight="1">
      <c r="A1477" s="741"/>
      <c r="B1477" s="740" t="s">
        <v>39</v>
      </c>
      <c r="C1477" s="730" t="s">
        <v>3380</v>
      </c>
      <c r="D1477" s="42"/>
      <c r="E1477" s="745" t="s">
        <v>3420</v>
      </c>
      <c r="F1477" s="752" t="str">
        <f>IF(wsecoteki_dairi1_NAME_KANA="","",wsecoteki_dairi1_NAME_KANA)</f>
        <v/>
      </c>
    </row>
    <row r="1478" spans="1:6" ht="15" customHeight="1">
      <c r="A1478" s="741"/>
      <c r="B1478" s="740" t="s">
        <v>2772</v>
      </c>
      <c r="C1478" s="730"/>
      <c r="E1478" s="745"/>
      <c r="F1478" s="745"/>
    </row>
    <row r="1479" spans="1:6" ht="15" customHeight="1">
      <c r="A1479" s="741"/>
      <c r="B1479" s="740" t="s">
        <v>33</v>
      </c>
      <c r="C1479" s="730" t="s">
        <v>3381</v>
      </c>
      <c r="D1479" s="42"/>
      <c r="E1479" s="745" t="s">
        <v>3421</v>
      </c>
      <c r="F1479" s="752" t="str">
        <f>IF(wsecoteki_dairi1_POST="","",wsecoteki_dairi1_POST)</f>
        <v/>
      </c>
    </row>
    <row r="1480" spans="1:6" ht="15" customHeight="1">
      <c r="A1480" s="741"/>
      <c r="B1480" s="740" t="s">
        <v>3382</v>
      </c>
      <c r="C1480" s="730" t="s">
        <v>3383</v>
      </c>
      <c r="D1480" s="42"/>
      <c r="E1480" s="745" t="s">
        <v>3422</v>
      </c>
      <c r="F1480" s="752" t="str">
        <f>IF(wsecoteki_dairi1_POST_KANA="","",wsecoteki_dairi1_POST_KANA)</f>
        <v/>
      </c>
    </row>
    <row r="1481" spans="1:6" ht="15" customHeight="1">
      <c r="A1481" s="741"/>
      <c r="B1481" s="740" t="s">
        <v>544</v>
      </c>
      <c r="C1481" s="730" t="s">
        <v>3384</v>
      </c>
      <c r="D1481" s="42"/>
      <c r="E1481" s="745" t="s">
        <v>3423</v>
      </c>
      <c r="F1481" s="752" t="str">
        <f>IF(wsecoteki_dairi1_JIMU__sikaku="","",wsecoteki_dairi1_JIMU__sikaku)</f>
        <v/>
      </c>
    </row>
    <row r="1482" spans="1:6" ht="15" customHeight="1">
      <c r="A1482" s="741"/>
      <c r="B1482" s="740" t="s">
        <v>36</v>
      </c>
      <c r="C1482" s="730" t="s">
        <v>3385</v>
      </c>
      <c r="D1482" s="42"/>
      <c r="E1482" s="745" t="s">
        <v>3424</v>
      </c>
      <c r="F1482" s="752" t="str">
        <f>IF(wsecoteki_dairi1_JIMU_SIKAKU__label="","",wsecoteki_dairi1_JIMU_SIKAKU__label)</f>
        <v/>
      </c>
    </row>
    <row r="1483" spans="1:6" ht="15" customHeight="1">
      <c r="A1483" s="741"/>
      <c r="B1483" s="740" t="s">
        <v>545</v>
      </c>
      <c r="C1483" s="730" t="s">
        <v>3386</v>
      </c>
      <c r="D1483" s="42"/>
      <c r="E1483" s="745" t="s">
        <v>3425</v>
      </c>
      <c r="F1483" s="752" t="str">
        <f>IF(wsecoteki_dairi1_JIMU_TOUROKU_KIKAN__label="","",wsecoteki_dairi1_JIMU_TOUROKU_KIKAN__label)</f>
        <v/>
      </c>
    </row>
    <row r="1484" spans="1:6" ht="15" customHeight="1">
      <c r="A1484" s="741"/>
      <c r="B1484" s="740" t="s">
        <v>546</v>
      </c>
      <c r="C1484" s="730" t="s">
        <v>3387</v>
      </c>
      <c r="D1484" s="42"/>
      <c r="E1484" s="745" t="s">
        <v>3426</v>
      </c>
      <c r="F1484" s="752" t="str">
        <f>IF(wsecoteki_dairi1_JIMU_NO="","",wsecoteki_dairi1_JIMU_NO)</f>
        <v/>
      </c>
    </row>
    <row r="1485" spans="1:6" ht="15" customHeight="1">
      <c r="A1485" s="741"/>
      <c r="B1485" s="740" t="s">
        <v>37</v>
      </c>
      <c r="C1485" s="730" t="s">
        <v>3388</v>
      </c>
      <c r="D1485" s="42"/>
      <c r="E1485" s="745" t="s">
        <v>3427</v>
      </c>
      <c r="F1485" s="752" t="str">
        <f>IF(wsecoteki_dairi1_JIMU_NAME="","",wsecoteki_dairi1_JIMU_NAME)</f>
        <v/>
      </c>
    </row>
    <row r="1486" spans="1:6" ht="15" customHeight="1">
      <c r="A1486" s="741"/>
      <c r="B1486" s="740" t="s">
        <v>3389</v>
      </c>
      <c r="C1486" s="730" t="s">
        <v>3390</v>
      </c>
      <c r="D1486" s="42"/>
      <c r="E1486" s="745" t="s">
        <v>3428</v>
      </c>
      <c r="F1486" s="752" t="str">
        <f>IF(wsecoteki_dairi1_JIMU_NAME_KANA="","",wsecoteki_dairi1_JIMU_NAME_KANA)</f>
        <v/>
      </c>
    </row>
    <row r="1487" spans="1:6" ht="15" customHeight="1">
      <c r="A1487" s="741"/>
      <c r="B1487" s="740" t="s">
        <v>8</v>
      </c>
      <c r="C1487" s="730" t="s">
        <v>3391</v>
      </c>
      <c r="D1487" s="42"/>
      <c r="E1487" s="745" t="s">
        <v>3429</v>
      </c>
      <c r="F1487" s="752" t="str">
        <f>IF(wsecoteki_dairi1_ZIP="","",wsecoteki_dairi1_ZIP)</f>
        <v/>
      </c>
    </row>
    <row r="1488" spans="1:6" ht="15" customHeight="1">
      <c r="A1488" s="741"/>
      <c r="B1488" s="740" t="s">
        <v>12</v>
      </c>
      <c r="C1488" s="730" t="s">
        <v>3392</v>
      </c>
      <c r="D1488" s="42"/>
      <c r="E1488" s="745" t="s">
        <v>3430</v>
      </c>
      <c r="F1488" s="752" t="str">
        <f>IF(wsecoteki_dairi1__address="","",wsecoteki_dairi1__address)</f>
        <v/>
      </c>
    </row>
    <row r="1489" spans="1:6" ht="15" customHeight="1">
      <c r="A1489" s="741"/>
      <c r="B1489" s="740" t="s">
        <v>10</v>
      </c>
      <c r="C1489" s="730" t="s">
        <v>3393</v>
      </c>
      <c r="D1489" s="42"/>
      <c r="E1489" s="745" t="s">
        <v>3431</v>
      </c>
      <c r="F1489" s="752" t="str">
        <f>IF(wsecoteki_dairi1_TEL="","",wsecoteki_dairi1_TEL)</f>
        <v/>
      </c>
    </row>
    <row r="1490" spans="1:6" ht="15" customHeight="1">
      <c r="A1490" s="741"/>
      <c r="B1490" s="740" t="s">
        <v>611</v>
      </c>
      <c r="C1490" s="730" t="s">
        <v>3394</v>
      </c>
      <c r="D1490" s="42"/>
      <c r="E1490" s="745" t="s">
        <v>3432</v>
      </c>
      <c r="F1490" s="752" t="str">
        <f>IF(wsecoteki_dairi1_FAX="","",wsecoteki_dairi1_FAX)</f>
        <v/>
      </c>
    </row>
    <row r="1491" spans="1:6" ht="15" customHeight="1">
      <c r="A1491" s="741"/>
      <c r="B1491" s="742" t="s">
        <v>98</v>
      </c>
      <c r="C1491" s="730"/>
    </row>
    <row r="1492" spans="1:6" ht="15" customHeight="1">
      <c r="A1492" s="743"/>
      <c r="B1492" s="744" t="s">
        <v>97</v>
      </c>
      <c r="C1492" s="730"/>
    </row>
  </sheetData>
  <mergeCells count="2">
    <mergeCell ref="A1149:B1149"/>
    <mergeCell ref="A1261:A1265"/>
  </mergeCells>
  <phoneticPr fontId="12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6795556505021"/>
    <pageSetUpPr fitToPage="1"/>
  </sheetPr>
  <dimension ref="A1:AS683"/>
  <sheetViews>
    <sheetView zoomScaleNormal="100" zoomScaleSheetLayoutView="100" workbookViewId="0">
      <selection activeCell="AT1" sqref="AT1"/>
    </sheetView>
  </sheetViews>
  <sheetFormatPr defaultColWidth="2.6640625" defaultRowHeight="13.2"/>
  <cols>
    <col min="1" max="1" width="1.6640625" style="386" customWidth="1"/>
    <col min="2" max="8" width="2.6640625" style="386" customWidth="1"/>
    <col min="9" max="9" width="3" style="386" customWidth="1"/>
    <col min="10" max="34" width="2.6640625" style="386" customWidth="1"/>
    <col min="35" max="37" width="2.44140625" style="386" customWidth="1"/>
    <col min="38" max="38" width="0.88671875" style="386" customWidth="1"/>
    <col min="39" max="44" width="6.6640625" style="386" hidden="1" customWidth="1"/>
    <col min="45" max="45" width="2.6640625" style="386" hidden="1" customWidth="1"/>
    <col min="46" max="46" width="11.33203125" style="386" customWidth="1"/>
    <col min="47" max="50" width="2.6640625" style="386" customWidth="1"/>
    <col min="51" max="51" width="4.88671875" style="386" bestFit="1" customWidth="1"/>
    <col min="52" max="52" width="2.6640625" style="386" customWidth="1"/>
    <col min="53" max="16384" width="2.6640625" style="386"/>
  </cols>
  <sheetData>
    <row r="1" spans="1:39" ht="15" customHeight="1">
      <c r="A1" s="1604" t="s">
        <v>3207</v>
      </c>
      <c r="B1" s="1604"/>
      <c r="C1" s="1604"/>
      <c r="D1" s="1604"/>
      <c r="E1" s="1604"/>
      <c r="F1" s="1604"/>
      <c r="G1" s="1604"/>
      <c r="H1" s="1604"/>
      <c r="I1" s="1604"/>
      <c r="J1" s="1604"/>
      <c r="K1" s="1604"/>
      <c r="L1" s="1604"/>
      <c r="M1" s="1604"/>
      <c r="N1" s="1604"/>
      <c r="O1" s="1604"/>
      <c r="P1" s="1604"/>
      <c r="Q1" s="1604"/>
      <c r="R1" s="1604"/>
      <c r="S1" s="1604"/>
      <c r="T1" s="1604"/>
      <c r="U1" s="1604"/>
      <c r="V1" s="1604"/>
      <c r="W1" s="1604"/>
      <c r="X1" s="1604"/>
      <c r="Y1" s="1604"/>
      <c r="Z1" s="1604"/>
      <c r="AA1" s="1604"/>
      <c r="AB1" s="1604"/>
      <c r="AC1" s="1604"/>
      <c r="AD1" s="1604"/>
      <c r="AE1" s="1604"/>
      <c r="AF1" s="1604"/>
      <c r="AG1" s="1604"/>
      <c r="AH1" s="1604"/>
      <c r="AI1" s="1604"/>
      <c r="AJ1" s="1604"/>
      <c r="AK1" s="1604"/>
      <c r="AL1" s="1604"/>
      <c r="AM1" s="385"/>
    </row>
    <row r="2" spans="1:39" ht="15" customHeight="1">
      <c r="A2" s="1604"/>
      <c r="B2" s="1604"/>
      <c r="C2" s="1604"/>
      <c r="D2" s="1604"/>
      <c r="E2" s="1604"/>
      <c r="F2" s="1604"/>
      <c r="G2" s="1604"/>
      <c r="H2" s="1604"/>
      <c r="I2" s="1604"/>
      <c r="J2" s="1604"/>
      <c r="K2" s="1604"/>
      <c r="L2" s="1604"/>
      <c r="M2" s="1604"/>
      <c r="N2" s="1604"/>
      <c r="O2" s="1604"/>
      <c r="P2" s="1604"/>
      <c r="Q2" s="1604"/>
      <c r="R2" s="1604"/>
      <c r="S2" s="1604"/>
      <c r="T2" s="1604"/>
      <c r="U2" s="1604"/>
      <c r="V2" s="1604"/>
      <c r="W2" s="1604"/>
      <c r="X2" s="1604"/>
      <c r="Y2" s="1604"/>
      <c r="Z2" s="1604"/>
      <c r="AA2" s="1604"/>
      <c r="AB2" s="1604"/>
      <c r="AC2" s="1604"/>
      <c r="AD2" s="1604"/>
      <c r="AE2" s="1604"/>
      <c r="AF2" s="1604"/>
      <c r="AG2" s="1604"/>
      <c r="AH2" s="1604"/>
      <c r="AI2" s="1604"/>
      <c r="AJ2" s="1604"/>
      <c r="AK2" s="1604"/>
      <c r="AL2" s="1604"/>
      <c r="AM2" s="385"/>
    </row>
    <row r="3" spans="1:39" ht="15" customHeight="1">
      <c r="A3" s="1604"/>
      <c r="B3" s="1604"/>
      <c r="C3" s="1604"/>
      <c r="D3" s="1604"/>
      <c r="E3" s="1604"/>
      <c r="F3" s="1604"/>
      <c r="G3" s="1604"/>
      <c r="H3" s="1604"/>
      <c r="I3" s="1604"/>
      <c r="J3" s="1604"/>
      <c r="K3" s="1604"/>
      <c r="L3" s="1604"/>
      <c r="M3" s="1604"/>
      <c r="N3" s="1604"/>
      <c r="O3" s="1604"/>
      <c r="P3" s="1604"/>
      <c r="Q3" s="1604"/>
      <c r="R3" s="1604"/>
      <c r="S3" s="1604"/>
      <c r="T3" s="1604"/>
      <c r="U3" s="1604"/>
      <c r="V3" s="1604"/>
      <c r="W3" s="1604"/>
      <c r="X3" s="1604"/>
      <c r="Y3" s="1604"/>
      <c r="Z3" s="1604"/>
      <c r="AA3" s="1604"/>
      <c r="AB3" s="1604"/>
      <c r="AC3" s="1604"/>
      <c r="AD3" s="1604"/>
      <c r="AE3" s="1604"/>
      <c r="AF3" s="1604"/>
      <c r="AG3" s="1604"/>
      <c r="AH3" s="1604"/>
      <c r="AI3" s="1604"/>
      <c r="AJ3" s="1604"/>
      <c r="AK3" s="1604"/>
      <c r="AL3" s="1604"/>
      <c r="AM3" s="385"/>
    </row>
    <row r="4" spans="1:39" ht="15" customHeight="1">
      <c r="A4" s="1604"/>
      <c r="B4" s="1604"/>
      <c r="C4" s="1604"/>
      <c r="D4" s="1604"/>
      <c r="E4" s="1604"/>
      <c r="F4" s="1604"/>
      <c r="G4" s="1604"/>
      <c r="H4" s="1604"/>
      <c r="I4" s="1604"/>
      <c r="J4" s="1604"/>
      <c r="K4" s="1604"/>
      <c r="L4" s="1604"/>
      <c r="M4" s="1604"/>
      <c r="N4" s="1604"/>
      <c r="O4" s="1604"/>
      <c r="P4" s="1604"/>
      <c r="Q4" s="1604"/>
      <c r="R4" s="1604"/>
      <c r="S4" s="1604"/>
      <c r="T4" s="1604"/>
      <c r="U4" s="1604"/>
      <c r="V4" s="1604"/>
      <c r="W4" s="1604"/>
      <c r="X4" s="1604"/>
      <c r="Y4" s="1604"/>
      <c r="Z4" s="1604"/>
      <c r="AA4" s="1604"/>
      <c r="AB4" s="1604"/>
      <c r="AC4" s="1604"/>
      <c r="AD4" s="1604"/>
      <c r="AE4" s="1604"/>
      <c r="AF4" s="1604"/>
      <c r="AG4" s="1604"/>
      <c r="AH4" s="1604"/>
      <c r="AI4" s="1604"/>
      <c r="AJ4" s="1604"/>
      <c r="AK4" s="1604"/>
      <c r="AL4" s="1604"/>
      <c r="AM4" s="385"/>
    </row>
    <row r="5" spans="1:39" ht="15" customHeight="1">
      <c r="A5" s="1604"/>
      <c r="B5" s="1604"/>
      <c r="C5" s="1604"/>
      <c r="D5" s="1604"/>
      <c r="E5" s="1604"/>
      <c r="F5" s="1604"/>
      <c r="G5" s="1604"/>
      <c r="H5" s="1604"/>
      <c r="I5" s="1604"/>
      <c r="J5" s="1604"/>
      <c r="K5" s="1604"/>
      <c r="L5" s="1604"/>
      <c r="M5" s="1604"/>
      <c r="N5" s="1604"/>
      <c r="O5" s="1604"/>
      <c r="P5" s="1604"/>
      <c r="Q5" s="1604"/>
      <c r="R5" s="1604"/>
      <c r="S5" s="1604"/>
      <c r="T5" s="1604"/>
      <c r="U5" s="1604"/>
      <c r="V5" s="1604"/>
      <c r="W5" s="1604"/>
      <c r="X5" s="1604"/>
      <c r="Y5" s="1604"/>
      <c r="Z5" s="1604"/>
      <c r="AA5" s="1604"/>
      <c r="AB5" s="1604"/>
      <c r="AC5" s="1604"/>
      <c r="AD5" s="1604"/>
      <c r="AE5" s="1604"/>
      <c r="AF5" s="1604"/>
      <c r="AG5" s="1604"/>
      <c r="AH5" s="1604"/>
      <c r="AI5" s="1604"/>
      <c r="AJ5" s="1604"/>
      <c r="AK5" s="1604"/>
      <c r="AL5" s="1604"/>
      <c r="AM5" s="385"/>
    </row>
    <row r="6" spans="1:39" ht="15" customHeight="1">
      <c r="A6" s="1604"/>
      <c r="B6" s="1604"/>
      <c r="C6" s="1604"/>
      <c r="D6" s="1604"/>
      <c r="E6" s="1604"/>
      <c r="F6" s="1604"/>
      <c r="G6" s="1604"/>
      <c r="H6" s="1604"/>
      <c r="I6" s="1604"/>
      <c r="J6" s="1604"/>
      <c r="K6" s="1604"/>
      <c r="L6" s="1604"/>
      <c r="M6" s="1604"/>
      <c r="N6" s="1604"/>
      <c r="O6" s="1604"/>
      <c r="P6" s="1604"/>
      <c r="Q6" s="1604"/>
      <c r="R6" s="1604"/>
      <c r="S6" s="1604"/>
      <c r="T6" s="1604"/>
      <c r="U6" s="1604"/>
      <c r="V6" s="1604"/>
      <c r="W6" s="1604"/>
      <c r="X6" s="1604"/>
      <c r="Y6" s="1604"/>
      <c r="Z6" s="1604"/>
      <c r="AA6" s="1604"/>
      <c r="AB6" s="1604"/>
      <c r="AC6" s="1604"/>
      <c r="AD6" s="1604"/>
      <c r="AE6" s="1604"/>
      <c r="AF6" s="1604"/>
      <c r="AG6" s="1604"/>
      <c r="AH6" s="1604"/>
      <c r="AI6" s="1604"/>
      <c r="AJ6" s="1604"/>
      <c r="AK6" s="1604"/>
      <c r="AL6" s="1604"/>
      <c r="AM6" s="385"/>
    </row>
    <row r="7" spans="1:39" ht="15" customHeight="1">
      <c r="A7" s="1604"/>
      <c r="B7" s="1604"/>
      <c r="C7" s="1604"/>
      <c r="D7" s="1604"/>
      <c r="E7" s="1604"/>
      <c r="F7" s="1604"/>
      <c r="G7" s="1604"/>
      <c r="H7" s="1604"/>
      <c r="I7" s="1604"/>
      <c r="J7" s="1604"/>
      <c r="K7" s="1604"/>
      <c r="L7" s="1604"/>
      <c r="M7" s="1604"/>
      <c r="N7" s="1604"/>
      <c r="O7" s="1604"/>
      <c r="P7" s="1604"/>
      <c r="Q7" s="1604"/>
      <c r="R7" s="1604"/>
      <c r="S7" s="1604"/>
      <c r="T7" s="1604"/>
      <c r="U7" s="1604"/>
      <c r="V7" s="1604"/>
      <c r="W7" s="1604"/>
      <c r="X7" s="1604"/>
      <c r="Y7" s="1604"/>
      <c r="Z7" s="1604"/>
      <c r="AA7" s="1604"/>
      <c r="AB7" s="1604"/>
      <c r="AC7" s="1604"/>
      <c r="AD7" s="1604"/>
      <c r="AE7" s="1604"/>
      <c r="AF7" s="1604"/>
      <c r="AG7" s="1604"/>
      <c r="AH7" s="1604"/>
      <c r="AI7" s="1604"/>
      <c r="AJ7" s="1604"/>
      <c r="AK7" s="1604"/>
      <c r="AL7" s="1604"/>
      <c r="AM7" s="385"/>
    </row>
    <row r="8" spans="1:39" ht="15" customHeight="1">
      <c r="A8" s="1604"/>
      <c r="B8" s="1604"/>
      <c r="C8" s="1604"/>
      <c r="D8" s="1604"/>
      <c r="E8" s="1604"/>
      <c r="F8" s="1604"/>
      <c r="G8" s="1604"/>
      <c r="H8" s="1604"/>
      <c r="I8" s="1604"/>
      <c r="J8" s="1604"/>
      <c r="K8" s="1604"/>
      <c r="L8" s="1604"/>
      <c r="M8" s="1604"/>
      <c r="N8" s="1604"/>
      <c r="O8" s="1604"/>
      <c r="P8" s="1604"/>
      <c r="Q8" s="1604"/>
      <c r="R8" s="1604"/>
      <c r="S8" s="1604"/>
      <c r="T8" s="1604"/>
      <c r="U8" s="1604"/>
      <c r="V8" s="1604"/>
      <c r="W8" s="1604"/>
      <c r="X8" s="1604"/>
      <c r="Y8" s="1604"/>
      <c r="Z8" s="1604"/>
      <c r="AA8" s="1604"/>
      <c r="AB8" s="1604"/>
      <c r="AC8" s="1604"/>
      <c r="AD8" s="1604"/>
      <c r="AE8" s="1604"/>
      <c r="AF8" s="1604"/>
      <c r="AG8" s="1604"/>
      <c r="AH8" s="1604"/>
      <c r="AI8" s="1604"/>
      <c r="AJ8" s="1604"/>
      <c r="AK8" s="1604"/>
      <c r="AL8" s="1604"/>
      <c r="AM8" s="385"/>
    </row>
    <row r="9" spans="1:39" ht="15" customHeight="1">
      <c r="A9" s="1604"/>
      <c r="B9" s="1604"/>
      <c r="C9" s="1604"/>
      <c r="D9" s="1604"/>
      <c r="E9" s="1604"/>
      <c r="F9" s="1604"/>
      <c r="G9" s="1604"/>
      <c r="H9" s="1604"/>
      <c r="I9" s="1604"/>
      <c r="J9" s="1604"/>
      <c r="K9" s="1604"/>
      <c r="L9" s="1604"/>
      <c r="M9" s="1604"/>
      <c r="N9" s="1604"/>
      <c r="O9" s="1604"/>
      <c r="P9" s="1604"/>
      <c r="Q9" s="1604"/>
      <c r="R9" s="1604"/>
      <c r="S9" s="1604"/>
      <c r="T9" s="1604"/>
      <c r="U9" s="1604"/>
      <c r="V9" s="1604"/>
      <c r="W9" s="1604"/>
      <c r="X9" s="1604"/>
      <c r="Y9" s="1604"/>
      <c r="Z9" s="1604"/>
      <c r="AA9" s="1604"/>
      <c r="AB9" s="1604"/>
      <c r="AC9" s="1604"/>
      <c r="AD9" s="1604"/>
      <c r="AE9" s="1604"/>
      <c r="AF9" s="1604"/>
      <c r="AG9" s="1604"/>
      <c r="AH9" s="1604"/>
      <c r="AI9" s="1604"/>
      <c r="AJ9" s="1604"/>
      <c r="AK9" s="1604"/>
      <c r="AL9" s="1604"/>
      <c r="AM9" s="385"/>
    </row>
    <row r="10" spans="1:39" ht="15" customHeight="1">
      <c r="A10" s="1604"/>
      <c r="B10" s="1604"/>
      <c r="C10" s="1604"/>
      <c r="D10" s="1604"/>
      <c r="E10" s="1604"/>
      <c r="F10" s="1604"/>
      <c r="G10" s="1604"/>
      <c r="H10" s="1604"/>
      <c r="I10" s="1604"/>
      <c r="J10" s="1604"/>
      <c r="K10" s="1604"/>
      <c r="L10" s="1604"/>
      <c r="M10" s="1604"/>
      <c r="N10" s="1604"/>
      <c r="O10" s="1604"/>
      <c r="P10" s="1604"/>
      <c r="Q10" s="1604"/>
      <c r="R10" s="1604"/>
      <c r="S10" s="1604"/>
      <c r="T10" s="1604"/>
      <c r="U10" s="1604"/>
      <c r="V10" s="1604"/>
      <c r="W10" s="1604"/>
      <c r="X10" s="1604"/>
      <c r="Y10" s="1604"/>
      <c r="Z10" s="1604"/>
      <c r="AA10" s="1604"/>
      <c r="AB10" s="1604"/>
      <c r="AC10" s="1604"/>
      <c r="AD10" s="1604"/>
      <c r="AE10" s="1604"/>
      <c r="AF10" s="1604"/>
      <c r="AG10" s="1604"/>
      <c r="AH10" s="1604"/>
      <c r="AI10" s="1604"/>
      <c r="AJ10" s="1604"/>
      <c r="AK10" s="1604"/>
      <c r="AL10" s="1604"/>
      <c r="AM10" s="385"/>
    </row>
    <row r="11" spans="1:39" ht="15" customHeight="1">
      <c r="A11" s="1604"/>
      <c r="B11" s="1604"/>
      <c r="C11" s="1604"/>
      <c r="D11" s="1604"/>
      <c r="E11" s="1604"/>
      <c r="F11" s="1604"/>
      <c r="G11" s="1604"/>
      <c r="H11" s="1604"/>
      <c r="I11" s="1604"/>
      <c r="J11" s="1604"/>
      <c r="K11" s="1604"/>
      <c r="L11" s="1604"/>
      <c r="M11" s="1604"/>
      <c r="N11" s="1604"/>
      <c r="O11" s="1604"/>
      <c r="P11" s="1604"/>
      <c r="Q11" s="1604"/>
      <c r="R11" s="1604"/>
      <c r="S11" s="1604"/>
      <c r="T11" s="1604"/>
      <c r="U11" s="1604"/>
      <c r="V11" s="1604"/>
      <c r="W11" s="1604"/>
      <c r="X11" s="1604"/>
      <c r="Y11" s="1604"/>
      <c r="Z11" s="1604"/>
      <c r="AA11" s="1604"/>
      <c r="AB11" s="1604"/>
      <c r="AC11" s="1604"/>
      <c r="AD11" s="1604"/>
      <c r="AE11" s="1604"/>
      <c r="AF11" s="1604"/>
      <c r="AG11" s="1604"/>
      <c r="AH11" s="1604"/>
      <c r="AI11" s="1604"/>
      <c r="AJ11" s="1604"/>
      <c r="AK11" s="1604"/>
      <c r="AL11" s="1604"/>
      <c r="AM11" s="385"/>
    </row>
    <row r="12" spans="1:39" ht="15" customHeight="1">
      <c r="A12" s="1604"/>
      <c r="B12" s="1604"/>
      <c r="C12" s="1604"/>
      <c r="D12" s="1604"/>
      <c r="E12" s="1604"/>
      <c r="F12" s="1604"/>
      <c r="G12" s="1604"/>
      <c r="H12" s="1604"/>
      <c r="I12" s="1604"/>
      <c r="J12" s="1604"/>
      <c r="K12" s="1604"/>
      <c r="L12" s="1604"/>
      <c r="M12" s="1604"/>
      <c r="N12" s="1604"/>
      <c r="O12" s="1604"/>
      <c r="P12" s="1604"/>
      <c r="Q12" s="1604"/>
      <c r="R12" s="1604"/>
      <c r="S12" s="1604"/>
      <c r="T12" s="1604"/>
      <c r="U12" s="1604"/>
      <c r="V12" s="1604"/>
      <c r="W12" s="1604"/>
      <c r="X12" s="1604"/>
      <c r="Y12" s="1604"/>
      <c r="Z12" s="1604"/>
      <c r="AA12" s="1604"/>
      <c r="AB12" s="1604"/>
      <c r="AC12" s="1604"/>
      <c r="AD12" s="1604"/>
      <c r="AE12" s="1604"/>
      <c r="AF12" s="1604"/>
      <c r="AG12" s="1604"/>
      <c r="AH12" s="1604"/>
      <c r="AI12" s="1604"/>
      <c r="AJ12" s="1604"/>
      <c r="AK12" s="1604"/>
      <c r="AL12" s="1604"/>
      <c r="AM12" s="385"/>
    </row>
    <row r="13" spans="1:39" ht="15" customHeight="1">
      <c r="A13" s="1604"/>
      <c r="B13" s="1604"/>
      <c r="C13" s="1604"/>
      <c r="D13" s="1604"/>
      <c r="E13" s="1604"/>
      <c r="F13" s="1604"/>
      <c r="G13" s="1604"/>
      <c r="H13" s="1604"/>
      <c r="I13" s="1604"/>
      <c r="J13" s="1604"/>
      <c r="K13" s="1604"/>
      <c r="L13" s="1604"/>
      <c r="M13" s="1604"/>
      <c r="N13" s="1604"/>
      <c r="O13" s="1604"/>
      <c r="P13" s="1604"/>
      <c r="Q13" s="1604"/>
      <c r="R13" s="1604"/>
      <c r="S13" s="1604"/>
      <c r="T13" s="1604"/>
      <c r="U13" s="1604"/>
      <c r="V13" s="1604"/>
      <c r="W13" s="1604"/>
      <c r="X13" s="1604"/>
      <c r="Y13" s="1604"/>
      <c r="Z13" s="1604"/>
      <c r="AA13" s="1604"/>
      <c r="AB13" s="1604"/>
      <c r="AC13" s="1604"/>
      <c r="AD13" s="1604"/>
      <c r="AE13" s="1604"/>
      <c r="AF13" s="1604"/>
      <c r="AG13" s="1604"/>
      <c r="AH13" s="1604"/>
      <c r="AI13" s="1604"/>
      <c r="AJ13" s="1604"/>
      <c r="AK13" s="1604"/>
      <c r="AL13" s="1604"/>
      <c r="AM13" s="385"/>
    </row>
    <row r="14" spans="1:39" ht="15" customHeight="1">
      <c r="A14" s="1604"/>
      <c r="B14" s="1604"/>
      <c r="C14" s="1604"/>
      <c r="D14" s="1604"/>
      <c r="E14" s="1604"/>
      <c r="F14" s="1604"/>
      <c r="G14" s="1604"/>
      <c r="H14" s="1604"/>
      <c r="I14" s="1604"/>
      <c r="J14" s="1604"/>
      <c r="K14" s="1604"/>
      <c r="L14" s="1604"/>
      <c r="M14" s="1604"/>
      <c r="N14" s="1604"/>
      <c r="O14" s="1604"/>
      <c r="P14" s="1604"/>
      <c r="Q14" s="1604"/>
      <c r="R14" s="1604"/>
      <c r="S14" s="1604"/>
      <c r="T14" s="1604"/>
      <c r="U14" s="1604"/>
      <c r="V14" s="1604"/>
      <c r="W14" s="1604"/>
      <c r="X14" s="1604"/>
      <c r="Y14" s="1604"/>
      <c r="Z14" s="1604"/>
      <c r="AA14" s="1604"/>
      <c r="AB14" s="1604"/>
      <c r="AC14" s="1604"/>
      <c r="AD14" s="1604"/>
      <c r="AE14" s="1604"/>
      <c r="AF14" s="1604"/>
      <c r="AG14" s="1604"/>
      <c r="AH14" s="1604"/>
      <c r="AI14" s="1604"/>
      <c r="AJ14" s="1604"/>
      <c r="AK14" s="1604"/>
      <c r="AL14" s="1604"/>
      <c r="AM14" s="385"/>
    </row>
    <row r="15" spans="1:39" ht="15" customHeight="1">
      <c r="A15" s="1604"/>
      <c r="B15" s="1604"/>
      <c r="C15" s="1604"/>
      <c r="D15" s="1604"/>
      <c r="E15" s="1604"/>
      <c r="F15" s="1604"/>
      <c r="G15" s="1604"/>
      <c r="H15" s="1604"/>
      <c r="I15" s="1604"/>
      <c r="J15" s="1604"/>
      <c r="K15" s="1604"/>
      <c r="L15" s="1604"/>
      <c r="M15" s="1604"/>
      <c r="N15" s="1604"/>
      <c r="O15" s="1604"/>
      <c r="P15" s="1604"/>
      <c r="Q15" s="1604"/>
      <c r="R15" s="1604"/>
      <c r="S15" s="1604"/>
      <c r="T15" s="1604"/>
      <c r="U15" s="1604"/>
      <c r="V15" s="1604"/>
      <c r="W15" s="1604"/>
      <c r="X15" s="1604"/>
      <c r="Y15" s="1604"/>
      <c r="Z15" s="1604"/>
      <c r="AA15" s="1604"/>
      <c r="AB15" s="1604"/>
      <c r="AC15" s="1604"/>
      <c r="AD15" s="1604"/>
      <c r="AE15" s="1604"/>
      <c r="AF15" s="1604"/>
      <c r="AG15" s="1604"/>
      <c r="AH15" s="1604"/>
      <c r="AI15" s="1604"/>
      <c r="AJ15" s="1604"/>
      <c r="AK15" s="1604"/>
      <c r="AL15" s="1604"/>
      <c r="AM15" s="385"/>
    </row>
    <row r="16" spans="1:39" ht="15" customHeight="1">
      <c r="A16" s="1604"/>
      <c r="B16" s="1604"/>
      <c r="C16" s="1604"/>
      <c r="D16" s="1604"/>
      <c r="E16" s="1604"/>
      <c r="F16" s="1604"/>
      <c r="G16" s="1604"/>
      <c r="H16" s="1604"/>
      <c r="I16" s="1604"/>
      <c r="J16" s="1604"/>
      <c r="K16" s="1604"/>
      <c r="L16" s="1604"/>
      <c r="M16" s="1604"/>
      <c r="N16" s="1604"/>
      <c r="O16" s="1604"/>
      <c r="P16" s="1604"/>
      <c r="Q16" s="1604"/>
      <c r="R16" s="1604"/>
      <c r="S16" s="1604"/>
      <c r="T16" s="1604"/>
      <c r="U16" s="1604"/>
      <c r="V16" s="1604"/>
      <c r="W16" s="1604"/>
      <c r="X16" s="1604"/>
      <c r="Y16" s="1604"/>
      <c r="Z16" s="1604"/>
      <c r="AA16" s="1604"/>
      <c r="AB16" s="1604"/>
      <c r="AC16" s="1604"/>
      <c r="AD16" s="1604"/>
      <c r="AE16" s="1604"/>
      <c r="AF16" s="1604"/>
      <c r="AG16" s="1604"/>
      <c r="AH16" s="1604"/>
      <c r="AI16" s="1604"/>
      <c r="AJ16" s="1604"/>
      <c r="AK16" s="1604"/>
      <c r="AL16" s="1604"/>
      <c r="AM16" s="385"/>
    </row>
    <row r="17" spans="1:39" ht="15" customHeight="1">
      <c r="A17" s="1604"/>
      <c r="B17" s="1604"/>
      <c r="C17" s="1604"/>
      <c r="D17" s="1604"/>
      <c r="E17" s="1604"/>
      <c r="F17" s="1604"/>
      <c r="G17" s="1604"/>
      <c r="H17" s="1604"/>
      <c r="I17" s="1604"/>
      <c r="J17" s="1604"/>
      <c r="K17" s="1604"/>
      <c r="L17" s="1604"/>
      <c r="M17" s="1604"/>
      <c r="N17" s="1604"/>
      <c r="O17" s="1604"/>
      <c r="P17" s="1604"/>
      <c r="Q17" s="1604"/>
      <c r="R17" s="1604"/>
      <c r="S17" s="1604"/>
      <c r="T17" s="1604"/>
      <c r="U17" s="1604"/>
      <c r="V17" s="1604"/>
      <c r="W17" s="1604"/>
      <c r="X17" s="1604"/>
      <c r="Y17" s="1604"/>
      <c r="Z17" s="1604"/>
      <c r="AA17" s="1604"/>
      <c r="AB17" s="1604"/>
      <c r="AC17" s="1604"/>
      <c r="AD17" s="1604"/>
      <c r="AE17" s="1604"/>
      <c r="AF17" s="1604"/>
      <c r="AG17" s="1604"/>
      <c r="AH17" s="1604"/>
      <c r="AI17" s="1604"/>
      <c r="AJ17" s="1604"/>
      <c r="AK17" s="1604"/>
      <c r="AL17" s="1604"/>
      <c r="AM17" s="385"/>
    </row>
    <row r="18" spans="1:39" ht="15" customHeight="1">
      <c r="A18" s="1604"/>
      <c r="B18" s="1604"/>
      <c r="C18" s="1604"/>
      <c r="D18" s="1604"/>
      <c r="E18" s="1604"/>
      <c r="F18" s="1604"/>
      <c r="G18" s="1604"/>
      <c r="H18" s="1604"/>
      <c r="I18" s="1604"/>
      <c r="J18" s="1604"/>
      <c r="K18" s="1604"/>
      <c r="L18" s="1604"/>
      <c r="M18" s="1604"/>
      <c r="N18" s="1604"/>
      <c r="O18" s="1604"/>
      <c r="P18" s="1604"/>
      <c r="Q18" s="1604"/>
      <c r="R18" s="1604"/>
      <c r="S18" s="1604"/>
      <c r="T18" s="1604"/>
      <c r="U18" s="1604"/>
      <c r="V18" s="1604"/>
      <c r="W18" s="1604"/>
      <c r="X18" s="1604"/>
      <c r="Y18" s="1604"/>
      <c r="Z18" s="1604"/>
      <c r="AA18" s="1604"/>
      <c r="AB18" s="1604"/>
      <c r="AC18" s="1604"/>
      <c r="AD18" s="1604"/>
      <c r="AE18" s="1604"/>
      <c r="AF18" s="1604"/>
      <c r="AG18" s="1604"/>
      <c r="AH18" s="1604"/>
      <c r="AI18" s="1604"/>
      <c r="AJ18" s="1604"/>
      <c r="AK18" s="1604"/>
      <c r="AL18" s="1604"/>
      <c r="AM18" s="385"/>
    </row>
    <row r="19" spans="1:39" ht="16.5" customHeight="1">
      <c r="A19" s="1604"/>
      <c r="B19" s="1604"/>
      <c r="C19" s="1604"/>
      <c r="D19" s="1604"/>
      <c r="E19" s="1604"/>
      <c r="F19" s="1604"/>
      <c r="G19" s="1604"/>
      <c r="H19" s="1604"/>
      <c r="I19" s="1604"/>
      <c r="J19" s="1604"/>
      <c r="K19" s="1604"/>
      <c r="L19" s="1604"/>
      <c r="M19" s="1604"/>
      <c r="N19" s="1604"/>
      <c r="O19" s="1604"/>
      <c r="P19" s="1604"/>
      <c r="Q19" s="1604"/>
      <c r="R19" s="1604"/>
      <c r="S19" s="1604"/>
      <c r="T19" s="1604"/>
      <c r="U19" s="1604"/>
      <c r="V19" s="1604"/>
      <c r="W19" s="1604"/>
      <c r="X19" s="1604"/>
      <c r="Y19" s="1604"/>
      <c r="Z19" s="1604"/>
      <c r="AA19" s="1604"/>
      <c r="AB19" s="1604"/>
      <c r="AC19" s="1604"/>
      <c r="AD19" s="1604"/>
      <c r="AE19" s="1604"/>
      <c r="AF19" s="1604"/>
      <c r="AG19" s="1604"/>
      <c r="AH19" s="1604"/>
      <c r="AI19" s="1604"/>
      <c r="AJ19" s="1604"/>
      <c r="AK19" s="1604"/>
      <c r="AL19" s="1604"/>
      <c r="AM19" s="385"/>
    </row>
    <row r="20" spans="1:39" ht="4.5" customHeight="1">
      <c r="A20" s="387" t="s">
        <v>421</v>
      </c>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387"/>
      <c r="AJ20" s="387"/>
      <c r="AK20" s="387"/>
      <c r="AL20" s="387"/>
      <c r="AM20" s="387"/>
    </row>
    <row r="21" spans="1:39" ht="27" customHeight="1">
      <c r="A21" s="387"/>
      <c r="B21" s="1622" t="s">
        <v>3208</v>
      </c>
      <c r="C21" s="1623"/>
      <c r="D21" s="1623"/>
      <c r="E21" s="1623"/>
      <c r="F21" s="1623"/>
      <c r="G21" s="1623"/>
      <c r="H21" s="1623"/>
      <c r="I21" s="1623"/>
      <c r="J21" s="1623"/>
      <c r="K21" s="1623"/>
      <c r="L21" s="1623"/>
      <c r="M21" s="1623"/>
      <c r="N21" s="1623"/>
      <c r="O21" s="1623"/>
      <c r="P21" s="1623"/>
      <c r="Q21" s="1623"/>
      <c r="R21" s="1623"/>
      <c r="S21" s="1623"/>
      <c r="T21" s="1623"/>
      <c r="U21" s="1623"/>
      <c r="V21" s="1623"/>
      <c r="W21" s="1623"/>
      <c r="X21" s="1623"/>
      <c r="Y21" s="1623"/>
      <c r="Z21" s="1623"/>
      <c r="AA21" s="1623"/>
      <c r="AB21" s="1623"/>
      <c r="AC21" s="1623"/>
      <c r="AD21" s="1623"/>
      <c r="AE21" s="1624"/>
      <c r="AF21" s="1637" t="s">
        <v>3209</v>
      </c>
      <c r="AG21" s="1638"/>
      <c r="AH21" s="1638"/>
      <c r="AI21" s="1638"/>
      <c r="AJ21" s="1638"/>
      <c r="AK21" s="1638"/>
      <c r="AL21" s="388"/>
      <c r="AM21" s="387"/>
    </row>
    <row r="22" spans="1:39" ht="27" customHeight="1">
      <c r="A22" s="387"/>
      <c r="B22" s="1626" t="s">
        <v>3210</v>
      </c>
      <c r="C22" s="1626"/>
      <c r="D22" s="1626"/>
      <c r="E22" s="1626"/>
      <c r="F22" s="1626"/>
      <c r="G22" s="1626"/>
      <c r="H22" s="1626"/>
      <c r="I22" s="1626"/>
      <c r="J22" s="1626" t="s">
        <v>3155</v>
      </c>
      <c r="K22" s="1626"/>
      <c r="L22" s="1626"/>
      <c r="M22" s="1626"/>
      <c r="N22" s="1626"/>
      <c r="O22" s="1626"/>
      <c r="P22" s="1626"/>
      <c r="Q22" s="1626"/>
      <c r="R22" s="1626"/>
      <c r="S22" s="1626"/>
      <c r="T22" s="1626"/>
      <c r="U22" s="1626"/>
      <c r="V22" s="1626"/>
      <c r="W22" s="1626"/>
      <c r="X22" s="1626"/>
      <c r="Y22" s="1626"/>
      <c r="Z22" s="1626"/>
      <c r="AA22" s="1626"/>
      <c r="AB22" s="1626"/>
      <c r="AC22" s="1626"/>
      <c r="AD22" s="1626"/>
      <c r="AE22" s="1626"/>
      <c r="AF22" s="1622" t="s">
        <v>154</v>
      </c>
      <c r="AG22" s="1623"/>
      <c r="AH22" s="1623"/>
      <c r="AI22" s="1623"/>
      <c r="AJ22" s="1623"/>
      <c r="AK22" s="1623"/>
      <c r="AL22" s="390"/>
      <c r="AM22" s="387"/>
    </row>
    <row r="23" spans="1:39" ht="27" customHeight="1">
      <c r="A23" s="387"/>
      <c r="B23" s="1626" t="s">
        <v>3211</v>
      </c>
      <c r="C23" s="1626"/>
      <c r="D23" s="1626"/>
      <c r="E23" s="1626"/>
      <c r="F23" s="1626"/>
      <c r="G23" s="1626"/>
      <c r="H23" s="1626"/>
      <c r="I23" s="1626"/>
      <c r="J23" s="1627" t="s">
        <v>3156</v>
      </c>
      <c r="K23" s="1628"/>
      <c r="L23" s="1628"/>
      <c r="M23" s="1628"/>
      <c r="N23" s="1628"/>
      <c r="O23" s="1628"/>
      <c r="P23" s="1628"/>
      <c r="Q23" s="1628"/>
      <c r="R23" s="1628"/>
      <c r="S23" s="1628"/>
      <c r="T23" s="1628"/>
      <c r="U23" s="1628"/>
      <c r="V23" s="1628"/>
      <c r="W23" s="1628"/>
      <c r="X23" s="1628"/>
      <c r="Y23" s="1628"/>
      <c r="Z23" s="1628"/>
      <c r="AA23" s="1628"/>
      <c r="AB23" s="1628"/>
      <c r="AC23" s="1628"/>
      <c r="AD23" s="1628"/>
      <c r="AE23" s="1629"/>
      <c r="AF23" s="1622" t="s">
        <v>165</v>
      </c>
      <c r="AG23" s="1623"/>
      <c r="AH23" s="1623"/>
      <c r="AI23" s="1623"/>
      <c r="AJ23" s="1623"/>
      <c r="AK23" s="1623"/>
      <c r="AL23" s="390"/>
      <c r="AM23" s="387"/>
    </row>
    <row r="24" spans="1:39" ht="24" customHeight="1">
      <c r="A24" s="1630" t="s">
        <v>3212</v>
      </c>
      <c r="B24" s="1630"/>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0"/>
      <c r="AL24" s="1630"/>
      <c r="AM24" s="387"/>
    </row>
    <row r="25" spans="1:39" ht="26.1" customHeight="1">
      <c r="A25" s="1630"/>
      <c r="B25" s="1630"/>
      <c r="C25" s="1630"/>
      <c r="D25" s="1630"/>
      <c r="E25" s="1630"/>
      <c r="F25" s="1630"/>
      <c r="G25" s="1630"/>
      <c r="H25" s="1630"/>
      <c r="I25" s="1630"/>
      <c r="J25" s="1630"/>
      <c r="K25" s="1630"/>
      <c r="L25" s="1630"/>
      <c r="M25" s="1630"/>
      <c r="N25" s="1630"/>
      <c r="O25" s="1630"/>
      <c r="P25" s="1630"/>
      <c r="Q25" s="1630"/>
      <c r="R25" s="1630"/>
      <c r="S25" s="1630"/>
      <c r="T25" s="1630"/>
      <c r="U25" s="1630"/>
      <c r="V25" s="1630"/>
      <c r="W25" s="1630"/>
      <c r="X25" s="1630"/>
      <c r="Y25" s="1630"/>
      <c r="Z25" s="1630"/>
      <c r="AA25" s="1630"/>
      <c r="AB25" s="1630"/>
      <c r="AC25" s="1630"/>
      <c r="AD25" s="1630"/>
      <c r="AE25" s="1630"/>
      <c r="AF25" s="1630"/>
      <c r="AG25" s="1630"/>
      <c r="AH25" s="1630"/>
      <c r="AI25" s="1630"/>
      <c r="AJ25" s="1630"/>
      <c r="AK25" s="1630"/>
      <c r="AL25" s="1630"/>
      <c r="AM25" s="387"/>
    </row>
    <row r="26" spans="1:39" ht="27" customHeight="1">
      <c r="A26" s="387"/>
      <c r="B26" s="1631" t="s">
        <v>3208</v>
      </c>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3"/>
      <c r="AF26" s="1637" t="s">
        <v>3209</v>
      </c>
      <c r="AG26" s="1638"/>
      <c r="AH26" s="1638"/>
      <c r="AI26" s="1638"/>
      <c r="AJ26" s="1638"/>
      <c r="AK26" s="1638"/>
      <c r="AL26" s="388"/>
      <c r="AM26" s="387"/>
    </row>
    <row r="27" spans="1:39" ht="42" customHeight="1">
      <c r="A27" s="387"/>
      <c r="B27" s="1634"/>
      <c r="C27" s="1635"/>
      <c r="D27" s="1635"/>
      <c r="E27" s="1635"/>
      <c r="F27" s="1635"/>
      <c r="G27" s="1635"/>
      <c r="H27" s="1635"/>
      <c r="I27" s="1635"/>
      <c r="J27" s="1635"/>
      <c r="K27" s="1635"/>
      <c r="L27" s="1635"/>
      <c r="M27" s="1635"/>
      <c r="N27" s="1635"/>
      <c r="O27" s="1635"/>
      <c r="P27" s="1635"/>
      <c r="Q27" s="1635"/>
      <c r="R27" s="1635"/>
      <c r="S27" s="1635"/>
      <c r="T27" s="1635"/>
      <c r="U27" s="1635"/>
      <c r="V27" s="1635"/>
      <c r="W27" s="1635"/>
      <c r="X27" s="1635"/>
      <c r="Y27" s="1635"/>
      <c r="Z27" s="1635"/>
      <c r="AA27" s="1635"/>
      <c r="AB27" s="1635"/>
      <c r="AC27" s="1635"/>
      <c r="AD27" s="1635"/>
      <c r="AE27" s="1636"/>
      <c r="AF27" s="1622" t="s">
        <v>3213</v>
      </c>
      <c r="AG27" s="1623"/>
      <c r="AH27" s="1624"/>
      <c r="AI27" s="1622" t="s">
        <v>3214</v>
      </c>
      <c r="AJ27" s="1623"/>
      <c r="AK27" s="1623"/>
      <c r="AL27" s="388"/>
      <c r="AM27" s="387"/>
    </row>
    <row r="28" spans="1:39" ht="30" customHeight="1">
      <c r="A28" s="387"/>
      <c r="B28" s="1625" t="s">
        <v>3215</v>
      </c>
      <c r="C28" s="1625"/>
      <c r="D28" s="1625"/>
      <c r="E28" s="1625"/>
      <c r="F28" s="1625"/>
      <c r="G28" s="1625"/>
      <c r="H28" s="1625"/>
      <c r="I28" s="1625"/>
      <c r="J28" s="1619" t="s">
        <v>3157</v>
      </c>
      <c r="K28" s="1620"/>
      <c r="L28" s="1620"/>
      <c r="M28" s="1620"/>
      <c r="N28" s="1620"/>
      <c r="O28" s="1620"/>
      <c r="P28" s="1620"/>
      <c r="Q28" s="1620"/>
      <c r="R28" s="1620"/>
      <c r="S28" s="1620"/>
      <c r="T28" s="1620"/>
      <c r="U28" s="1620"/>
      <c r="V28" s="1620"/>
      <c r="W28" s="1620"/>
      <c r="X28" s="1620"/>
      <c r="Y28" s="1620"/>
      <c r="Z28" s="1620"/>
      <c r="AA28" s="1620"/>
      <c r="AB28" s="1620"/>
      <c r="AC28" s="1620"/>
      <c r="AD28" s="1620"/>
      <c r="AE28" s="1621"/>
      <c r="AF28" s="1622">
        <v>10</v>
      </c>
      <c r="AG28" s="1623"/>
      <c r="AH28" s="1624"/>
      <c r="AI28" s="1622">
        <v>30</v>
      </c>
      <c r="AJ28" s="1623"/>
      <c r="AK28" s="1623"/>
      <c r="AL28" s="390"/>
      <c r="AM28" s="387"/>
    </row>
    <row r="29" spans="1:39" ht="30" customHeight="1">
      <c r="A29" s="387"/>
      <c r="B29" s="1627" t="s">
        <v>3158</v>
      </c>
      <c r="C29" s="1628"/>
      <c r="D29" s="1628"/>
      <c r="E29" s="1628"/>
      <c r="F29" s="1628"/>
      <c r="G29" s="1628"/>
      <c r="H29" s="1628"/>
      <c r="I29" s="1628"/>
      <c r="J29" s="1628"/>
      <c r="K29" s="1628"/>
      <c r="L29" s="1628"/>
      <c r="M29" s="1628"/>
      <c r="N29" s="1628"/>
      <c r="O29" s="1628"/>
      <c r="P29" s="1628"/>
      <c r="Q29" s="1628"/>
      <c r="R29" s="1628"/>
      <c r="S29" s="1628"/>
      <c r="T29" s="1628"/>
      <c r="U29" s="1628"/>
      <c r="V29" s="1628"/>
      <c r="W29" s="1628"/>
      <c r="X29" s="1628"/>
      <c r="Y29" s="1628"/>
      <c r="Z29" s="1628"/>
      <c r="AA29" s="1628"/>
      <c r="AB29" s="1628"/>
      <c r="AC29" s="1628"/>
      <c r="AD29" s="1628"/>
      <c r="AE29" s="1629"/>
      <c r="AF29" s="1622">
        <v>11</v>
      </c>
      <c r="AG29" s="1623"/>
      <c r="AH29" s="1624"/>
      <c r="AI29" s="1622">
        <v>31</v>
      </c>
      <c r="AJ29" s="1623"/>
      <c r="AK29" s="1623"/>
      <c r="AL29" s="390"/>
      <c r="AM29" s="387"/>
    </row>
    <row r="30" spans="1:39" ht="129.6" customHeight="1">
      <c r="A30" s="387"/>
      <c r="B30" s="1625" t="s">
        <v>3216</v>
      </c>
      <c r="C30" s="1625"/>
      <c r="D30" s="1625"/>
      <c r="E30" s="1625"/>
      <c r="F30" s="1625"/>
      <c r="G30" s="1625"/>
      <c r="H30" s="1625"/>
      <c r="I30" s="1625"/>
      <c r="J30" s="1626" t="s">
        <v>3159</v>
      </c>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2">
        <v>12</v>
      </c>
      <c r="AG30" s="1623"/>
      <c r="AH30" s="1624"/>
      <c r="AI30" s="1622">
        <v>32</v>
      </c>
      <c r="AJ30" s="1623"/>
      <c r="AK30" s="1623"/>
      <c r="AL30" s="390"/>
      <c r="AM30" s="387"/>
    </row>
    <row r="31" spans="1:39" ht="30" customHeight="1">
      <c r="A31" s="387"/>
      <c r="B31" s="1627" t="s">
        <v>3161</v>
      </c>
      <c r="C31" s="1628"/>
      <c r="D31" s="1628"/>
      <c r="E31" s="1628"/>
      <c r="F31" s="1628"/>
      <c r="G31" s="1628"/>
      <c r="H31" s="1628"/>
      <c r="I31" s="1628"/>
      <c r="J31" s="1628"/>
      <c r="K31" s="1628"/>
      <c r="L31" s="1628"/>
      <c r="M31" s="1628"/>
      <c r="N31" s="1628"/>
      <c r="O31" s="1628"/>
      <c r="P31" s="1628"/>
      <c r="Q31" s="1628"/>
      <c r="R31" s="1628"/>
      <c r="S31" s="1628"/>
      <c r="T31" s="1628"/>
      <c r="U31" s="1628"/>
      <c r="V31" s="1628"/>
      <c r="W31" s="1628"/>
      <c r="X31" s="1628"/>
      <c r="Y31" s="1628"/>
      <c r="Z31" s="1628"/>
      <c r="AA31" s="1628"/>
      <c r="AB31" s="1628"/>
      <c r="AC31" s="1628"/>
      <c r="AD31" s="1628"/>
      <c r="AE31" s="1629"/>
      <c r="AF31" s="1622">
        <v>13</v>
      </c>
      <c r="AG31" s="1623"/>
      <c r="AH31" s="1624"/>
      <c r="AI31" s="1622">
        <v>33</v>
      </c>
      <c r="AJ31" s="1623"/>
      <c r="AK31" s="1623"/>
      <c r="AL31" s="390"/>
      <c r="AM31" s="387"/>
    </row>
    <row r="32" spans="1:39" ht="39.9" customHeight="1">
      <c r="A32" s="387"/>
      <c r="B32" s="1625" t="s">
        <v>3217</v>
      </c>
      <c r="C32" s="1625"/>
      <c r="D32" s="1625"/>
      <c r="E32" s="1625"/>
      <c r="F32" s="1625"/>
      <c r="G32" s="1625"/>
      <c r="H32" s="1625"/>
      <c r="I32" s="1625"/>
      <c r="J32" s="1626" t="s">
        <v>3163</v>
      </c>
      <c r="K32" s="1625"/>
      <c r="L32" s="1625"/>
      <c r="M32" s="1625"/>
      <c r="N32" s="1625"/>
      <c r="O32" s="1625"/>
      <c r="P32" s="1625"/>
      <c r="Q32" s="1625"/>
      <c r="R32" s="1625"/>
      <c r="S32" s="1625"/>
      <c r="T32" s="1625"/>
      <c r="U32" s="1625"/>
      <c r="V32" s="1625"/>
      <c r="W32" s="1625"/>
      <c r="X32" s="1625"/>
      <c r="Y32" s="1625"/>
      <c r="Z32" s="1625"/>
      <c r="AA32" s="1625"/>
      <c r="AB32" s="1625"/>
      <c r="AC32" s="1625"/>
      <c r="AD32" s="1625"/>
      <c r="AE32" s="1625"/>
      <c r="AF32" s="1622">
        <v>14</v>
      </c>
      <c r="AG32" s="1623"/>
      <c r="AH32" s="1624"/>
      <c r="AI32" s="1622">
        <v>34</v>
      </c>
      <c r="AJ32" s="1623"/>
      <c r="AK32" s="1623"/>
      <c r="AL32" s="390"/>
      <c r="AM32" s="387"/>
    </row>
    <row r="33" spans="1:39" ht="39.9" customHeight="1">
      <c r="A33" s="387"/>
      <c r="B33" s="1625" t="s">
        <v>3218</v>
      </c>
      <c r="C33" s="1625"/>
      <c r="D33" s="1625"/>
      <c r="E33" s="1625"/>
      <c r="F33" s="1625"/>
      <c r="G33" s="1625"/>
      <c r="H33" s="1625"/>
      <c r="I33" s="1625"/>
      <c r="J33" s="1626" t="s">
        <v>3164</v>
      </c>
      <c r="K33" s="1626"/>
      <c r="L33" s="1626"/>
      <c r="M33" s="1626"/>
      <c r="N33" s="1626"/>
      <c r="O33" s="1626"/>
      <c r="P33" s="1626"/>
      <c r="Q33" s="1626"/>
      <c r="R33" s="1626"/>
      <c r="S33" s="1626"/>
      <c r="T33" s="1626"/>
      <c r="U33" s="1626"/>
      <c r="V33" s="1626"/>
      <c r="W33" s="1626"/>
      <c r="X33" s="1626"/>
      <c r="Y33" s="1626"/>
      <c r="Z33" s="1626"/>
      <c r="AA33" s="1626"/>
      <c r="AB33" s="1626"/>
      <c r="AC33" s="1626"/>
      <c r="AD33" s="1626"/>
      <c r="AE33" s="1626"/>
      <c r="AF33" s="1622">
        <v>15</v>
      </c>
      <c r="AG33" s="1623"/>
      <c r="AH33" s="1624"/>
      <c r="AI33" s="1622">
        <v>35</v>
      </c>
      <c r="AJ33" s="1623"/>
      <c r="AK33" s="1623"/>
      <c r="AL33" s="390"/>
      <c r="AM33" s="387"/>
    </row>
    <row r="34" spans="1:39" ht="30" customHeight="1">
      <c r="A34" s="387"/>
      <c r="B34" s="1619" t="s">
        <v>3167</v>
      </c>
      <c r="C34" s="1620"/>
      <c r="D34" s="1620"/>
      <c r="E34" s="1620"/>
      <c r="F34" s="1620"/>
      <c r="G34" s="1620"/>
      <c r="H34" s="1620"/>
      <c r="I34" s="1620"/>
      <c r="J34" s="1620"/>
      <c r="K34" s="1620"/>
      <c r="L34" s="1620"/>
      <c r="M34" s="1620"/>
      <c r="N34" s="1620"/>
      <c r="O34" s="1620"/>
      <c r="P34" s="1620"/>
      <c r="Q34" s="1620"/>
      <c r="R34" s="1620"/>
      <c r="S34" s="1620"/>
      <c r="T34" s="1620"/>
      <c r="U34" s="1620"/>
      <c r="V34" s="1620"/>
      <c r="W34" s="1620"/>
      <c r="X34" s="1620"/>
      <c r="Y34" s="1620"/>
      <c r="Z34" s="1620"/>
      <c r="AA34" s="1620"/>
      <c r="AB34" s="1620"/>
      <c r="AC34" s="1620"/>
      <c r="AD34" s="1620"/>
      <c r="AE34" s="1621"/>
      <c r="AF34" s="1622">
        <v>16</v>
      </c>
      <c r="AG34" s="1623"/>
      <c r="AH34" s="1624"/>
      <c r="AI34" s="1622">
        <v>36</v>
      </c>
      <c r="AJ34" s="1623"/>
      <c r="AK34" s="1623"/>
      <c r="AL34" s="390"/>
      <c r="AM34" s="387"/>
    </row>
    <row r="35" spans="1:39" ht="30" customHeight="1">
      <c r="A35" s="387"/>
      <c r="B35" s="1619" t="s">
        <v>3168</v>
      </c>
      <c r="C35" s="1620"/>
      <c r="D35" s="1620"/>
      <c r="E35" s="1620"/>
      <c r="F35" s="1620"/>
      <c r="G35" s="1620"/>
      <c r="H35" s="1620"/>
      <c r="I35" s="1620"/>
      <c r="J35" s="1620"/>
      <c r="K35" s="1620"/>
      <c r="L35" s="1620"/>
      <c r="M35" s="1620"/>
      <c r="N35" s="1620"/>
      <c r="O35" s="1620"/>
      <c r="P35" s="1620"/>
      <c r="Q35" s="1620"/>
      <c r="R35" s="1620"/>
      <c r="S35" s="1620"/>
      <c r="T35" s="1620"/>
      <c r="U35" s="1620"/>
      <c r="V35" s="1620"/>
      <c r="W35" s="1620"/>
      <c r="X35" s="1620"/>
      <c r="Y35" s="1620"/>
      <c r="Z35" s="1620"/>
      <c r="AA35" s="1620"/>
      <c r="AB35" s="1620"/>
      <c r="AC35" s="1620"/>
      <c r="AD35" s="1620"/>
      <c r="AE35" s="1621"/>
      <c r="AF35" s="1622">
        <v>17</v>
      </c>
      <c r="AG35" s="1623"/>
      <c r="AH35" s="1624"/>
      <c r="AI35" s="1622">
        <v>37</v>
      </c>
      <c r="AJ35" s="1623"/>
      <c r="AK35" s="1623"/>
      <c r="AL35" s="390"/>
      <c r="AM35" s="387"/>
    </row>
    <row r="36" spans="1:39" ht="30" customHeight="1">
      <c r="A36" s="387"/>
      <c r="B36" s="1625" t="s">
        <v>3219</v>
      </c>
      <c r="C36" s="1625"/>
      <c r="D36" s="1625"/>
      <c r="E36" s="1625"/>
      <c r="F36" s="1625"/>
      <c r="G36" s="1625"/>
      <c r="H36" s="1625"/>
      <c r="I36" s="1625"/>
      <c r="J36" s="1626" t="s">
        <v>3170</v>
      </c>
      <c r="K36" s="1626"/>
      <c r="L36" s="1626"/>
      <c r="M36" s="1626"/>
      <c r="N36" s="1626"/>
      <c r="O36" s="1626"/>
      <c r="P36" s="1626"/>
      <c r="Q36" s="1626"/>
      <c r="R36" s="1626"/>
      <c r="S36" s="1626"/>
      <c r="T36" s="1626"/>
      <c r="U36" s="1626"/>
      <c r="V36" s="1626"/>
      <c r="W36" s="1626"/>
      <c r="X36" s="1626"/>
      <c r="Y36" s="1626"/>
      <c r="Z36" s="1626"/>
      <c r="AA36" s="1626"/>
      <c r="AB36" s="1626"/>
      <c r="AC36" s="1626"/>
      <c r="AD36" s="1626"/>
      <c r="AE36" s="1626"/>
      <c r="AF36" s="1622">
        <v>18</v>
      </c>
      <c r="AG36" s="1623"/>
      <c r="AH36" s="1624"/>
      <c r="AI36" s="1622">
        <v>38</v>
      </c>
      <c r="AJ36" s="1623"/>
      <c r="AK36" s="1623"/>
      <c r="AL36" s="390"/>
      <c r="AM36" s="387"/>
    </row>
    <row r="37" spans="1:39" ht="39.9" customHeight="1">
      <c r="A37" s="387"/>
      <c r="B37" s="1626" t="s">
        <v>3220</v>
      </c>
      <c r="C37" s="1626"/>
      <c r="D37" s="1626"/>
      <c r="E37" s="1626"/>
      <c r="F37" s="1626"/>
      <c r="G37" s="1626"/>
      <c r="H37" s="1626"/>
      <c r="I37" s="1626"/>
      <c r="J37" s="1625" t="s">
        <v>3171</v>
      </c>
      <c r="K37" s="1625"/>
      <c r="L37" s="1625"/>
      <c r="M37" s="1625"/>
      <c r="N37" s="1625"/>
      <c r="O37" s="1625"/>
      <c r="P37" s="1625"/>
      <c r="Q37" s="1625"/>
      <c r="R37" s="1625"/>
      <c r="S37" s="1625"/>
      <c r="T37" s="1625"/>
      <c r="U37" s="1625"/>
      <c r="V37" s="1625"/>
      <c r="W37" s="1625"/>
      <c r="X37" s="1625"/>
      <c r="Y37" s="1625"/>
      <c r="Z37" s="1625"/>
      <c r="AA37" s="1625"/>
      <c r="AB37" s="1625"/>
      <c r="AC37" s="1625"/>
      <c r="AD37" s="1625"/>
      <c r="AE37" s="1625"/>
      <c r="AF37" s="1622">
        <v>19</v>
      </c>
      <c r="AG37" s="1623"/>
      <c r="AH37" s="1624"/>
      <c r="AI37" s="1622">
        <v>39</v>
      </c>
      <c r="AJ37" s="1623"/>
      <c r="AK37" s="1623"/>
      <c r="AL37" s="390"/>
      <c r="AM37" s="387"/>
    </row>
    <row r="38" spans="1:39" ht="39.9" customHeight="1">
      <c r="A38" s="387"/>
      <c r="B38" s="1619" t="s">
        <v>3221</v>
      </c>
      <c r="C38" s="1620"/>
      <c r="D38" s="1620"/>
      <c r="E38" s="1620"/>
      <c r="F38" s="1620"/>
      <c r="G38" s="1620"/>
      <c r="H38" s="1620"/>
      <c r="I38" s="1621"/>
      <c r="J38" s="1626" t="s">
        <v>3172</v>
      </c>
      <c r="K38" s="1626"/>
      <c r="L38" s="1626"/>
      <c r="M38" s="1626"/>
      <c r="N38" s="1626"/>
      <c r="O38" s="1626"/>
      <c r="P38" s="1626"/>
      <c r="Q38" s="1626"/>
      <c r="R38" s="1626"/>
      <c r="S38" s="1626"/>
      <c r="T38" s="1626"/>
      <c r="U38" s="1626"/>
      <c r="V38" s="1626"/>
      <c r="W38" s="1626"/>
      <c r="X38" s="1626"/>
      <c r="Y38" s="1626"/>
      <c r="Z38" s="1626"/>
      <c r="AA38" s="1626"/>
      <c r="AB38" s="1626"/>
      <c r="AC38" s="1626"/>
      <c r="AD38" s="1626"/>
      <c r="AE38" s="1626"/>
      <c r="AF38" s="1622">
        <v>20</v>
      </c>
      <c r="AG38" s="1623"/>
      <c r="AH38" s="1624"/>
      <c r="AI38" s="1622">
        <v>40</v>
      </c>
      <c r="AJ38" s="1623"/>
      <c r="AK38" s="1623"/>
      <c r="AL38" s="390"/>
      <c r="AM38" s="387"/>
    </row>
    <row r="39" spans="1:39" ht="30" customHeight="1">
      <c r="A39" s="387"/>
      <c r="B39" s="1625" t="s">
        <v>3222</v>
      </c>
      <c r="C39" s="1625"/>
      <c r="D39" s="1625"/>
      <c r="E39" s="1625"/>
      <c r="F39" s="1625"/>
      <c r="G39" s="1625"/>
      <c r="H39" s="1625"/>
      <c r="I39" s="1625"/>
      <c r="J39" s="1625" t="s">
        <v>3173</v>
      </c>
      <c r="K39" s="1625"/>
      <c r="L39" s="1625"/>
      <c r="M39" s="1625"/>
      <c r="N39" s="1625"/>
      <c r="O39" s="1625"/>
      <c r="P39" s="1625"/>
      <c r="Q39" s="1625"/>
      <c r="R39" s="1625"/>
      <c r="S39" s="1625"/>
      <c r="T39" s="1625"/>
      <c r="U39" s="1625"/>
      <c r="V39" s="1625"/>
      <c r="W39" s="1625"/>
      <c r="X39" s="1625"/>
      <c r="Y39" s="1625"/>
      <c r="Z39" s="1625"/>
      <c r="AA39" s="1625"/>
      <c r="AB39" s="1625"/>
      <c r="AC39" s="1625"/>
      <c r="AD39" s="1625"/>
      <c r="AE39" s="1625"/>
      <c r="AF39" s="1622">
        <v>21</v>
      </c>
      <c r="AG39" s="1623"/>
      <c r="AH39" s="1624"/>
      <c r="AI39" s="1622">
        <v>41</v>
      </c>
      <c r="AJ39" s="1623"/>
      <c r="AK39" s="1623"/>
      <c r="AL39" s="390"/>
      <c r="AM39" s="387"/>
    </row>
    <row r="40" spans="1:39" ht="69.599999999999994" customHeight="1">
      <c r="A40" s="387"/>
      <c r="B40" s="1625" t="s">
        <v>3223</v>
      </c>
      <c r="C40" s="1625"/>
      <c r="D40" s="1625"/>
      <c r="E40" s="1625"/>
      <c r="F40" s="1625"/>
      <c r="G40" s="1625"/>
      <c r="H40" s="1625"/>
      <c r="I40" s="1625"/>
      <c r="J40" s="1626" t="s">
        <v>3176</v>
      </c>
      <c r="K40" s="1626"/>
      <c r="L40" s="1626"/>
      <c r="M40" s="1626"/>
      <c r="N40" s="1626"/>
      <c r="O40" s="1626"/>
      <c r="P40" s="1626"/>
      <c r="Q40" s="1626"/>
      <c r="R40" s="1626"/>
      <c r="S40" s="1626"/>
      <c r="T40" s="1626"/>
      <c r="U40" s="1626"/>
      <c r="V40" s="1626"/>
      <c r="W40" s="1626"/>
      <c r="X40" s="1626"/>
      <c r="Y40" s="1626"/>
      <c r="Z40" s="1626"/>
      <c r="AA40" s="1626"/>
      <c r="AB40" s="1626"/>
      <c r="AC40" s="1626"/>
      <c r="AD40" s="1626"/>
      <c r="AE40" s="1626"/>
      <c r="AF40" s="1622">
        <v>22</v>
      </c>
      <c r="AG40" s="1623"/>
      <c r="AH40" s="1624"/>
      <c r="AI40" s="1622">
        <v>42</v>
      </c>
      <c r="AJ40" s="1623"/>
      <c r="AK40" s="1623"/>
      <c r="AL40" s="390"/>
      <c r="AM40" s="387"/>
    </row>
    <row r="41" spans="1:39" ht="30" customHeight="1">
      <c r="A41" s="387"/>
      <c r="B41" s="1619" t="s">
        <v>3177</v>
      </c>
      <c r="C41" s="1620"/>
      <c r="D41" s="1620"/>
      <c r="E41" s="1620"/>
      <c r="F41" s="1620"/>
      <c r="G41" s="1620"/>
      <c r="H41" s="1620"/>
      <c r="I41" s="1620"/>
      <c r="J41" s="1620"/>
      <c r="K41" s="1620"/>
      <c r="L41" s="1620"/>
      <c r="M41" s="1620"/>
      <c r="N41" s="1620"/>
      <c r="O41" s="1620"/>
      <c r="P41" s="1620"/>
      <c r="Q41" s="1620"/>
      <c r="R41" s="1620"/>
      <c r="S41" s="1620"/>
      <c r="T41" s="1620"/>
      <c r="U41" s="1620"/>
      <c r="V41" s="1620"/>
      <c r="W41" s="1620"/>
      <c r="X41" s="1620"/>
      <c r="Y41" s="1620"/>
      <c r="Z41" s="1620"/>
      <c r="AA41" s="1620"/>
      <c r="AB41" s="1620"/>
      <c r="AC41" s="1620"/>
      <c r="AD41" s="1620"/>
      <c r="AE41" s="1621"/>
      <c r="AF41" s="1622">
        <v>23</v>
      </c>
      <c r="AG41" s="1623"/>
      <c r="AH41" s="1624"/>
      <c r="AI41" s="1622">
        <v>43</v>
      </c>
      <c r="AJ41" s="1623"/>
      <c r="AK41" s="1623"/>
      <c r="AL41" s="390"/>
      <c r="AM41" s="387"/>
    </row>
    <row r="42" spans="1:39" ht="30" customHeight="1">
      <c r="A42" s="387"/>
      <c r="B42" s="1619" t="s">
        <v>2877</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1"/>
      <c r="AF42" s="1622">
        <v>24</v>
      </c>
      <c r="AG42" s="1623"/>
      <c r="AH42" s="1624"/>
      <c r="AI42" s="1622">
        <v>44</v>
      </c>
      <c r="AJ42" s="1623"/>
      <c r="AK42" s="1623"/>
      <c r="AL42" s="390"/>
      <c r="AM42" s="387"/>
    </row>
    <row r="43" spans="1:39" ht="4.5" customHeight="1">
      <c r="A43" s="387"/>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row>
    <row r="44" spans="1:39" ht="15" customHeight="1">
      <c r="A44" s="1604" t="s">
        <v>3224</v>
      </c>
      <c r="B44" s="1604"/>
      <c r="C44" s="1604"/>
      <c r="D44" s="1604"/>
      <c r="E44" s="1604"/>
      <c r="F44" s="1604"/>
      <c r="G44" s="1604"/>
      <c r="H44" s="1604"/>
      <c r="I44" s="1604"/>
      <c r="J44" s="1604"/>
      <c r="K44" s="1604"/>
      <c r="L44" s="1604"/>
      <c r="M44" s="1604"/>
      <c r="N44" s="1604"/>
      <c r="O44" s="1604"/>
      <c r="P44" s="1604"/>
      <c r="Q44" s="1604"/>
      <c r="R44" s="1604"/>
      <c r="S44" s="1604"/>
      <c r="T44" s="1604"/>
      <c r="U44" s="1604"/>
      <c r="V44" s="1604"/>
      <c r="W44" s="1604"/>
      <c r="X44" s="1604"/>
      <c r="Y44" s="1604"/>
      <c r="Z44" s="1604"/>
      <c r="AA44" s="1604"/>
      <c r="AB44" s="1604"/>
      <c r="AC44" s="1604"/>
      <c r="AD44" s="1604"/>
      <c r="AE44" s="1604"/>
      <c r="AF44" s="1604"/>
      <c r="AG44" s="1604"/>
      <c r="AH44" s="1604"/>
      <c r="AI44" s="1604"/>
      <c r="AJ44" s="1604"/>
      <c r="AK44" s="1604"/>
      <c r="AL44" s="1604"/>
      <c r="AM44" s="385"/>
    </row>
    <row r="45" spans="1:39" ht="15" customHeight="1">
      <c r="A45" s="1604"/>
      <c r="B45" s="1604"/>
      <c r="C45" s="1604"/>
      <c r="D45" s="1604"/>
      <c r="E45" s="1604"/>
      <c r="F45" s="1604"/>
      <c r="G45" s="1604"/>
      <c r="H45" s="1604"/>
      <c r="I45" s="1604"/>
      <c r="J45" s="1604"/>
      <c r="K45" s="1604"/>
      <c r="L45" s="1604"/>
      <c r="M45" s="1604"/>
      <c r="N45" s="1604"/>
      <c r="O45" s="1604"/>
      <c r="P45" s="1604"/>
      <c r="Q45" s="1604"/>
      <c r="R45" s="1604"/>
      <c r="S45" s="1604"/>
      <c r="T45" s="1604"/>
      <c r="U45" s="1604"/>
      <c r="V45" s="1604"/>
      <c r="W45" s="1604"/>
      <c r="X45" s="1604"/>
      <c r="Y45" s="1604"/>
      <c r="Z45" s="1604"/>
      <c r="AA45" s="1604"/>
      <c r="AB45" s="1604"/>
      <c r="AC45" s="1604"/>
      <c r="AD45" s="1604"/>
      <c r="AE45" s="1604"/>
      <c r="AF45" s="1604"/>
      <c r="AG45" s="1604"/>
      <c r="AH45" s="1604"/>
      <c r="AI45" s="1604"/>
      <c r="AJ45" s="1604"/>
      <c r="AK45" s="1604"/>
      <c r="AL45" s="1604"/>
      <c r="AM45" s="385"/>
    </row>
    <row r="46" spans="1:39" ht="15" customHeight="1">
      <c r="A46" s="1604"/>
      <c r="B46" s="1604"/>
      <c r="C46" s="1604"/>
      <c r="D46" s="1604"/>
      <c r="E46" s="1604"/>
      <c r="F46" s="1604"/>
      <c r="G46" s="1604"/>
      <c r="H46" s="1604"/>
      <c r="I46" s="1604"/>
      <c r="J46" s="1604"/>
      <c r="K46" s="1604"/>
      <c r="L46" s="1604"/>
      <c r="M46" s="1604"/>
      <c r="N46" s="1604"/>
      <c r="O46" s="1604"/>
      <c r="P46" s="1604"/>
      <c r="Q46" s="1604"/>
      <c r="R46" s="1604"/>
      <c r="S46" s="1604"/>
      <c r="T46" s="1604"/>
      <c r="U46" s="1604"/>
      <c r="V46" s="1604"/>
      <c r="W46" s="1604"/>
      <c r="X46" s="1604"/>
      <c r="Y46" s="1604"/>
      <c r="Z46" s="1604"/>
      <c r="AA46" s="1604"/>
      <c r="AB46" s="1604"/>
      <c r="AC46" s="1604"/>
      <c r="AD46" s="1604"/>
      <c r="AE46" s="1604"/>
      <c r="AF46" s="1604"/>
      <c r="AG46" s="1604"/>
      <c r="AH46" s="1604"/>
      <c r="AI46" s="1604"/>
      <c r="AJ46" s="1604"/>
      <c r="AK46" s="1604"/>
      <c r="AL46" s="1604"/>
      <c r="AM46" s="385"/>
    </row>
    <row r="47" spans="1:39" ht="15" customHeight="1">
      <c r="A47" s="1604"/>
      <c r="B47" s="1604"/>
      <c r="C47" s="1604"/>
      <c r="D47" s="1604"/>
      <c r="E47" s="1604"/>
      <c r="F47" s="1604"/>
      <c r="G47" s="1604"/>
      <c r="H47" s="1604"/>
      <c r="I47" s="1604"/>
      <c r="J47" s="1604"/>
      <c r="K47" s="1604"/>
      <c r="L47" s="1604"/>
      <c r="M47" s="1604"/>
      <c r="N47" s="1604"/>
      <c r="O47" s="1604"/>
      <c r="P47" s="1604"/>
      <c r="Q47" s="1604"/>
      <c r="R47" s="1604"/>
      <c r="S47" s="1604"/>
      <c r="T47" s="1604"/>
      <c r="U47" s="1604"/>
      <c r="V47" s="1604"/>
      <c r="W47" s="1604"/>
      <c r="X47" s="1604"/>
      <c r="Y47" s="1604"/>
      <c r="Z47" s="1604"/>
      <c r="AA47" s="1604"/>
      <c r="AB47" s="1604"/>
      <c r="AC47" s="1604"/>
      <c r="AD47" s="1604"/>
      <c r="AE47" s="1604"/>
      <c r="AF47" s="1604"/>
      <c r="AG47" s="1604"/>
      <c r="AH47" s="1604"/>
      <c r="AI47" s="1604"/>
      <c r="AJ47" s="1604"/>
      <c r="AK47" s="1604"/>
      <c r="AL47" s="1604"/>
      <c r="AM47" s="385"/>
    </row>
    <row r="48" spans="1:39" ht="15" customHeight="1">
      <c r="A48" s="1604"/>
      <c r="B48" s="1604"/>
      <c r="C48" s="1604"/>
      <c r="D48" s="1604"/>
      <c r="E48" s="1604"/>
      <c r="F48" s="1604"/>
      <c r="G48" s="1604"/>
      <c r="H48" s="1604"/>
      <c r="I48" s="1604"/>
      <c r="J48" s="1604"/>
      <c r="K48" s="1604"/>
      <c r="L48" s="1604"/>
      <c r="M48" s="1604"/>
      <c r="N48" s="1604"/>
      <c r="O48" s="1604"/>
      <c r="P48" s="1604"/>
      <c r="Q48" s="1604"/>
      <c r="R48" s="1604"/>
      <c r="S48" s="1604"/>
      <c r="T48" s="1604"/>
      <c r="U48" s="1604"/>
      <c r="V48" s="1604"/>
      <c r="W48" s="1604"/>
      <c r="X48" s="1604"/>
      <c r="Y48" s="1604"/>
      <c r="Z48" s="1604"/>
      <c r="AA48" s="1604"/>
      <c r="AB48" s="1604"/>
      <c r="AC48" s="1604"/>
      <c r="AD48" s="1604"/>
      <c r="AE48" s="1604"/>
      <c r="AF48" s="1604"/>
      <c r="AG48" s="1604"/>
      <c r="AH48" s="1604"/>
      <c r="AI48" s="1604"/>
      <c r="AJ48" s="1604"/>
      <c r="AK48" s="1604"/>
      <c r="AL48" s="1604"/>
      <c r="AM48" s="385"/>
    </row>
    <row r="49" spans="1:39" ht="9.6" customHeight="1">
      <c r="A49" s="1604"/>
      <c r="B49" s="1604"/>
      <c r="C49" s="1604"/>
      <c r="D49" s="1604"/>
      <c r="E49" s="1604"/>
      <c r="F49" s="1604"/>
      <c r="G49" s="1604"/>
      <c r="H49" s="1604"/>
      <c r="I49" s="1604"/>
      <c r="J49" s="1604"/>
      <c r="K49" s="1604"/>
      <c r="L49" s="1604"/>
      <c r="M49" s="1604"/>
      <c r="N49" s="1604"/>
      <c r="O49" s="1604"/>
      <c r="P49" s="1604"/>
      <c r="Q49" s="1604"/>
      <c r="R49" s="1604"/>
      <c r="S49" s="1604"/>
      <c r="T49" s="1604"/>
      <c r="U49" s="1604"/>
      <c r="V49" s="1604"/>
      <c r="W49" s="1604"/>
      <c r="X49" s="1604"/>
      <c r="Y49" s="1604"/>
      <c r="Z49" s="1604"/>
      <c r="AA49" s="1604"/>
      <c r="AB49" s="1604"/>
      <c r="AC49" s="1604"/>
      <c r="AD49" s="1604"/>
      <c r="AE49" s="1604"/>
      <c r="AF49" s="1604"/>
      <c r="AG49" s="1604"/>
      <c r="AH49" s="1604"/>
      <c r="AI49" s="1604"/>
      <c r="AJ49" s="1604"/>
      <c r="AK49" s="1604"/>
      <c r="AL49" s="1604"/>
      <c r="AM49" s="385"/>
    </row>
    <row r="50" spans="1:39" ht="15" customHeight="1">
      <c r="A50" s="394"/>
      <c r="B50" s="1616" t="s">
        <v>3225</v>
      </c>
      <c r="C50" s="1617"/>
      <c r="D50" s="1617"/>
      <c r="E50" s="1617"/>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1617"/>
      <c r="AB50" s="1617"/>
      <c r="AC50" s="1617"/>
      <c r="AD50" s="1617"/>
      <c r="AE50" s="1617"/>
      <c r="AF50" s="1617"/>
      <c r="AG50" s="1618"/>
      <c r="AH50" s="1616" t="s">
        <v>3209</v>
      </c>
      <c r="AI50" s="1617"/>
      <c r="AJ50" s="1617"/>
      <c r="AK50" s="1618"/>
      <c r="AL50" s="394"/>
      <c r="AM50" s="385"/>
    </row>
    <row r="51" spans="1:39" ht="15" customHeight="1">
      <c r="A51" s="394"/>
      <c r="B51" s="1605" t="s">
        <v>58</v>
      </c>
      <c r="C51" s="1605"/>
      <c r="D51" s="1605"/>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1605"/>
      <c r="AB51" s="1605"/>
      <c r="AC51" s="1605"/>
      <c r="AD51" s="1605"/>
      <c r="AE51" s="1605"/>
      <c r="AF51" s="1605"/>
      <c r="AG51" s="1605"/>
      <c r="AH51" s="1606" t="s">
        <v>148</v>
      </c>
      <c r="AI51" s="1607"/>
      <c r="AJ51" s="1607"/>
      <c r="AK51" s="1608"/>
      <c r="AL51" s="394"/>
      <c r="AM51" s="385"/>
    </row>
    <row r="52" spans="1:39" ht="15" customHeight="1">
      <c r="A52" s="394"/>
      <c r="B52" s="1609" t="s">
        <v>158</v>
      </c>
      <c r="C52" s="1610"/>
      <c r="D52" s="1610"/>
      <c r="E52" s="1610"/>
      <c r="F52" s="1610"/>
      <c r="G52" s="1610"/>
      <c r="H52" s="1610"/>
      <c r="I52" s="1610"/>
      <c r="J52" s="1610"/>
      <c r="K52" s="1610"/>
      <c r="L52" s="1610"/>
      <c r="M52" s="1610"/>
      <c r="N52" s="1610"/>
      <c r="O52" s="1610"/>
      <c r="P52" s="1610"/>
      <c r="Q52" s="1610"/>
      <c r="R52" s="1610"/>
      <c r="S52" s="1610"/>
      <c r="T52" s="1610"/>
      <c r="U52" s="1610"/>
      <c r="V52" s="1610"/>
      <c r="W52" s="1610"/>
      <c r="X52" s="1610"/>
      <c r="Y52" s="1610"/>
      <c r="Z52" s="1610"/>
      <c r="AA52" s="1610"/>
      <c r="AB52" s="1610"/>
      <c r="AC52" s="1610"/>
      <c r="AD52" s="1610"/>
      <c r="AE52" s="1610"/>
      <c r="AF52" s="1610"/>
      <c r="AG52" s="1610"/>
      <c r="AH52" s="1606" t="s">
        <v>157</v>
      </c>
      <c r="AI52" s="1607"/>
      <c r="AJ52" s="1607"/>
      <c r="AK52" s="1608"/>
      <c r="AL52" s="394"/>
      <c r="AM52" s="385"/>
    </row>
    <row r="53" spans="1:39" ht="15" customHeight="1">
      <c r="A53" s="394"/>
      <c r="B53" s="1609" t="s">
        <v>3226</v>
      </c>
      <c r="C53" s="1610"/>
      <c r="D53" s="1610"/>
      <c r="E53" s="1610"/>
      <c r="F53" s="1610"/>
      <c r="G53" s="1610"/>
      <c r="H53" s="1610"/>
      <c r="I53" s="1610"/>
      <c r="J53" s="1610"/>
      <c r="K53" s="1610"/>
      <c r="L53" s="1610"/>
      <c r="M53" s="1610"/>
      <c r="N53" s="1610"/>
      <c r="O53" s="1610"/>
      <c r="P53" s="1610"/>
      <c r="Q53" s="1610"/>
      <c r="R53" s="1610"/>
      <c r="S53" s="1610"/>
      <c r="T53" s="1610"/>
      <c r="U53" s="1610"/>
      <c r="V53" s="1610"/>
      <c r="W53" s="1610"/>
      <c r="X53" s="1610"/>
      <c r="Y53" s="1610"/>
      <c r="Z53" s="1610"/>
      <c r="AA53" s="1610"/>
      <c r="AB53" s="1610"/>
      <c r="AC53" s="1610"/>
      <c r="AD53" s="1610"/>
      <c r="AE53" s="1610"/>
      <c r="AF53" s="1610"/>
      <c r="AG53" s="1610"/>
      <c r="AH53" s="1606" t="s">
        <v>168</v>
      </c>
      <c r="AI53" s="1607"/>
      <c r="AJ53" s="1607"/>
      <c r="AK53" s="1608"/>
      <c r="AL53" s="394"/>
      <c r="AM53" s="385"/>
    </row>
    <row r="54" spans="1:39" ht="15" customHeight="1">
      <c r="A54" s="394"/>
      <c r="B54" s="1609" t="s">
        <v>179</v>
      </c>
      <c r="C54" s="1610"/>
      <c r="D54" s="1610"/>
      <c r="E54" s="1610"/>
      <c r="F54" s="1610"/>
      <c r="G54" s="1610"/>
      <c r="H54" s="1610"/>
      <c r="I54" s="1610"/>
      <c r="J54" s="1610"/>
      <c r="K54" s="1610"/>
      <c r="L54" s="1610"/>
      <c r="M54" s="1610"/>
      <c r="N54" s="1610"/>
      <c r="O54" s="1610"/>
      <c r="P54" s="1610"/>
      <c r="Q54" s="1610"/>
      <c r="R54" s="1610"/>
      <c r="S54" s="1610"/>
      <c r="T54" s="1610"/>
      <c r="U54" s="1610"/>
      <c r="V54" s="1610"/>
      <c r="W54" s="1610"/>
      <c r="X54" s="1610"/>
      <c r="Y54" s="1610"/>
      <c r="Z54" s="1610"/>
      <c r="AA54" s="1610"/>
      <c r="AB54" s="1610"/>
      <c r="AC54" s="1610"/>
      <c r="AD54" s="1610"/>
      <c r="AE54" s="1610"/>
      <c r="AF54" s="1610"/>
      <c r="AG54" s="1610"/>
      <c r="AH54" s="1606" t="s">
        <v>178</v>
      </c>
      <c r="AI54" s="1607"/>
      <c r="AJ54" s="1607"/>
      <c r="AK54" s="1608"/>
      <c r="AL54" s="394"/>
      <c r="AM54" s="385"/>
    </row>
    <row r="55" spans="1:39" ht="15" customHeight="1">
      <c r="A55" s="394"/>
      <c r="B55" s="1609" t="s">
        <v>189</v>
      </c>
      <c r="C55" s="1610"/>
      <c r="D55" s="1610"/>
      <c r="E55" s="1610"/>
      <c r="F55" s="1610"/>
      <c r="G55" s="1610"/>
      <c r="H55" s="1610"/>
      <c r="I55" s="1610"/>
      <c r="J55" s="1610"/>
      <c r="K55" s="1610"/>
      <c r="L55" s="1610"/>
      <c r="M55" s="1610"/>
      <c r="N55" s="1610"/>
      <c r="O55" s="1610"/>
      <c r="P55" s="1610"/>
      <c r="Q55" s="1610"/>
      <c r="R55" s="1610"/>
      <c r="S55" s="1610"/>
      <c r="T55" s="1610"/>
      <c r="U55" s="1610"/>
      <c r="V55" s="1610"/>
      <c r="W55" s="1610"/>
      <c r="X55" s="1610"/>
      <c r="Y55" s="1610"/>
      <c r="Z55" s="1610"/>
      <c r="AA55" s="1610"/>
      <c r="AB55" s="1610"/>
      <c r="AC55" s="1610"/>
      <c r="AD55" s="1610"/>
      <c r="AE55" s="1610"/>
      <c r="AF55" s="1610"/>
      <c r="AG55" s="1610"/>
      <c r="AH55" s="1606" t="s">
        <v>188</v>
      </c>
      <c r="AI55" s="1607"/>
      <c r="AJ55" s="1607"/>
      <c r="AK55" s="1608"/>
      <c r="AL55" s="394"/>
      <c r="AM55" s="385"/>
    </row>
    <row r="56" spans="1:39" ht="4.5" customHeight="1">
      <c r="A56" s="394"/>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95"/>
      <c r="AI56" s="395"/>
      <c r="AJ56" s="395"/>
      <c r="AK56" s="395"/>
      <c r="AL56" s="394"/>
      <c r="AM56" s="385"/>
    </row>
    <row r="57" spans="1:39" ht="15" customHeight="1">
      <c r="A57" s="1604" t="s">
        <v>3227</v>
      </c>
      <c r="B57" s="1604"/>
      <c r="C57" s="1604"/>
      <c r="D57" s="1604"/>
      <c r="E57" s="1604"/>
      <c r="F57" s="1604"/>
      <c r="G57" s="1604"/>
      <c r="H57" s="1604"/>
      <c r="I57" s="1604"/>
      <c r="J57" s="1604"/>
      <c r="K57" s="1604"/>
      <c r="L57" s="1604"/>
      <c r="M57" s="1604"/>
      <c r="N57" s="1604"/>
      <c r="O57" s="1604"/>
      <c r="P57" s="1604"/>
      <c r="Q57" s="1604"/>
      <c r="R57" s="1604"/>
      <c r="S57" s="1604"/>
      <c r="T57" s="1604"/>
      <c r="U57" s="1604"/>
      <c r="V57" s="1604"/>
      <c r="W57" s="1604"/>
      <c r="X57" s="1604"/>
      <c r="Y57" s="1604"/>
      <c r="Z57" s="1604"/>
      <c r="AA57" s="1604"/>
      <c r="AB57" s="1604"/>
      <c r="AC57" s="1604"/>
      <c r="AD57" s="1604"/>
      <c r="AE57" s="1604"/>
      <c r="AF57" s="1604"/>
      <c r="AG57" s="1604"/>
      <c r="AH57" s="1604"/>
      <c r="AI57" s="1604"/>
      <c r="AJ57" s="1604"/>
      <c r="AK57" s="1604"/>
      <c r="AL57" s="1604"/>
      <c r="AM57" s="385"/>
    </row>
    <row r="58" spans="1:39" ht="15" customHeight="1">
      <c r="A58" s="1604"/>
      <c r="B58" s="1604"/>
      <c r="C58" s="1604"/>
      <c r="D58" s="1604"/>
      <c r="E58" s="1604"/>
      <c r="F58" s="1604"/>
      <c r="G58" s="1604"/>
      <c r="H58" s="1604"/>
      <c r="I58" s="1604"/>
      <c r="J58" s="1604"/>
      <c r="K58" s="1604"/>
      <c r="L58" s="1604"/>
      <c r="M58" s="1604"/>
      <c r="N58" s="1604"/>
      <c r="O58" s="1604"/>
      <c r="P58" s="1604"/>
      <c r="Q58" s="1604"/>
      <c r="R58" s="1604"/>
      <c r="S58" s="1604"/>
      <c r="T58" s="1604"/>
      <c r="U58" s="1604"/>
      <c r="V58" s="1604"/>
      <c r="W58" s="1604"/>
      <c r="X58" s="1604"/>
      <c r="Y58" s="1604"/>
      <c r="Z58" s="1604"/>
      <c r="AA58" s="1604"/>
      <c r="AB58" s="1604"/>
      <c r="AC58" s="1604"/>
      <c r="AD58" s="1604"/>
      <c r="AE58" s="1604"/>
      <c r="AF58" s="1604"/>
      <c r="AG58" s="1604"/>
      <c r="AH58" s="1604"/>
      <c r="AI58" s="1604"/>
      <c r="AJ58" s="1604"/>
      <c r="AK58" s="1604"/>
      <c r="AL58" s="1604"/>
      <c r="AM58" s="385"/>
    </row>
    <row r="59" spans="1:39" ht="15" customHeight="1">
      <c r="A59" s="1604"/>
      <c r="B59" s="1604"/>
      <c r="C59" s="1604"/>
      <c r="D59" s="1604"/>
      <c r="E59" s="1604"/>
      <c r="F59" s="1604"/>
      <c r="G59" s="1604"/>
      <c r="H59" s="1604"/>
      <c r="I59" s="1604"/>
      <c r="J59" s="1604"/>
      <c r="K59" s="1604"/>
      <c r="L59" s="1604"/>
      <c r="M59" s="1604"/>
      <c r="N59" s="1604"/>
      <c r="O59" s="1604"/>
      <c r="P59" s="1604"/>
      <c r="Q59" s="1604"/>
      <c r="R59" s="1604"/>
      <c r="S59" s="1604"/>
      <c r="T59" s="1604"/>
      <c r="U59" s="1604"/>
      <c r="V59" s="1604"/>
      <c r="W59" s="1604"/>
      <c r="X59" s="1604"/>
      <c r="Y59" s="1604"/>
      <c r="Z59" s="1604"/>
      <c r="AA59" s="1604"/>
      <c r="AB59" s="1604"/>
      <c r="AC59" s="1604"/>
      <c r="AD59" s="1604"/>
      <c r="AE59" s="1604"/>
      <c r="AF59" s="1604"/>
      <c r="AG59" s="1604"/>
      <c r="AH59" s="1604"/>
      <c r="AI59" s="1604"/>
      <c r="AJ59" s="1604"/>
      <c r="AK59" s="1604"/>
      <c r="AL59" s="1604"/>
      <c r="AM59" s="385"/>
    </row>
    <row r="60" spans="1:39" ht="15" customHeight="1">
      <c r="A60" s="1604"/>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385"/>
    </row>
    <row r="61" spans="1:39" ht="15" customHeight="1">
      <c r="A61" s="1604"/>
      <c r="B61" s="1604"/>
      <c r="C61" s="1604"/>
      <c r="D61" s="1604"/>
      <c r="E61" s="1604"/>
      <c r="F61" s="1604"/>
      <c r="G61" s="1604"/>
      <c r="H61" s="1604"/>
      <c r="I61" s="1604"/>
      <c r="J61" s="1604"/>
      <c r="K61" s="1604"/>
      <c r="L61" s="1604"/>
      <c r="M61" s="1604"/>
      <c r="N61" s="1604"/>
      <c r="O61" s="1604"/>
      <c r="P61" s="1604"/>
      <c r="Q61" s="1604"/>
      <c r="R61" s="1604"/>
      <c r="S61" s="1604"/>
      <c r="T61" s="1604"/>
      <c r="U61" s="1604"/>
      <c r="V61" s="1604"/>
      <c r="W61" s="1604"/>
      <c r="X61" s="1604"/>
      <c r="Y61" s="1604"/>
      <c r="Z61" s="1604"/>
      <c r="AA61" s="1604"/>
      <c r="AB61" s="1604"/>
      <c r="AC61" s="1604"/>
      <c r="AD61" s="1604"/>
      <c r="AE61" s="1604"/>
      <c r="AF61" s="1604"/>
      <c r="AG61" s="1604"/>
      <c r="AH61" s="1604"/>
      <c r="AI61" s="1604"/>
      <c r="AJ61" s="1604"/>
      <c r="AK61" s="1604"/>
      <c r="AL61" s="1604"/>
      <c r="AM61" s="385"/>
    </row>
    <row r="62" spans="1:39" ht="3.9" customHeight="1">
      <c r="A62" s="1604"/>
      <c r="B62" s="1604"/>
      <c r="C62" s="1604"/>
      <c r="D62" s="1604"/>
      <c r="E62" s="1604"/>
      <c r="F62" s="1604"/>
      <c r="G62" s="1604"/>
      <c r="H62" s="1604"/>
      <c r="I62" s="1604"/>
      <c r="J62" s="1604"/>
      <c r="K62" s="1604"/>
      <c r="L62" s="1604"/>
      <c r="M62" s="1604"/>
      <c r="N62" s="1604"/>
      <c r="O62" s="1604"/>
      <c r="P62" s="1604"/>
      <c r="Q62" s="1604"/>
      <c r="R62" s="1604"/>
      <c r="S62" s="1604"/>
      <c r="T62" s="1604"/>
      <c r="U62" s="1604"/>
      <c r="V62" s="1604"/>
      <c r="W62" s="1604"/>
      <c r="X62" s="1604"/>
      <c r="Y62" s="1604"/>
      <c r="Z62" s="1604"/>
      <c r="AA62" s="1604"/>
      <c r="AB62" s="1604"/>
      <c r="AC62" s="1604"/>
      <c r="AD62" s="1604"/>
      <c r="AE62" s="1604"/>
      <c r="AF62" s="1604"/>
      <c r="AG62" s="1604"/>
      <c r="AH62" s="1604"/>
      <c r="AI62" s="1604"/>
      <c r="AJ62" s="1604"/>
      <c r="AK62" s="1604"/>
      <c r="AL62" s="1604"/>
      <c r="AM62" s="385"/>
    </row>
    <row r="63" spans="1:39" ht="15" customHeight="1">
      <c r="A63" s="394"/>
      <c r="B63" s="1616" t="s">
        <v>3225</v>
      </c>
      <c r="C63" s="1617"/>
      <c r="D63" s="1617"/>
      <c r="E63" s="1617"/>
      <c r="F63" s="1617"/>
      <c r="G63" s="1617"/>
      <c r="H63" s="1617"/>
      <c r="I63" s="1617"/>
      <c r="J63" s="1617"/>
      <c r="K63" s="1617"/>
      <c r="L63" s="1617"/>
      <c r="M63" s="1617"/>
      <c r="N63" s="1617"/>
      <c r="O63" s="1617"/>
      <c r="P63" s="1617"/>
      <c r="Q63" s="1617"/>
      <c r="R63" s="1617"/>
      <c r="S63" s="1617"/>
      <c r="T63" s="1617"/>
      <c r="U63" s="1617"/>
      <c r="V63" s="1617"/>
      <c r="W63" s="1617"/>
      <c r="X63" s="1617"/>
      <c r="Y63" s="1617"/>
      <c r="Z63" s="1617"/>
      <c r="AA63" s="1617"/>
      <c r="AB63" s="1617"/>
      <c r="AC63" s="1617"/>
      <c r="AD63" s="1617"/>
      <c r="AE63" s="1617"/>
      <c r="AF63" s="1617"/>
      <c r="AG63" s="1618"/>
      <c r="AH63" s="1616" t="s">
        <v>3209</v>
      </c>
      <c r="AI63" s="1617"/>
      <c r="AJ63" s="1617"/>
      <c r="AK63" s="1618"/>
      <c r="AL63" s="396"/>
      <c r="AM63" s="385"/>
    </row>
    <row r="64" spans="1:39" ht="15" hidden="1" customHeight="1">
      <c r="A64" s="394"/>
      <c r="B64" s="1609" t="s">
        <v>58</v>
      </c>
      <c r="C64" s="1610"/>
      <c r="D64" s="1610"/>
      <c r="E64" s="1610"/>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1"/>
      <c r="AF64" s="397" t="s">
        <v>148</v>
      </c>
      <c r="AG64" s="398"/>
      <c r="AH64" s="399" t="s">
        <v>148</v>
      </c>
      <c r="AI64" s="399"/>
      <c r="AJ64" s="399"/>
      <c r="AK64" s="399"/>
      <c r="AL64" s="400"/>
      <c r="AM64" s="385"/>
    </row>
    <row r="65" spans="1:39" ht="15" hidden="1" customHeight="1">
      <c r="A65" s="394"/>
      <c r="B65" s="1609" t="s">
        <v>158</v>
      </c>
      <c r="C65" s="1610"/>
      <c r="D65" s="1610"/>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1"/>
      <c r="AF65" s="397" t="s">
        <v>157</v>
      </c>
      <c r="AG65" s="398"/>
      <c r="AH65" s="399" t="s">
        <v>157</v>
      </c>
      <c r="AI65" s="399"/>
      <c r="AJ65" s="399"/>
      <c r="AK65" s="399"/>
      <c r="AL65" s="400"/>
      <c r="AM65" s="385"/>
    </row>
    <row r="66" spans="1:39" ht="15" hidden="1" customHeight="1">
      <c r="A66" s="394"/>
      <c r="B66" s="1609" t="s">
        <v>169</v>
      </c>
      <c r="C66" s="1610"/>
      <c r="D66" s="1610"/>
      <c r="E66" s="1610"/>
      <c r="F66" s="1610"/>
      <c r="G66" s="1610"/>
      <c r="H66" s="1610"/>
      <c r="I66" s="1610"/>
      <c r="J66" s="1610"/>
      <c r="K66" s="1610"/>
      <c r="L66" s="1610"/>
      <c r="M66" s="1610"/>
      <c r="N66" s="1610"/>
      <c r="O66" s="1610"/>
      <c r="P66" s="1610"/>
      <c r="Q66" s="1610"/>
      <c r="R66" s="1610"/>
      <c r="S66" s="1610"/>
      <c r="T66" s="1610"/>
      <c r="U66" s="1610"/>
      <c r="V66" s="1610"/>
      <c r="W66" s="1610"/>
      <c r="X66" s="1610"/>
      <c r="Y66" s="1610"/>
      <c r="Z66" s="1610"/>
      <c r="AA66" s="1610"/>
      <c r="AB66" s="1610"/>
      <c r="AC66" s="1610"/>
      <c r="AD66" s="1610"/>
      <c r="AE66" s="1611"/>
      <c r="AF66" s="397" t="s">
        <v>168</v>
      </c>
      <c r="AG66" s="398"/>
      <c r="AH66" s="399" t="s">
        <v>168</v>
      </c>
      <c r="AI66" s="399"/>
      <c r="AJ66" s="399"/>
      <c r="AK66" s="399"/>
      <c r="AL66" s="400"/>
      <c r="AM66" s="385"/>
    </row>
    <row r="67" spans="1:39" ht="15" hidden="1" customHeight="1">
      <c r="A67" s="394"/>
      <c r="B67" s="1609" t="s">
        <v>179</v>
      </c>
      <c r="C67" s="1610"/>
      <c r="D67" s="1610"/>
      <c r="E67" s="1610"/>
      <c r="F67" s="1610"/>
      <c r="G67" s="1610"/>
      <c r="H67" s="1610"/>
      <c r="I67" s="1610"/>
      <c r="J67" s="1610"/>
      <c r="K67" s="1610"/>
      <c r="L67" s="1610"/>
      <c r="M67" s="1610"/>
      <c r="N67" s="1610"/>
      <c r="O67" s="1610"/>
      <c r="P67" s="1610"/>
      <c r="Q67" s="1610"/>
      <c r="R67" s="1610"/>
      <c r="S67" s="1610"/>
      <c r="T67" s="1610"/>
      <c r="U67" s="1610"/>
      <c r="V67" s="1610"/>
      <c r="W67" s="1610"/>
      <c r="X67" s="1610"/>
      <c r="Y67" s="1610"/>
      <c r="Z67" s="1610"/>
      <c r="AA67" s="1610"/>
      <c r="AB67" s="1610"/>
      <c r="AC67" s="1610"/>
      <c r="AD67" s="1610"/>
      <c r="AE67" s="1611"/>
      <c r="AF67" s="397" t="s">
        <v>178</v>
      </c>
      <c r="AG67" s="398"/>
      <c r="AH67" s="399" t="s">
        <v>178</v>
      </c>
      <c r="AI67" s="399"/>
      <c r="AJ67" s="399"/>
      <c r="AK67" s="399"/>
      <c r="AL67" s="400"/>
      <c r="AM67" s="385"/>
    </row>
    <row r="68" spans="1:39" ht="15" hidden="1" customHeight="1">
      <c r="A68" s="394"/>
      <c r="B68" s="1609" t="s">
        <v>189</v>
      </c>
      <c r="C68" s="1610"/>
      <c r="D68" s="1610"/>
      <c r="E68" s="1610"/>
      <c r="F68" s="1610"/>
      <c r="G68" s="1610"/>
      <c r="H68" s="1610"/>
      <c r="I68" s="1610"/>
      <c r="J68" s="1610"/>
      <c r="K68" s="1610"/>
      <c r="L68" s="1610"/>
      <c r="M68" s="1610"/>
      <c r="N68" s="1610"/>
      <c r="O68" s="1610"/>
      <c r="P68" s="1610"/>
      <c r="Q68" s="1610"/>
      <c r="R68" s="1610"/>
      <c r="S68" s="1610"/>
      <c r="T68" s="1610"/>
      <c r="U68" s="1610"/>
      <c r="V68" s="1610"/>
      <c r="W68" s="1610"/>
      <c r="X68" s="1610"/>
      <c r="Y68" s="1610"/>
      <c r="Z68" s="1610"/>
      <c r="AA68" s="1610"/>
      <c r="AB68" s="1610"/>
      <c r="AC68" s="1610"/>
      <c r="AD68" s="1610"/>
      <c r="AE68" s="1611"/>
      <c r="AF68" s="397" t="s">
        <v>188</v>
      </c>
      <c r="AG68" s="398"/>
      <c r="AH68" s="399" t="s">
        <v>188</v>
      </c>
      <c r="AI68" s="399"/>
      <c r="AJ68" s="399"/>
      <c r="AK68" s="399"/>
      <c r="AL68" s="400"/>
      <c r="AM68" s="385"/>
    </row>
    <row r="69" spans="1:39" ht="15" hidden="1" customHeight="1">
      <c r="A69" s="394"/>
      <c r="B69" s="1609" t="s">
        <v>199</v>
      </c>
      <c r="C69" s="1610"/>
      <c r="D69" s="1610"/>
      <c r="E69" s="1610"/>
      <c r="F69" s="1610"/>
      <c r="G69" s="1610"/>
      <c r="H69" s="1610"/>
      <c r="I69" s="1610"/>
      <c r="J69" s="1610"/>
      <c r="K69" s="1610"/>
      <c r="L69" s="1610"/>
      <c r="M69" s="1610"/>
      <c r="N69" s="1610"/>
      <c r="O69" s="1610"/>
      <c r="P69" s="1610"/>
      <c r="Q69" s="1610"/>
      <c r="R69" s="1610"/>
      <c r="S69" s="1610"/>
      <c r="T69" s="1610"/>
      <c r="U69" s="1610"/>
      <c r="V69" s="1610"/>
      <c r="W69" s="1610"/>
      <c r="X69" s="1610"/>
      <c r="Y69" s="1610"/>
      <c r="Z69" s="1610"/>
      <c r="AA69" s="1610"/>
      <c r="AB69" s="1610"/>
      <c r="AC69" s="1610"/>
      <c r="AD69" s="1610"/>
      <c r="AE69" s="1611"/>
      <c r="AF69" s="397" t="s">
        <v>198</v>
      </c>
      <c r="AG69" s="398"/>
      <c r="AH69" s="399" t="s">
        <v>198</v>
      </c>
      <c r="AI69" s="399"/>
      <c r="AJ69" s="399"/>
      <c r="AK69" s="399"/>
      <c r="AL69" s="400"/>
      <c r="AM69" s="385"/>
    </row>
    <row r="70" spans="1:39" ht="15" customHeight="1">
      <c r="A70" s="394"/>
      <c r="B70" s="1605" t="s">
        <v>205</v>
      </c>
      <c r="C70" s="1605"/>
      <c r="D70" s="1605"/>
      <c r="E70" s="1605"/>
      <c r="F70" s="1605"/>
      <c r="G70" s="1605"/>
      <c r="H70" s="1605"/>
      <c r="I70" s="1605"/>
      <c r="J70" s="1605"/>
      <c r="K70" s="1605"/>
      <c r="L70" s="1605"/>
      <c r="M70" s="1605"/>
      <c r="N70" s="1605"/>
      <c r="O70" s="1605"/>
      <c r="P70" s="1605"/>
      <c r="Q70" s="1605"/>
      <c r="R70" s="1605"/>
      <c r="S70" s="1605"/>
      <c r="T70" s="1605"/>
      <c r="U70" s="1605"/>
      <c r="V70" s="1605"/>
      <c r="W70" s="1605"/>
      <c r="X70" s="1605"/>
      <c r="Y70" s="1605"/>
      <c r="Z70" s="1605"/>
      <c r="AA70" s="1605"/>
      <c r="AB70" s="1605"/>
      <c r="AC70" s="1605"/>
      <c r="AD70" s="1605"/>
      <c r="AE70" s="1605"/>
      <c r="AF70" s="1605"/>
      <c r="AG70" s="1605"/>
      <c r="AH70" s="1606" t="s">
        <v>204</v>
      </c>
      <c r="AI70" s="1607"/>
      <c r="AJ70" s="1607"/>
      <c r="AK70" s="1608"/>
      <c r="AL70" s="400"/>
      <c r="AM70" s="385"/>
    </row>
    <row r="71" spans="1:39" ht="15" customHeight="1">
      <c r="A71" s="394"/>
      <c r="B71" s="1609" t="s">
        <v>210</v>
      </c>
      <c r="C71" s="1610"/>
      <c r="D71" s="1610"/>
      <c r="E71" s="1610"/>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1610"/>
      <c r="AB71" s="1610"/>
      <c r="AC71" s="1610"/>
      <c r="AD71" s="1610"/>
      <c r="AE71" s="1610"/>
      <c r="AF71" s="1610"/>
      <c r="AG71" s="1610"/>
      <c r="AH71" s="1606" t="s">
        <v>209</v>
      </c>
      <c r="AI71" s="1607"/>
      <c r="AJ71" s="1607"/>
      <c r="AK71" s="1608"/>
      <c r="AL71" s="400"/>
      <c r="AM71" s="385"/>
    </row>
    <row r="72" spans="1:39" ht="15" customHeight="1">
      <c r="A72" s="394"/>
      <c r="B72" s="1609" t="s">
        <v>3228</v>
      </c>
      <c r="C72" s="1610"/>
      <c r="D72" s="1610"/>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1610"/>
      <c r="AB72" s="1610"/>
      <c r="AC72" s="1610"/>
      <c r="AD72" s="1610"/>
      <c r="AE72" s="1610"/>
      <c r="AF72" s="1610"/>
      <c r="AG72" s="1610"/>
      <c r="AH72" s="1606" t="s">
        <v>3165</v>
      </c>
      <c r="AI72" s="1607"/>
      <c r="AJ72" s="1607"/>
      <c r="AK72" s="1608"/>
      <c r="AL72" s="400"/>
      <c r="AM72" s="385"/>
    </row>
    <row r="73" spans="1:39" ht="15" customHeight="1">
      <c r="A73" s="394"/>
      <c r="B73" s="1609" t="s">
        <v>505</v>
      </c>
      <c r="C73" s="1610"/>
      <c r="D73" s="1610"/>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1610"/>
      <c r="AB73" s="1610"/>
      <c r="AC73" s="1610"/>
      <c r="AD73" s="1610"/>
      <c r="AE73" s="1610"/>
      <c r="AF73" s="1610"/>
      <c r="AG73" s="1610"/>
      <c r="AH73" s="1606" t="s">
        <v>212</v>
      </c>
      <c r="AI73" s="1607"/>
      <c r="AJ73" s="1607"/>
      <c r="AK73" s="1608"/>
      <c r="AL73" s="400"/>
      <c r="AM73" s="385"/>
    </row>
    <row r="74" spans="1:39" ht="15" customHeight="1">
      <c r="A74" s="394"/>
      <c r="B74" s="1609" t="s">
        <v>3169</v>
      </c>
      <c r="C74" s="1610"/>
      <c r="D74" s="1610"/>
      <c r="E74" s="1610"/>
      <c r="F74" s="1610"/>
      <c r="G74" s="1610"/>
      <c r="H74" s="1610"/>
      <c r="I74" s="1610"/>
      <c r="J74" s="1610"/>
      <c r="K74" s="1610"/>
      <c r="L74" s="1610"/>
      <c r="M74" s="1610"/>
      <c r="N74" s="1610"/>
      <c r="O74" s="1610"/>
      <c r="P74" s="1610"/>
      <c r="Q74" s="1610"/>
      <c r="R74" s="1610"/>
      <c r="S74" s="1610"/>
      <c r="T74" s="1610"/>
      <c r="U74" s="1610"/>
      <c r="V74" s="1610"/>
      <c r="W74" s="1610"/>
      <c r="X74" s="1610"/>
      <c r="Y74" s="1610"/>
      <c r="Z74" s="1610"/>
      <c r="AA74" s="1610"/>
      <c r="AB74" s="1610"/>
      <c r="AC74" s="1610"/>
      <c r="AD74" s="1610"/>
      <c r="AE74" s="1610"/>
      <c r="AF74" s="1610"/>
      <c r="AG74" s="1610"/>
      <c r="AH74" s="1606" t="s">
        <v>215</v>
      </c>
      <c r="AI74" s="1607"/>
      <c r="AJ74" s="1607"/>
      <c r="AK74" s="1608"/>
      <c r="AL74" s="400"/>
      <c r="AM74" s="385"/>
    </row>
    <row r="75" spans="1:39" ht="15" customHeight="1">
      <c r="A75" s="394"/>
      <c r="B75" s="1609" t="s">
        <v>219</v>
      </c>
      <c r="C75" s="1610"/>
      <c r="D75" s="1610"/>
      <c r="E75" s="1610"/>
      <c r="F75" s="1610"/>
      <c r="G75" s="1610"/>
      <c r="H75" s="1610"/>
      <c r="I75" s="1610"/>
      <c r="J75" s="1610"/>
      <c r="K75" s="1610"/>
      <c r="L75" s="1610"/>
      <c r="M75" s="1610"/>
      <c r="N75" s="1610"/>
      <c r="O75" s="1610"/>
      <c r="P75" s="1610"/>
      <c r="Q75" s="1610"/>
      <c r="R75" s="1610"/>
      <c r="S75" s="1610"/>
      <c r="T75" s="1610"/>
      <c r="U75" s="1610"/>
      <c r="V75" s="1610"/>
      <c r="W75" s="1610"/>
      <c r="X75" s="1610"/>
      <c r="Y75" s="1610"/>
      <c r="Z75" s="1610"/>
      <c r="AA75" s="1610"/>
      <c r="AB75" s="1610"/>
      <c r="AC75" s="1610"/>
      <c r="AD75" s="1610"/>
      <c r="AE75" s="1610"/>
      <c r="AF75" s="1610"/>
      <c r="AG75" s="1610"/>
      <c r="AH75" s="1606" t="s">
        <v>218</v>
      </c>
      <c r="AI75" s="1607"/>
      <c r="AJ75" s="1607"/>
      <c r="AK75" s="1608"/>
      <c r="AL75" s="400"/>
      <c r="AM75" s="385"/>
    </row>
    <row r="76" spans="1:39" ht="15" customHeight="1">
      <c r="A76" s="394"/>
      <c r="B76" s="1609" t="s">
        <v>222</v>
      </c>
      <c r="C76" s="1610"/>
      <c r="D76" s="1610"/>
      <c r="E76" s="1610"/>
      <c r="F76" s="1610"/>
      <c r="G76" s="1610"/>
      <c r="H76" s="1610"/>
      <c r="I76" s="1610"/>
      <c r="J76" s="1610"/>
      <c r="K76" s="1610"/>
      <c r="L76" s="1610"/>
      <c r="M76" s="1610"/>
      <c r="N76" s="1610"/>
      <c r="O76" s="1610"/>
      <c r="P76" s="1610"/>
      <c r="Q76" s="1610"/>
      <c r="R76" s="1610"/>
      <c r="S76" s="1610"/>
      <c r="T76" s="1610"/>
      <c r="U76" s="1610"/>
      <c r="V76" s="1610"/>
      <c r="W76" s="1610"/>
      <c r="X76" s="1610"/>
      <c r="Y76" s="1610"/>
      <c r="Z76" s="1610"/>
      <c r="AA76" s="1610"/>
      <c r="AB76" s="1610"/>
      <c r="AC76" s="1610"/>
      <c r="AD76" s="1610"/>
      <c r="AE76" s="1610"/>
      <c r="AF76" s="1610"/>
      <c r="AG76" s="1610"/>
      <c r="AH76" s="1606" t="s">
        <v>221</v>
      </c>
      <c r="AI76" s="1607"/>
      <c r="AJ76" s="1607"/>
      <c r="AK76" s="1608"/>
      <c r="AL76" s="400"/>
      <c r="AM76" s="385"/>
    </row>
    <row r="77" spans="1:39" ht="15" customHeight="1">
      <c r="A77" s="394"/>
      <c r="B77" s="1609" t="s">
        <v>225</v>
      </c>
      <c r="C77" s="1610"/>
      <c r="D77" s="1610"/>
      <c r="E77" s="1610"/>
      <c r="F77" s="1610"/>
      <c r="G77" s="1610"/>
      <c r="H77" s="1610"/>
      <c r="I77" s="1610"/>
      <c r="J77" s="1610"/>
      <c r="K77" s="1610"/>
      <c r="L77" s="1610"/>
      <c r="M77" s="1610"/>
      <c r="N77" s="1610"/>
      <c r="O77" s="1610"/>
      <c r="P77" s="1610"/>
      <c r="Q77" s="1610"/>
      <c r="R77" s="1610"/>
      <c r="S77" s="1610"/>
      <c r="T77" s="1610"/>
      <c r="U77" s="1610"/>
      <c r="V77" s="1610"/>
      <c r="W77" s="1610"/>
      <c r="X77" s="1610"/>
      <c r="Y77" s="1610"/>
      <c r="Z77" s="1610"/>
      <c r="AA77" s="1610"/>
      <c r="AB77" s="1610"/>
      <c r="AC77" s="1610"/>
      <c r="AD77" s="1610"/>
      <c r="AE77" s="1610"/>
      <c r="AF77" s="1610"/>
      <c r="AG77" s="1610"/>
      <c r="AH77" s="1606" t="s">
        <v>224</v>
      </c>
      <c r="AI77" s="1607"/>
      <c r="AJ77" s="1607"/>
      <c r="AK77" s="1608"/>
      <c r="AL77" s="400"/>
      <c r="AM77" s="385"/>
    </row>
    <row r="78" spans="1:39" ht="15" customHeight="1">
      <c r="A78" s="394"/>
      <c r="B78" s="1609" t="s">
        <v>3229</v>
      </c>
      <c r="C78" s="1610"/>
      <c r="D78" s="1610"/>
      <c r="E78" s="1610"/>
      <c r="F78" s="1610"/>
      <c r="G78" s="1610"/>
      <c r="H78" s="1610"/>
      <c r="I78" s="1610"/>
      <c r="J78" s="1610"/>
      <c r="K78" s="1610"/>
      <c r="L78" s="1610"/>
      <c r="M78" s="1610"/>
      <c r="N78" s="1610"/>
      <c r="O78" s="1610"/>
      <c r="P78" s="1610"/>
      <c r="Q78" s="1610"/>
      <c r="R78" s="1610"/>
      <c r="S78" s="1610"/>
      <c r="T78" s="1610"/>
      <c r="U78" s="1610"/>
      <c r="V78" s="1610"/>
      <c r="W78" s="1610"/>
      <c r="X78" s="1610"/>
      <c r="Y78" s="1610"/>
      <c r="Z78" s="1610"/>
      <c r="AA78" s="1610"/>
      <c r="AB78" s="1610"/>
      <c r="AC78" s="1610"/>
      <c r="AD78" s="1610"/>
      <c r="AE78" s="1610"/>
      <c r="AF78" s="1610"/>
      <c r="AG78" s="1610"/>
      <c r="AH78" s="1606" t="s">
        <v>3174</v>
      </c>
      <c r="AI78" s="1607"/>
      <c r="AJ78" s="1607"/>
      <c r="AK78" s="1608"/>
      <c r="AL78" s="400"/>
      <c r="AM78" s="385"/>
    </row>
    <row r="79" spans="1:39" ht="15" customHeight="1">
      <c r="A79" s="394"/>
      <c r="B79" s="1609" t="s">
        <v>504</v>
      </c>
      <c r="C79" s="1610"/>
      <c r="D79" s="1610"/>
      <c r="E79" s="1610"/>
      <c r="F79" s="1610"/>
      <c r="G79" s="1610"/>
      <c r="H79" s="1610"/>
      <c r="I79" s="1610"/>
      <c r="J79" s="1610"/>
      <c r="K79" s="1610"/>
      <c r="L79" s="1610"/>
      <c r="M79" s="1610"/>
      <c r="N79" s="1610"/>
      <c r="O79" s="1610"/>
      <c r="P79" s="1610"/>
      <c r="Q79" s="1610"/>
      <c r="R79" s="1610"/>
      <c r="S79" s="1610"/>
      <c r="T79" s="1610"/>
      <c r="U79" s="1610"/>
      <c r="V79" s="1610"/>
      <c r="W79" s="1610"/>
      <c r="X79" s="1610"/>
      <c r="Y79" s="1610"/>
      <c r="Z79" s="1610"/>
      <c r="AA79" s="1610"/>
      <c r="AB79" s="1610"/>
      <c r="AC79" s="1610"/>
      <c r="AD79" s="1610"/>
      <c r="AE79" s="1610"/>
      <c r="AF79" s="1610"/>
      <c r="AG79" s="1610"/>
      <c r="AH79" s="1606" t="s">
        <v>227</v>
      </c>
      <c r="AI79" s="1607"/>
      <c r="AJ79" s="1607"/>
      <c r="AK79" s="1608"/>
      <c r="AL79" s="400"/>
      <c r="AM79" s="385"/>
    </row>
    <row r="80" spans="1:39" ht="15" customHeight="1">
      <c r="A80" s="394"/>
      <c r="B80" s="1609" t="s">
        <v>503</v>
      </c>
      <c r="C80" s="1610"/>
      <c r="D80" s="1610"/>
      <c r="E80" s="1610"/>
      <c r="F80" s="1610"/>
      <c r="G80" s="1610"/>
      <c r="H80" s="1610"/>
      <c r="I80" s="1610"/>
      <c r="J80" s="1610"/>
      <c r="K80" s="1610"/>
      <c r="L80" s="1610"/>
      <c r="M80" s="1610"/>
      <c r="N80" s="1610"/>
      <c r="O80" s="1610"/>
      <c r="P80" s="1610"/>
      <c r="Q80" s="1610"/>
      <c r="R80" s="1610"/>
      <c r="S80" s="1610"/>
      <c r="T80" s="1610"/>
      <c r="U80" s="1610"/>
      <c r="V80" s="1610"/>
      <c r="W80" s="1610"/>
      <c r="X80" s="1610"/>
      <c r="Y80" s="1610"/>
      <c r="Z80" s="1610"/>
      <c r="AA80" s="1610"/>
      <c r="AB80" s="1610"/>
      <c r="AC80" s="1610"/>
      <c r="AD80" s="1610"/>
      <c r="AE80" s="1610"/>
      <c r="AF80" s="1610"/>
      <c r="AG80" s="1610"/>
      <c r="AH80" s="1606" t="s">
        <v>230</v>
      </c>
      <c r="AI80" s="1607"/>
      <c r="AJ80" s="1607"/>
      <c r="AK80" s="1608"/>
      <c r="AL80" s="400"/>
      <c r="AM80" s="385"/>
    </row>
    <row r="81" spans="1:39" ht="15" customHeight="1">
      <c r="A81" s="394"/>
      <c r="B81" s="1609" t="s">
        <v>3179</v>
      </c>
      <c r="C81" s="1610"/>
      <c r="D81" s="1610"/>
      <c r="E81" s="1610"/>
      <c r="F81" s="1610"/>
      <c r="G81" s="1610"/>
      <c r="H81" s="1610"/>
      <c r="I81" s="1610"/>
      <c r="J81" s="1610"/>
      <c r="K81" s="1610"/>
      <c r="L81" s="1610"/>
      <c r="M81" s="1610"/>
      <c r="N81" s="1610"/>
      <c r="O81" s="1610"/>
      <c r="P81" s="1610"/>
      <c r="Q81" s="1610"/>
      <c r="R81" s="1610"/>
      <c r="S81" s="1610"/>
      <c r="T81" s="1610"/>
      <c r="U81" s="1610"/>
      <c r="V81" s="1610"/>
      <c r="W81" s="1610"/>
      <c r="X81" s="1610"/>
      <c r="Y81" s="1610"/>
      <c r="Z81" s="1610"/>
      <c r="AA81" s="1610"/>
      <c r="AB81" s="1610"/>
      <c r="AC81" s="1610"/>
      <c r="AD81" s="1610"/>
      <c r="AE81" s="1610"/>
      <c r="AF81" s="1610"/>
      <c r="AG81" s="1610"/>
      <c r="AH81" s="1606" t="s">
        <v>3178</v>
      </c>
      <c r="AI81" s="1607"/>
      <c r="AJ81" s="1607"/>
      <c r="AK81" s="1608"/>
      <c r="AL81" s="400"/>
      <c r="AM81" s="385"/>
    </row>
    <row r="82" spans="1:39" ht="15" customHeight="1">
      <c r="A82" s="394"/>
      <c r="B82" s="1609" t="s">
        <v>234</v>
      </c>
      <c r="C82" s="1610"/>
      <c r="D82" s="1610"/>
      <c r="E82" s="1610"/>
      <c r="F82" s="1610"/>
      <c r="G82" s="1610"/>
      <c r="H82" s="1610"/>
      <c r="I82" s="1610"/>
      <c r="J82" s="1610"/>
      <c r="K82" s="1610"/>
      <c r="L82" s="1610"/>
      <c r="M82" s="1610"/>
      <c r="N82" s="1610"/>
      <c r="O82" s="1610"/>
      <c r="P82" s="1610"/>
      <c r="Q82" s="1610"/>
      <c r="R82" s="1610"/>
      <c r="S82" s="1610"/>
      <c r="T82" s="1610"/>
      <c r="U82" s="1610"/>
      <c r="V82" s="1610"/>
      <c r="W82" s="1610"/>
      <c r="X82" s="1610"/>
      <c r="Y82" s="1610"/>
      <c r="Z82" s="1610"/>
      <c r="AA82" s="1610"/>
      <c r="AB82" s="1610"/>
      <c r="AC82" s="1610"/>
      <c r="AD82" s="1610"/>
      <c r="AE82" s="1610"/>
      <c r="AF82" s="1610"/>
      <c r="AG82" s="1610"/>
      <c r="AH82" s="1606" t="s">
        <v>233</v>
      </c>
      <c r="AI82" s="1607"/>
      <c r="AJ82" s="1607"/>
      <c r="AK82" s="1608"/>
      <c r="AL82" s="400"/>
      <c r="AM82" s="385"/>
    </row>
    <row r="83" spans="1:39" ht="15" customHeight="1">
      <c r="A83" s="394"/>
      <c r="B83" s="1609" t="s">
        <v>3180</v>
      </c>
      <c r="C83" s="1610"/>
      <c r="D83" s="1610"/>
      <c r="E83" s="1610"/>
      <c r="F83" s="1610"/>
      <c r="G83" s="1610"/>
      <c r="H83" s="1610"/>
      <c r="I83" s="1610"/>
      <c r="J83" s="1610"/>
      <c r="K83" s="1610"/>
      <c r="L83" s="1610"/>
      <c r="M83" s="1610"/>
      <c r="N83" s="1610"/>
      <c r="O83" s="1610"/>
      <c r="P83" s="1610"/>
      <c r="Q83" s="1610"/>
      <c r="R83" s="1610"/>
      <c r="S83" s="1610"/>
      <c r="T83" s="1610"/>
      <c r="U83" s="1610"/>
      <c r="V83" s="1610"/>
      <c r="W83" s="1610"/>
      <c r="X83" s="1610"/>
      <c r="Y83" s="1610"/>
      <c r="Z83" s="1610"/>
      <c r="AA83" s="1610"/>
      <c r="AB83" s="1610"/>
      <c r="AC83" s="1610"/>
      <c r="AD83" s="1610"/>
      <c r="AE83" s="1610"/>
      <c r="AF83" s="1610"/>
      <c r="AG83" s="1610"/>
      <c r="AH83" s="1606" t="s">
        <v>236</v>
      </c>
      <c r="AI83" s="1607"/>
      <c r="AJ83" s="1607"/>
      <c r="AK83" s="1608"/>
      <c r="AL83" s="400"/>
      <c r="AM83" s="385"/>
    </row>
    <row r="84" spans="1:39" ht="15" customHeight="1">
      <c r="A84" s="394"/>
      <c r="B84" s="1609" t="s">
        <v>240</v>
      </c>
      <c r="C84" s="1610"/>
      <c r="D84" s="1610"/>
      <c r="E84" s="1610"/>
      <c r="F84" s="1610"/>
      <c r="G84" s="1610"/>
      <c r="H84" s="1610"/>
      <c r="I84" s="1610"/>
      <c r="J84" s="1610"/>
      <c r="K84" s="1610"/>
      <c r="L84" s="1610"/>
      <c r="M84" s="1610"/>
      <c r="N84" s="1610"/>
      <c r="O84" s="1610"/>
      <c r="P84" s="1610"/>
      <c r="Q84" s="1610"/>
      <c r="R84" s="1610"/>
      <c r="S84" s="1610"/>
      <c r="T84" s="1610"/>
      <c r="U84" s="1610"/>
      <c r="V84" s="1610"/>
      <c r="W84" s="1610"/>
      <c r="X84" s="1610"/>
      <c r="Y84" s="1610"/>
      <c r="Z84" s="1610"/>
      <c r="AA84" s="1610"/>
      <c r="AB84" s="1610"/>
      <c r="AC84" s="1610"/>
      <c r="AD84" s="1610"/>
      <c r="AE84" s="1610"/>
      <c r="AF84" s="1610"/>
      <c r="AG84" s="1610"/>
      <c r="AH84" s="1606" t="s">
        <v>239</v>
      </c>
      <c r="AI84" s="1607"/>
      <c r="AJ84" s="1607"/>
      <c r="AK84" s="1608"/>
      <c r="AL84" s="400"/>
      <c r="AM84" s="385"/>
    </row>
    <row r="85" spans="1:39" ht="15" customHeight="1">
      <c r="A85" s="394"/>
      <c r="B85" s="1609" t="s">
        <v>3181</v>
      </c>
      <c r="C85" s="1610"/>
      <c r="D85" s="1610"/>
      <c r="E85" s="1610"/>
      <c r="F85" s="1610"/>
      <c r="G85" s="1610"/>
      <c r="H85" s="1610"/>
      <c r="I85" s="1610"/>
      <c r="J85" s="1610"/>
      <c r="K85" s="1610"/>
      <c r="L85" s="1610"/>
      <c r="M85" s="1610"/>
      <c r="N85" s="1610"/>
      <c r="O85" s="1610"/>
      <c r="P85" s="1610"/>
      <c r="Q85" s="1610"/>
      <c r="R85" s="1610"/>
      <c r="S85" s="1610"/>
      <c r="T85" s="1610"/>
      <c r="U85" s="1610"/>
      <c r="V85" s="1610"/>
      <c r="W85" s="1610"/>
      <c r="X85" s="1610"/>
      <c r="Y85" s="1610"/>
      <c r="Z85" s="1610"/>
      <c r="AA85" s="1610"/>
      <c r="AB85" s="1610"/>
      <c r="AC85" s="1610"/>
      <c r="AD85" s="1610"/>
      <c r="AE85" s="1610"/>
      <c r="AF85" s="1610"/>
      <c r="AG85" s="1610"/>
      <c r="AH85" s="1606" t="s">
        <v>242</v>
      </c>
      <c r="AI85" s="1607"/>
      <c r="AJ85" s="1607"/>
      <c r="AK85" s="1608"/>
      <c r="AL85" s="400"/>
      <c r="AM85" s="385"/>
    </row>
    <row r="86" spans="1:39" ht="15" customHeight="1">
      <c r="A86" s="394"/>
      <c r="B86" s="1609" t="s">
        <v>3183</v>
      </c>
      <c r="C86" s="1610"/>
      <c r="D86" s="1610"/>
      <c r="E86" s="1610"/>
      <c r="F86" s="1610"/>
      <c r="G86" s="1610"/>
      <c r="H86" s="1610"/>
      <c r="I86" s="1610"/>
      <c r="J86" s="1610"/>
      <c r="K86" s="1610"/>
      <c r="L86" s="1610"/>
      <c r="M86" s="1610"/>
      <c r="N86" s="1610"/>
      <c r="O86" s="1610"/>
      <c r="P86" s="1610"/>
      <c r="Q86" s="1610"/>
      <c r="R86" s="1610"/>
      <c r="S86" s="1610"/>
      <c r="T86" s="1610"/>
      <c r="U86" s="1610"/>
      <c r="V86" s="1610"/>
      <c r="W86" s="1610"/>
      <c r="X86" s="1610"/>
      <c r="Y86" s="1610"/>
      <c r="Z86" s="1610"/>
      <c r="AA86" s="1610"/>
      <c r="AB86" s="1610"/>
      <c r="AC86" s="1610"/>
      <c r="AD86" s="1610"/>
      <c r="AE86" s="1610"/>
      <c r="AF86" s="1610"/>
      <c r="AG86" s="1610"/>
      <c r="AH86" s="1606" t="s">
        <v>3182</v>
      </c>
      <c r="AI86" s="1607"/>
      <c r="AJ86" s="1607"/>
      <c r="AK86" s="1608"/>
      <c r="AL86" s="400"/>
      <c r="AM86" s="385"/>
    </row>
    <row r="87" spans="1:39" ht="27.6" customHeight="1">
      <c r="A87" s="394"/>
      <c r="B87" s="1609" t="s">
        <v>3184</v>
      </c>
      <c r="C87" s="1610"/>
      <c r="D87" s="1610"/>
      <c r="E87" s="1610"/>
      <c r="F87" s="1610"/>
      <c r="G87" s="1610"/>
      <c r="H87" s="1610"/>
      <c r="I87" s="1610"/>
      <c r="J87" s="1610"/>
      <c r="K87" s="1610"/>
      <c r="L87" s="1610"/>
      <c r="M87" s="1610"/>
      <c r="N87" s="1610"/>
      <c r="O87" s="1610"/>
      <c r="P87" s="1610"/>
      <c r="Q87" s="1610"/>
      <c r="R87" s="1610"/>
      <c r="S87" s="1610"/>
      <c r="T87" s="1610"/>
      <c r="U87" s="1610"/>
      <c r="V87" s="1610"/>
      <c r="W87" s="1610"/>
      <c r="X87" s="1610"/>
      <c r="Y87" s="1610"/>
      <c r="Z87" s="1610"/>
      <c r="AA87" s="1610"/>
      <c r="AB87" s="1610"/>
      <c r="AC87" s="1610"/>
      <c r="AD87" s="1610"/>
      <c r="AE87" s="1610"/>
      <c r="AF87" s="1610"/>
      <c r="AG87" s="1610"/>
      <c r="AH87" s="1612" t="s">
        <v>245</v>
      </c>
      <c r="AI87" s="1613"/>
      <c r="AJ87" s="1613"/>
      <c r="AK87" s="1614"/>
      <c r="AL87" s="401"/>
      <c r="AM87" s="385"/>
    </row>
    <row r="88" spans="1:39" ht="15" customHeight="1">
      <c r="A88" s="394"/>
      <c r="B88" s="1609" t="s">
        <v>3185</v>
      </c>
      <c r="C88" s="1610"/>
      <c r="D88" s="1610"/>
      <c r="E88" s="1610"/>
      <c r="F88" s="1610"/>
      <c r="G88" s="1610"/>
      <c r="H88" s="1610"/>
      <c r="I88" s="1610"/>
      <c r="J88" s="1610"/>
      <c r="K88" s="1610"/>
      <c r="L88" s="1610"/>
      <c r="M88" s="1610"/>
      <c r="N88" s="1610"/>
      <c r="O88" s="1610"/>
      <c r="P88" s="1610"/>
      <c r="Q88" s="1610"/>
      <c r="R88" s="1610"/>
      <c r="S88" s="1610"/>
      <c r="T88" s="1610"/>
      <c r="U88" s="1610"/>
      <c r="V88" s="1610"/>
      <c r="W88" s="1610"/>
      <c r="X88" s="1610"/>
      <c r="Y88" s="1610"/>
      <c r="Z88" s="1610"/>
      <c r="AA88" s="1610"/>
      <c r="AB88" s="1610"/>
      <c r="AC88" s="1610"/>
      <c r="AD88" s="1610"/>
      <c r="AE88" s="1610"/>
      <c r="AF88" s="1610"/>
      <c r="AG88" s="1610"/>
      <c r="AH88" s="1612" t="s">
        <v>248</v>
      </c>
      <c r="AI88" s="1613"/>
      <c r="AJ88" s="1613"/>
      <c r="AK88" s="1614"/>
      <c r="AL88" s="401"/>
      <c r="AM88" s="385"/>
    </row>
    <row r="89" spans="1:39" ht="15" customHeight="1">
      <c r="A89" s="394"/>
      <c r="B89" s="1609" t="s">
        <v>252</v>
      </c>
      <c r="C89" s="1610"/>
      <c r="D89" s="1610"/>
      <c r="E89" s="1610"/>
      <c r="F89" s="1610"/>
      <c r="G89" s="1610"/>
      <c r="H89" s="1610"/>
      <c r="I89" s="1610"/>
      <c r="J89" s="1610"/>
      <c r="K89" s="1610"/>
      <c r="L89" s="1610"/>
      <c r="M89" s="1610"/>
      <c r="N89" s="1610"/>
      <c r="O89" s="1610"/>
      <c r="P89" s="1610"/>
      <c r="Q89" s="1610"/>
      <c r="R89" s="1610"/>
      <c r="S89" s="1610"/>
      <c r="T89" s="1610"/>
      <c r="U89" s="1610"/>
      <c r="V89" s="1610"/>
      <c r="W89" s="1610"/>
      <c r="X89" s="1610"/>
      <c r="Y89" s="1610"/>
      <c r="Z89" s="1610"/>
      <c r="AA89" s="1610"/>
      <c r="AB89" s="1610"/>
      <c r="AC89" s="1610"/>
      <c r="AD89" s="1610"/>
      <c r="AE89" s="1610"/>
      <c r="AF89" s="1610"/>
      <c r="AG89" s="1610"/>
      <c r="AH89" s="1606" t="s">
        <v>251</v>
      </c>
      <c r="AI89" s="1607"/>
      <c r="AJ89" s="1607"/>
      <c r="AK89" s="1608"/>
      <c r="AL89" s="400"/>
      <c r="AM89" s="385"/>
    </row>
    <row r="90" spans="1:39" ht="15" customHeight="1">
      <c r="A90" s="394"/>
      <c r="B90" s="1609" t="s">
        <v>255</v>
      </c>
      <c r="C90" s="1610"/>
      <c r="D90" s="1610"/>
      <c r="E90" s="1610"/>
      <c r="F90" s="1610"/>
      <c r="G90" s="1610"/>
      <c r="H90" s="1610"/>
      <c r="I90" s="1610"/>
      <c r="J90" s="1610"/>
      <c r="K90" s="1610"/>
      <c r="L90" s="1610"/>
      <c r="M90" s="1610"/>
      <c r="N90" s="1610"/>
      <c r="O90" s="1610"/>
      <c r="P90" s="1610"/>
      <c r="Q90" s="1610"/>
      <c r="R90" s="1610"/>
      <c r="S90" s="1610"/>
      <c r="T90" s="1610"/>
      <c r="U90" s="1610"/>
      <c r="V90" s="1610"/>
      <c r="W90" s="1610"/>
      <c r="X90" s="1610"/>
      <c r="Y90" s="1610"/>
      <c r="Z90" s="1610"/>
      <c r="AA90" s="1610"/>
      <c r="AB90" s="1610"/>
      <c r="AC90" s="1610"/>
      <c r="AD90" s="1610"/>
      <c r="AE90" s="1610"/>
      <c r="AF90" s="1610"/>
      <c r="AG90" s="1610"/>
      <c r="AH90" s="1606" t="s">
        <v>254</v>
      </c>
      <c r="AI90" s="1607"/>
      <c r="AJ90" s="1607"/>
      <c r="AK90" s="1608"/>
      <c r="AL90" s="400"/>
      <c r="AM90" s="385"/>
    </row>
    <row r="91" spans="1:39" ht="15" customHeight="1">
      <c r="A91" s="394"/>
      <c r="B91" s="1609" t="s">
        <v>258</v>
      </c>
      <c r="C91" s="1610"/>
      <c r="D91" s="1610"/>
      <c r="E91" s="1610"/>
      <c r="F91" s="1610"/>
      <c r="G91" s="1610"/>
      <c r="H91" s="1610"/>
      <c r="I91" s="1610"/>
      <c r="J91" s="1610"/>
      <c r="K91" s="1610"/>
      <c r="L91" s="1610"/>
      <c r="M91" s="1610"/>
      <c r="N91" s="1610"/>
      <c r="O91" s="1610"/>
      <c r="P91" s="1610"/>
      <c r="Q91" s="1610"/>
      <c r="R91" s="1610"/>
      <c r="S91" s="1610"/>
      <c r="T91" s="1610"/>
      <c r="U91" s="1610"/>
      <c r="V91" s="1610"/>
      <c r="W91" s="1610"/>
      <c r="X91" s="1610"/>
      <c r="Y91" s="1610"/>
      <c r="Z91" s="1610"/>
      <c r="AA91" s="1610"/>
      <c r="AB91" s="1610"/>
      <c r="AC91" s="1610"/>
      <c r="AD91" s="1610"/>
      <c r="AE91" s="1610"/>
      <c r="AF91" s="1610"/>
      <c r="AG91" s="1610"/>
      <c r="AH91" s="1606" t="s">
        <v>257</v>
      </c>
      <c r="AI91" s="1607"/>
      <c r="AJ91" s="1607"/>
      <c r="AK91" s="1608"/>
      <c r="AL91" s="400"/>
      <c r="AM91" s="385"/>
    </row>
    <row r="92" spans="1:39" ht="15" customHeight="1">
      <c r="A92" s="394"/>
      <c r="B92" s="1609" t="s">
        <v>261</v>
      </c>
      <c r="C92" s="1610"/>
      <c r="D92" s="1610"/>
      <c r="E92" s="1610"/>
      <c r="F92" s="1610"/>
      <c r="G92" s="1610"/>
      <c r="H92" s="1610"/>
      <c r="I92" s="1610"/>
      <c r="J92" s="1610"/>
      <c r="K92" s="1610"/>
      <c r="L92" s="1610"/>
      <c r="M92" s="1610"/>
      <c r="N92" s="1610"/>
      <c r="O92" s="1610"/>
      <c r="P92" s="1610"/>
      <c r="Q92" s="1610"/>
      <c r="R92" s="1610"/>
      <c r="S92" s="1610"/>
      <c r="T92" s="1610"/>
      <c r="U92" s="1610"/>
      <c r="V92" s="1610"/>
      <c r="W92" s="1610"/>
      <c r="X92" s="1610"/>
      <c r="Y92" s="1610"/>
      <c r="Z92" s="1610"/>
      <c r="AA92" s="1610"/>
      <c r="AB92" s="1610"/>
      <c r="AC92" s="1610"/>
      <c r="AD92" s="1610"/>
      <c r="AE92" s="1610"/>
      <c r="AF92" s="1610"/>
      <c r="AG92" s="1611"/>
      <c r="AH92" s="1606" t="s">
        <v>260</v>
      </c>
      <c r="AI92" s="1607"/>
      <c r="AJ92" s="1607"/>
      <c r="AK92" s="1608"/>
      <c r="AL92" s="400"/>
      <c r="AM92" s="385"/>
    </row>
    <row r="93" spans="1:39" ht="15" customHeight="1">
      <c r="A93" s="394"/>
      <c r="B93" s="1609" t="s">
        <v>264</v>
      </c>
      <c r="C93" s="1610"/>
      <c r="D93" s="1610"/>
      <c r="E93" s="1610"/>
      <c r="F93" s="1610"/>
      <c r="G93" s="1610"/>
      <c r="H93" s="1610"/>
      <c r="I93" s="1610"/>
      <c r="J93" s="1610"/>
      <c r="K93" s="1610"/>
      <c r="L93" s="1610"/>
      <c r="M93" s="1610"/>
      <c r="N93" s="1610"/>
      <c r="O93" s="1610"/>
      <c r="P93" s="1610"/>
      <c r="Q93" s="1610"/>
      <c r="R93" s="1610"/>
      <c r="S93" s="1610"/>
      <c r="T93" s="1610"/>
      <c r="U93" s="1610"/>
      <c r="V93" s="1610"/>
      <c r="W93" s="1610"/>
      <c r="X93" s="1610"/>
      <c r="Y93" s="1610"/>
      <c r="Z93" s="1610"/>
      <c r="AA93" s="1610"/>
      <c r="AB93" s="1610"/>
      <c r="AC93" s="1610"/>
      <c r="AD93" s="1610"/>
      <c r="AE93" s="1610"/>
      <c r="AF93" s="1610"/>
      <c r="AG93" s="1611"/>
      <c r="AH93" s="1606" t="s">
        <v>263</v>
      </c>
      <c r="AI93" s="1607"/>
      <c r="AJ93" s="1607"/>
      <c r="AK93" s="1608"/>
      <c r="AL93" s="400"/>
      <c r="AM93" s="385"/>
    </row>
    <row r="94" spans="1:39" ht="15" customHeight="1">
      <c r="A94" s="394"/>
      <c r="B94" s="1609" t="s">
        <v>267</v>
      </c>
      <c r="C94" s="1610"/>
      <c r="D94" s="1610"/>
      <c r="E94" s="1610"/>
      <c r="F94" s="1610"/>
      <c r="G94" s="1610"/>
      <c r="H94" s="1610"/>
      <c r="I94" s="1610"/>
      <c r="J94" s="1610"/>
      <c r="K94" s="1610"/>
      <c r="L94" s="1610"/>
      <c r="M94" s="1610"/>
      <c r="N94" s="1610"/>
      <c r="O94" s="1610"/>
      <c r="P94" s="1610"/>
      <c r="Q94" s="1610"/>
      <c r="R94" s="1610"/>
      <c r="S94" s="1610"/>
      <c r="T94" s="1610"/>
      <c r="U94" s="1610"/>
      <c r="V94" s="1610"/>
      <c r="W94" s="1610"/>
      <c r="X94" s="1610"/>
      <c r="Y94" s="1610"/>
      <c r="Z94" s="1610"/>
      <c r="AA94" s="1610"/>
      <c r="AB94" s="1610"/>
      <c r="AC94" s="1610"/>
      <c r="AD94" s="1610"/>
      <c r="AE94" s="1610"/>
      <c r="AF94" s="1610"/>
      <c r="AG94" s="1611"/>
      <c r="AH94" s="1606" t="s">
        <v>266</v>
      </c>
      <c r="AI94" s="1607"/>
      <c r="AJ94" s="1607"/>
      <c r="AK94" s="1608"/>
      <c r="AL94" s="400"/>
      <c r="AM94" s="385"/>
    </row>
    <row r="95" spans="1:39" ht="15" customHeight="1">
      <c r="A95" s="394"/>
      <c r="B95" s="1609" t="s">
        <v>3186</v>
      </c>
      <c r="C95" s="1610"/>
      <c r="D95" s="1610"/>
      <c r="E95" s="1610"/>
      <c r="F95" s="1610"/>
      <c r="G95" s="1610"/>
      <c r="H95" s="1610"/>
      <c r="I95" s="1610"/>
      <c r="J95" s="1610"/>
      <c r="K95" s="1610"/>
      <c r="L95" s="1610"/>
      <c r="M95" s="1610"/>
      <c r="N95" s="1610"/>
      <c r="O95" s="1610"/>
      <c r="P95" s="1610"/>
      <c r="Q95" s="1610"/>
      <c r="R95" s="1610"/>
      <c r="S95" s="1610"/>
      <c r="T95" s="1610"/>
      <c r="U95" s="1610"/>
      <c r="V95" s="1610"/>
      <c r="W95" s="1610"/>
      <c r="X95" s="1610"/>
      <c r="Y95" s="1610"/>
      <c r="Z95" s="1610"/>
      <c r="AA95" s="1610"/>
      <c r="AB95" s="1610"/>
      <c r="AC95" s="1610"/>
      <c r="AD95" s="1610"/>
      <c r="AE95" s="1610"/>
      <c r="AF95" s="1610"/>
      <c r="AG95" s="1611"/>
      <c r="AH95" s="1612" t="s">
        <v>269</v>
      </c>
      <c r="AI95" s="1613"/>
      <c r="AJ95" s="1613"/>
      <c r="AK95" s="1614"/>
      <c r="AL95" s="401"/>
      <c r="AM95" s="385"/>
    </row>
    <row r="96" spans="1:39" ht="15" customHeight="1">
      <c r="A96" s="394"/>
      <c r="B96" s="1609" t="s">
        <v>273</v>
      </c>
      <c r="C96" s="1610"/>
      <c r="D96" s="1610"/>
      <c r="E96" s="1610"/>
      <c r="F96" s="1610"/>
      <c r="G96" s="1610"/>
      <c r="H96" s="1610"/>
      <c r="I96" s="1610"/>
      <c r="J96" s="1610"/>
      <c r="K96" s="1610"/>
      <c r="L96" s="1610"/>
      <c r="M96" s="1610"/>
      <c r="N96" s="1610"/>
      <c r="O96" s="1610"/>
      <c r="P96" s="1610"/>
      <c r="Q96" s="1610"/>
      <c r="R96" s="1610"/>
      <c r="S96" s="1610"/>
      <c r="T96" s="1610"/>
      <c r="U96" s="1610"/>
      <c r="V96" s="1610"/>
      <c r="W96" s="1610"/>
      <c r="X96" s="1610"/>
      <c r="Y96" s="1610"/>
      <c r="Z96" s="1610"/>
      <c r="AA96" s="1610"/>
      <c r="AB96" s="1610"/>
      <c r="AC96" s="1610"/>
      <c r="AD96" s="1610"/>
      <c r="AE96" s="1610"/>
      <c r="AF96" s="1610"/>
      <c r="AG96" s="1611"/>
      <c r="AH96" s="1612" t="s">
        <v>272</v>
      </c>
      <c r="AI96" s="1613"/>
      <c r="AJ96" s="1613"/>
      <c r="AK96" s="1614"/>
      <c r="AL96" s="401"/>
      <c r="AM96" s="385"/>
    </row>
    <row r="97" spans="1:39" ht="15" customHeight="1">
      <c r="A97" s="394"/>
      <c r="B97" s="1609" t="s">
        <v>499</v>
      </c>
      <c r="C97" s="1610"/>
      <c r="D97" s="1610"/>
      <c r="E97" s="1610"/>
      <c r="F97" s="1610"/>
      <c r="G97" s="1610"/>
      <c r="H97" s="1610"/>
      <c r="I97" s="1610"/>
      <c r="J97" s="1610"/>
      <c r="K97" s="1610"/>
      <c r="L97" s="1610"/>
      <c r="M97" s="1610"/>
      <c r="N97" s="1610"/>
      <c r="O97" s="1610"/>
      <c r="P97" s="1610"/>
      <c r="Q97" s="1610"/>
      <c r="R97" s="1610"/>
      <c r="S97" s="1610"/>
      <c r="T97" s="1610"/>
      <c r="U97" s="1610"/>
      <c r="V97" s="1610"/>
      <c r="W97" s="1610"/>
      <c r="X97" s="1610"/>
      <c r="Y97" s="1610"/>
      <c r="Z97" s="1610"/>
      <c r="AA97" s="1610"/>
      <c r="AB97" s="1610"/>
      <c r="AC97" s="1610"/>
      <c r="AD97" s="1610"/>
      <c r="AE97" s="1610"/>
      <c r="AF97" s="1610"/>
      <c r="AG97" s="1611"/>
      <c r="AH97" s="1612" t="s">
        <v>275</v>
      </c>
      <c r="AI97" s="1613"/>
      <c r="AJ97" s="1613"/>
      <c r="AK97" s="1614"/>
      <c r="AL97" s="401"/>
      <c r="AM97" s="385"/>
    </row>
    <row r="98" spans="1:39" ht="15" customHeight="1">
      <c r="A98" s="394"/>
      <c r="B98" s="1609" t="s">
        <v>3187</v>
      </c>
      <c r="C98" s="1610"/>
      <c r="D98" s="1610"/>
      <c r="E98" s="1610"/>
      <c r="F98" s="1610"/>
      <c r="G98" s="1610"/>
      <c r="H98" s="1610"/>
      <c r="I98" s="1610"/>
      <c r="J98" s="1610"/>
      <c r="K98" s="1610"/>
      <c r="L98" s="1610"/>
      <c r="M98" s="1610"/>
      <c r="N98" s="1610"/>
      <c r="O98" s="1610"/>
      <c r="P98" s="1610"/>
      <c r="Q98" s="1610"/>
      <c r="R98" s="1610"/>
      <c r="S98" s="1610"/>
      <c r="T98" s="1610"/>
      <c r="U98" s="1610"/>
      <c r="V98" s="1610"/>
      <c r="W98" s="1610"/>
      <c r="X98" s="1610"/>
      <c r="Y98" s="1610"/>
      <c r="Z98" s="1610"/>
      <c r="AA98" s="1610"/>
      <c r="AB98" s="1610"/>
      <c r="AC98" s="1610"/>
      <c r="AD98" s="1610"/>
      <c r="AE98" s="1610"/>
      <c r="AF98" s="1610"/>
      <c r="AG98" s="1611"/>
      <c r="AH98" s="1612" t="s">
        <v>278</v>
      </c>
      <c r="AI98" s="1613"/>
      <c r="AJ98" s="1613"/>
      <c r="AK98" s="1614"/>
      <c r="AL98" s="401"/>
      <c r="AM98" s="385"/>
    </row>
    <row r="99" spans="1:39" ht="15" customHeight="1">
      <c r="A99" s="394"/>
      <c r="B99" s="1609" t="s">
        <v>282</v>
      </c>
      <c r="C99" s="1610"/>
      <c r="D99" s="1610"/>
      <c r="E99" s="1610"/>
      <c r="F99" s="1610"/>
      <c r="G99" s="1610"/>
      <c r="H99" s="1610"/>
      <c r="I99" s="1610"/>
      <c r="J99" s="1610"/>
      <c r="K99" s="1610"/>
      <c r="L99" s="1610"/>
      <c r="M99" s="1610"/>
      <c r="N99" s="1610"/>
      <c r="O99" s="1610"/>
      <c r="P99" s="1610"/>
      <c r="Q99" s="1610"/>
      <c r="R99" s="1610"/>
      <c r="S99" s="1610"/>
      <c r="T99" s="1610"/>
      <c r="U99" s="1610"/>
      <c r="V99" s="1610"/>
      <c r="W99" s="1610"/>
      <c r="X99" s="1610"/>
      <c r="Y99" s="1610"/>
      <c r="Z99" s="1610"/>
      <c r="AA99" s="1610"/>
      <c r="AB99" s="1610"/>
      <c r="AC99" s="1610"/>
      <c r="AD99" s="1610"/>
      <c r="AE99" s="1610"/>
      <c r="AF99" s="1610"/>
      <c r="AG99" s="1611"/>
      <c r="AH99" s="1612" t="s">
        <v>281</v>
      </c>
      <c r="AI99" s="1613"/>
      <c r="AJ99" s="1613"/>
      <c r="AK99" s="1614"/>
      <c r="AL99" s="401"/>
      <c r="AM99" s="385"/>
    </row>
    <row r="100" spans="1:39" ht="15" customHeight="1">
      <c r="A100" s="394"/>
      <c r="B100" s="1609" t="s">
        <v>285</v>
      </c>
      <c r="C100" s="1610"/>
      <c r="D100" s="1610"/>
      <c r="E100" s="1610"/>
      <c r="F100" s="1610"/>
      <c r="G100" s="1610"/>
      <c r="H100" s="1610"/>
      <c r="I100" s="1610"/>
      <c r="J100" s="1610"/>
      <c r="K100" s="1610"/>
      <c r="L100" s="1610"/>
      <c r="M100" s="1610"/>
      <c r="N100" s="1610"/>
      <c r="O100" s="1610"/>
      <c r="P100" s="1610"/>
      <c r="Q100" s="1610"/>
      <c r="R100" s="1610"/>
      <c r="S100" s="1610"/>
      <c r="T100" s="1610"/>
      <c r="U100" s="1610"/>
      <c r="V100" s="1610"/>
      <c r="W100" s="1610"/>
      <c r="X100" s="1610"/>
      <c r="Y100" s="1610"/>
      <c r="Z100" s="1610"/>
      <c r="AA100" s="1610"/>
      <c r="AB100" s="1610"/>
      <c r="AC100" s="1610"/>
      <c r="AD100" s="1610"/>
      <c r="AE100" s="1610"/>
      <c r="AF100" s="1610"/>
      <c r="AG100" s="1611"/>
      <c r="AH100" s="1612" t="s">
        <v>284</v>
      </c>
      <c r="AI100" s="1613"/>
      <c r="AJ100" s="1613"/>
      <c r="AK100" s="1614"/>
      <c r="AL100" s="401"/>
      <c r="AM100" s="385"/>
    </row>
    <row r="101" spans="1:39" ht="15" customHeight="1">
      <c r="A101" s="394"/>
      <c r="B101" s="1609" t="s">
        <v>288</v>
      </c>
      <c r="C101" s="1610"/>
      <c r="D101" s="1610"/>
      <c r="E101" s="1610"/>
      <c r="F101" s="1610"/>
      <c r="G101" s="1610"/>
      <c r="H101" s="1610"/>
      <c r="I101" s="1610"/>
      <c r="J101" s="1610"/>
      <c r="K101" s="1610"/>
      <c r="L101" s="1610"/>
      <c r="M101" s="1610"/>
      <c r="N101" s="1610"/>
      <c r="O101" s="1610"/>
      <c r="P101" s="1610"/>
      <c r="Q101" s="1610"/>
      <c r="R101" s="1610"/>
      <c r="S101" s="1610"/>
      <c r="T101" s="1610"/>
      <c r="U101" s="1610"/>
      <c r="V101" s="1610"/>
      <c r="W101" s="1610"/>
      <c r="X101" s="1610"/>
      <c r="Y101" s="1610"/>
      <c r="Z101" s="1610"/>
      <c r="AA101" s="1610"/>
      <c r="AB101" s="1610"/>
      <c r="AC101" s="1610"/>
      <c r="AD101" s="1610"/>
      <c r="AE101" s="1610"/>
      <c r="AF101" s="1610"/>
      <c r="AG101" s="1611"/>
      <c r="AH101" s="1612" t="s">
        <v>287</v>
      </c>
      <c r="AI101" s="1613"/>
      <c r="AJ101" s="1613"/>
      <c r="AK101" s="1614"/>
      <c r="AL101" s="401"/>
      <c r="AM101" s="385"/>
    </row>
    <row r="102" spans="1:39" ht="15" customHeight="1">
      <c r="A102" s="394"/>
      <c r="B102" s="1609" t="s">
        <v>291</v>
      </c>
      <c r="C102" s="1610"/>
      <c r="D102" s="1610"/>
      <c r="E102" s="1610"/>
      <c r="F102" s="1610"/>
      <c r="G102" s="1610"/>
      <c r="H102" s="1610"/>
      <c r="I102" s="1610"/>
      <c r="J102" s="1610"/>
      <c r="K102" s="1610"/>
      <c r="L102" s="1610"/>
      <c r="M102" s="1610"/>
      <c r="N102" s="1610"/>
      <c r="O102" s="1610"/>
      <c r="P102" s="1610"/>
      <c r="Q102" s="1610"/>
      <c r="R102" s="1610"/>
      <c r="S102" s="1610"/>
      <c r="T102" s="1610"/>
      <c r="U102" s="1610"/>
      <c r="V102" s="1610"/>
      <c r="W102" s="1610"/>
      <c r="X102" s="1610"/>
      <c r="Y102" s="1610"/>
      <c r="Z102" s="1610"/>
      <c r="AA102" s="1610"/>
      <c r="AB102" s="1610"/>
      <c r="AC102" s="1610"/>
      <c r="AD102" s="1610"/>
      <c r="AE102" s="1610"/>
      <c r="AF102" s="1610"/>
      <c r="AG102" s="1611"/>
      <c r="AH102" s="1612" t="s">
        <v>290</v>
      </c>
      <c r="AI102" s="1613"/>
      <c r="AJ102" s="1613"/>
      <c r="AK102" s="1614"/>
      <c r="AL102" s="401"/>
      <c r="AM102" s="385"/>
    </row>
    <row r="103" spans="1:39" ht="15" customHeight="1">
      <c r="A103" s="394"/>
      <c r="B103" s="1609" t="s">
        <v>294</v>
      </c>
      <c r="C103" s="1610"/>
      <c r="D103" s="1610"/>
      <c r="E103" s="1610"/>
      <c r="F103" s="1610"/>
      <c r="G103" s="1610"/>
      <c r="H103" s="1610"/>
      <c r="I103" s="1610"/>
      <c r="J103" s="1610"/>
      <c r="K103" s="1610"/>
      <c r="L103" s="1610"/>
      <c r="M103" s="1610"/>
      <c r="N103" s="1610"/>
      <c r="O103" s="1610"/>
      <c r="P103" s="1610"/>
      <c r="Q103" s="1610"/>
      <c r="R103" s="1610"/>
      <c r="S103" s="1610"/>
      <c r="T103" s="1610"/>
      <c r="U103" s="1610"/>
      <c r="V103" s="1610"/>
      <c r="W103" s="1610"/>
      <c r="X103" s="1610"/>
      <c r="Y103" s="1610"/>
      <c r="Z103" s="1610"/>
      <c r="AA103" s="1610"/>
      <c r="AB103" s="1610"/>
      <c r="AC103" s="1610"/>
      <c r="AD103" s="1610"/>
      <c r="AE103" s="1610"/>
      <c r="AF103" s="1610"/>
      <c r="AG103" s="1611"/>
      <c r="AH103" s="1612" t="s">
        <v>293</v>
      </c>
      <c r="AI103" s="1613"/>
      <c r="AJ103" s="1613"/>
      <c r="AK103" s="1614"/>
      <c r="AL103" s="401"/>
      <c r="AM103" s="385"/>
    </row>
    <row r="104" spans="1:39" ht="15" customHeight="1">
      <c r="A104" s="394"/>
      <c r="B104" s="1609" t="s">
        <v>297</v>
      </c>
      <c r="C104" s="1610"/>
      <c r="D104" s="1610"/>
      <c r="E104" s="1610"/>
      <c r="F104" s="1610"/>
      <c r="G104" s="1610"/>
      <c r="H104" s="1610"/>
      <c r="I104" s="1610"/>
      <c r="J104" s="1610"/>
      <c r="K104" s="1610"/>
      <c r="L104" s="1610"/>
      <c r="M104" s="1610"/>
      <c r="N104" s="1610"/>
      <c r="O104" s="1610"/>
      <c r="P104" s="1610"/>
      <c r="Q104" s="1610"/>
      <c r="R104" s="1610"/>
      <c r="S104" s="1610"/>
      <c r="T104" s="1610"/>
      <c r="U104" s="1610"/>
      <c r="V104" s="1610"/>
      <c r="W104" s="1610"/>
      <c r="X104" s="1610"/>
      <c r="Y104" s="1610"/>
      <c r="Z104" s="1610"/>
      <c r="AA104" s="1610"/>
      <c r="AB104" s="1610"/>
      <c r="AC104" s="1610"/>
      <c r="AD104" s="1610"/>
      <c r="AE104" s="1610"/>
      <c r="AF104" s="1610"/>
      <c r="AG104" s="1611"/>
      <c r="AH104" s="1612" t="s">
        <v>296</v>
      </c>
      <c r="AI104" s="1613"/>
      <c r="AJ104" s="1613"/>
      <c r="AK104" s="1614"/>
      <c r="AL104" s="401"/>
      <c r="AM104" s="385"/>
    </row>
    <row r="105" spans="1:39" ht="30" customHeight="1">
      <c r="A105" s="394"/>
      <c r="B105" s="1609" t="s">
        <v>496</v>
      </c>
      <c r="C105" s="1610"/>
      <c r="D105" s="1610"/>
      <c r="E105" s="1610"/>
      <c r="F105" s="1610"/>
      <c r="G105" s="1610"/>
      <c r="H105" s="1610"/>
      <c r="I105" s="1610"/>
      <c r="J105" s="1610"/>
      <c r="K105" s="1610"/>
      <c r="L105" s="1610"/>
      <c r="M105" s="1610"/>
      <c r="N105" s="1610"/>
      <c r="O105" s="1610"/>
      <c r="P105" s="1610"/>
      <c r="Q105" s="1610"/>
      <c r="R105" s="1610"/>
      <c r="S105" s="1610"/>
      <c r="T105" s="1610"/>
      <c r="U105" s="1610"/>
      <c r="V105" s="1610"/>
      <c r="W105" s="1610"/>
      <c r="X105" s="1610"/>
      <c r="Y105" s="1610"/>
      <c r="Z105" s="1610"/>
      <c r="AA105" s="1610"/>
      <c r="AB105" s="1610"/>
      <c r="AC105" s="1610"/>
      <c r="AD105" s="1610"/>
      <c r="AE105" s="1610"/>
      <c r="AF105" s="1610"/>
      <c r="AG105" s="1611"/>
      <c r="AH105" s="1612" t="s">
        <v>299</v>
      </c>
      <c r="AI105" s="1613"/>
      <c r="AJ105" s="1613"/>
      <c r="AK105" s="1614"/>
      <c r="AL105" s="401"/>
      <c r="AM105" s="385"/>
    </row>
    <row r="106" spans="1:39" ht="15" customHeight="1">
      <c r="A106" s="394"/>
      <c r="B106" s="1609" t="s">
        <v>303</v>
      </c>
      <c r="C106" s="1610"/>
      <c r="D106" s="1610"/>
      <c r="E106" s="1610"/>
      <c r="F106" s="1610"/>
      <c r="G106" s="1610"/>
      <c r="H106" s="1610"/>
      <c r="I106" s="1610"/>
      <c r="J106" s="1610"/>
      <c r="K106" s="1610"/>
      <c r="L106" s="1610"/>
      <c r="M106" s="1610"/>
      <c r="N106" s="1610"/>
      <c r="O106" s="1610"/>
      <c r="P106" s="1610"/>
      <c r="Q106" s="1610"/>
      <c r="R106" s="1610"/>
      <c r="S106" s="1610"/>
      <c r="T106" s="1610"/>
      <c r="U106" s="1610"/>
      <c r="V106" s="1610"/>
      <c r="W106" s="1610"/>
      <c r="X106" s="1610"/>
      <c r="Y106" s="1610"/>
      <c r="Z106" s="1610"/>
      <c r="AA106" s="1610"/>
      <c r="AB106" s="1610"/>
      <c r="AC106" s="1610"/>
      <c r="AD106" s="1610"/>
      <c r="AE106" s="1610"/>
      <c r="AF106" s="1610"/>
      <c r="AG106" s="1611"/>
      <c r="AH106" s="1612" t="s">
        <v>302</v>
      </c>
      <c r="AI106" s="1613"/>
      <c r="AJ106" s="1613"/>
      <c r="AK106" s="1614"/>
      <c r="AL106" s="401"/>
      <c r="AM106" s="385"/>
    </row>
    <row r="107" spans="1:39" ht="15" customHeight="1">
      <c r="A107" s="394"/>
      <c r="B107" s="1609" t="s">
        <v>306</v>
      </c>
      <c r="C107" s="1610"/>
      <c r="D107" s="1610"/>
      <c r="E107" s="1610"/>
      <c r="F107" s="1610"/>
      <c r="G107" s="1610"/>
      <c r="H107" s="1610"/>
      <c r="I107" s="1610"/>
      <c r="J107" s="1610"/>
      <c r="K107" s="1610"/>
      <c r="L107" s="1610"/>
      <c r="M107" s="1610"/>
      <c r="N107" s="1610"/>
      <c r="O107" s="1610"/>
      <c r="P107" s="1610"/>
      <c r="Q107" s="1610"/>
      <c r="R107" s="1610"/>
      <c r="S107" s="1610"/>
      <c r="T107" s="1610"/>
      <c r="U107" s="1610"/>
      <c r="V107" s="1610"/>
      <c r="W107" s="1610"/>
      <c r="X107" s="1610"/>
      <c r="Y107" s="1610"/>
      <c r="Z107" s="1610"/>
      <c r="AA107" s="1610"/>
      <c r="AB107" s="1610"/>
      <c r="AC107" s="1610"/>
      <c r="AD107" s="1610"/>
      <c r="AE107" s="1610"/>
      <c r="AF107" s="1610"/>
      <c r="AG107" s="1611"/>
      <c r="AH107" s="1612" t="s">
        <v>305</v>
      </c>
      <c r="AI107" s="1613"/>
      <c r="AJ107" s="1613"/>
      <c r="AK107" s="1614"/>
      <c r="AL107" s="401"/>
      <c r="AM107" s="385"/>
    </row>
    <row r="108" spans="1:39" ht="15" customHeight="1">
      <c r="A108" s="394"/>
      <c r="B108" s="1609" t="s">
        <v>309</v>
      </c>
      <c r="C108" s="1610"/>
      <c r="D108" s="1610"/>
      <c r="E108" s="1610"/>
      <c r="F108" s="1610"/>
      <c r="G108" s="1610"/>
      <c r="H108" s="1610"/>
      <c r="I108" s="1610"/>
      <c r="J108" s="1610"/>
      <c r="K108" s="1610"/>
      <c r="L108" s="1610"/>
      <c r="M108" s="1610"/>
      <c r="N108" s="1610"/>
      <c r="O108" s="1610"/>
      <c r="P108" s="1610"/>
      <c r="Q108" s="1610"/>
      <c r="R108" s="1610"/>
      <c r="S108" s="1610"/>
      <c r="T108" s="1610"/>
      <c r="U108" s="1610"/>
      <c r="V108" s="1610"/>
      <c r="W108" s="1610"/>
      <c r="X108" s="1610"/>
      <c r="Y108" s="1610"/>
      <c r="Z108" s="1610"/>
      <c r="AA108" s="1610"/>
      <c r="AB108" s="1610"/>
      <c r="AC108" s="1610"/>
      <c r="AD108" s="1610"/>
      <c r="AE108" s="1610"/>
      <c r="AF108" s="1610"/>
      <c r="AG108" s="1611"/>
      <c r="AH108" s="1612" t="s">
        <v>308</v>
      </c>
      <c r="AI108" s="1613"/>
      <c r="AJ108" s="1613"/>
      <c r="AK108" s="1614"/>
      <c r="AL108" s="401"/>
      <c r="AM108" s="385"/>
    </row>
    <row r="109" spans="1:39" ht="15" customHeight="1">
      <c r="A109" s="394"/>
      <c r="B109" s="1609" t="s">
        <v>312</v>
      </c>
      <c r="C109" s="1610"/>
      <c r="D109" s="1610"/>
      <c r="E109" s="1610"/>
      <c r="F109" s="1610"/>
      <c r="G109" s="1610"/>
      <c r="H109" s="1610"/>
      <c r="I109" s="1610"/>
      <c r="J109" s="1610"/>
      <c r="K109" s="1610"/>
      <c r="L109" s="1610"/>
      <c r="M109" s="1610"/>
      <c r="N109" s="1610"/>
      <c r="O109" s="1610"/>
      <c r="P109" s="1610"/>
      <c r="Q109" s="1610"/>
      <c r="R109" s="1610"/>
      <c r="S109" s="1610"/>
      <c r="T109" s="1610"/>
      <c r="U109" s="1610"/>
      <c r="V109" s="1610"/>
      <c r="W109" s="1610"/>
      <c r="X109" s="1610"/>
      <c r="Y109" s="1610"/>
      <c r="Z109" s="1610"/>
      <c r="AA109" s="1610"/>
      <c r="AB109" s="1610"/>
      <c r="AC109" s="1610"/>
      <c r="AD109" s="1610"/>
      <c r="AE109" s="1610"/>
      <c r="AF109" s="1610"/>
      <c r="AG109" s="1611"/>
      <c r="AH109" s="1612" t="s">
        <v>311</v>
      </c>
      <c r="AI109" s="1613"/>
      <c r="AJ109" s="1613"/>
      <c r="AK109" s="1614"/>
      <c r="AL109" s="401"/>
      <c r="AM109" s="385"/>
    </row>
    <row r="110" spans="1:39" ht="15" customHeight="1">
      <c r="A110" s="394"/>
      <c r="B110" s="1609" t="s">
        <v>315</v>
      </c>
      <c r="C110" s="1610"/>
      <c r="D110" s="1610"/>
      <c r="E110" s="1610"/>
      <c r="F110" s="1610"/>
      <c r="G110" s="1610"/>
      <c r="H110" s="1610"/>
      <c r="I110" s="1610"/>
      <c r="J110" s="1610"/>
      <c r="K110" s="1610"/>
      <c r="L110" s="1610"/>
      <c r="M110" s="1610"/>
      <c r="N110" s="1610"/>
      <c r="O110" s="1610"/>
      <c r="P110" s="1610"/>
      <c r="Q110" s="1610"/>
      <c r="R110" s="1610"/>
      <c r="S110" s="1610"/>
      <c r="T110" s="1610"/>
      <c r="U110" s="1610"/>
      <c r="V110" s="1610"/>
      <c r="W110" s="1610"/>
      <c r="X110" s="1610"/>
      <c r="Y110" s="1610"/>
      <c r="Z110" s="1610"/>
      <c r="AA110" s="1610"/>
      <c r="AB110" s="1610"/>
      <c r="AC110" s="1610"/>
      <c r="AD110" s="1610"/>
      <c r="AE110" s="1610"/>
      <c r="AF110" s="1610"/>
      <c r="AG110" s="1611"/>
      <c r="AH110" s="1612" t="s">
        <v>314</v>
      </c>
      <c r="AI110" s="1613"/>
      <c r="AJ110" s="1613"/>
      <c r="AK110" s="1614"/>
      <c r="AL110" s="401"/>
      <c r="AM110" s="385"/>
    </row>
    <row r="111" spans="1:39" ht="45" customHeight="1">
      <c r="A111" s="394"/>
      <c r="B111" s="1609" t="s">
        <v>3188</v>
      </c>
      <c r="C111" s="1610"/>
      <c r="D111" s="1610"/>
      <c r="E111" s="1610"/>
      <c r="F111" s="1610"/>
      <c r="G111" s="1610"/>
      <c r="H111" s="1610"/>
      <c r="I111" s="1610"/>
      <c r="J111" s="1610"/>
      <c r="K111" s="1610"/>
      <c r="L111" s="1610"/>
      <c r="M111" s="1610"/>
      <c r="N111" s="1610"/>
      <c r="O111" s="1610"/>
      <c r="P111" s="1610"/>
      <c r="Q111" s="1610"/>
      <c r="R111" s="1610"/>
      <c r="S111" s="1610"/>
      <c r="T111" s="1610"/>
      <c r="U111" s="1610"/>
      <c r="V111" s="1610"/>
      <c r="W111" s="1610"/>
      <c r="X111" s="1610"/>
      <c r="Y111" s="1610"/>
      <c r="Z111" s="1610"/>
      <c r="AA111" s="1610"/>
      <c r="AB111" s="1610"/>
      <c r="AC111" s="1610"/>
      <c r="AD111" s="1610"/>
      <c r="AE111" s="1610"/>
      <c r="AF111" s="1610"/>
      <c r="AG111" s="1611"/>
      <c r="AH111" s="1612" t="s">
        <v>317</v>
      </c>
      <c r="AI111" s="1613"/>
      <c r="AJ111" s="1613"/>
      <c r="AK111" s="1614"/>
      <c r="AL111" s="401"/>
      <c r="AM111" s="385"/>
    </row>
    <row r="112" spans="1:39" ht="30" customHeight="1">
      <c r="A112" s="394"/>
      <c r="B112" s="1609" t="s">
        <v>3189</v>
      </c>
      <c r="C112" s="1610"/>
      <c r="D112" s="1610"/>
      <c r="E112" s="1610"/>
      <c r="F112" s="1610"/>
      <c r="G112" s="1610"/>
      <c r="H112" s="1610"/>
      <c r="I112" s="1610"/>
      <c r="J112" s="1610"/>
      <c r="K112" s="1610"/>
      <c r="L112" s="1610"/>
      <c r="M112" s="1610"/>
      <c r="N112" s="1610"/>
      <c r="O112" s="1610"/>
      <c r="P112" s="1610"/>
      <c r="Q112" s="1610"/>
      <c r="R112" s="1610"/>
      <c r="S112" s="1610"/>
      <c r="T112" s="1610"/>
      <c r="U112" s="1610"/>
      <c r="V112" s="1610"/>
      <c r="W112" s="1610"/>
      <c r="X112" s="1610"/>
      <c r="Y112" s="1610"/>
      <c r="Z112" s="1610"/>
      <c r="AA112" s="1610"/>
      <c r="AB112" s="1610"/>
      <c r="AC112" s="1610"/>
      <c r="AD112" s="1610"/>
      <c r="AE112" s="1610"/>
      <c r="AF112" s="1610"/>
      <c r="AG112" s="1611"/>
      <c r="AH112" s="1612" t="s">
        <v>320</v>
      </c>
      <c r="AI112" s="1613"/>
      <c r="AJ112" s="1613"/>
      <c r="AK112" s="1614"/>
      <c r="AL112" s="401"/>
      <c r="AM112" s="385"/>
    </row>
    <row r="113" spans="1:39" ht="15" customHeight="1">
      <c r="A113" s="394"/>
      <c r="B113" s="1609" t="s">
        <v>324</v>
      </c>
      <c r="C113" s="1610"/>
      <c r="D113" s="1610"/>
      <c r="E113" s="1610"/>
      <c r="F113" s="1610"/>
      <c r="G113" s="1610"/>
      <c r="H113" s="1610"/>
      <c r="I113" s="1610"/>
      <c r="J113" s="1610"/>
      <c r="K113" s="1610"/>
      <c r="L113" s="1610"/>
      <c r="M113" s="1610"/>
      <c r="N113" s="1610"/>
      <c r="O113" s="1610"/>
      <c r="P113" s="1610"/>
      <c r="Q113" s="1610"/>
      <c r="R113" s="1610"/>
      <c r="S113" s="1610"/>
      <c r="T113" s="1610"/>
      <c r="U113" s="1610"/>
      <c r="V113" s="1610"/>
      <c r="W113" s="1610"/>
      <c r="X113" s="1610"/>
      <c r="Y113" s="1610"/>
      <c r="Z113" s="1610"/>
      <c r="AA113" s="1610"/>
      <c r="AB113" s="1610"/>
      <c r="AC113" s="1610"/>
      <c r="AD113" s="1610"/>
      <c r="AE113" s="1610"/>
      <c r="AF113" s="1610"/>
      <c r="AG113" s="1611"/>
      <c r="AH113" s="1612" t="s">
        <v>323</v>
      </c>
      <c r="AI113" s="1613"/>
      <c r="AJ113" s="1613"/>
      <c r="AK113" s="1614"/>
      <c r="AL113" s="401"/>
      <c r="AM113" s="385"/>
    </row>
    <row r="114" spans="1:39" ht="120" customHeight="1">
      <c r="A114" s="394"/>
      <c r="B114" s="1609" t="s">
        <v>3190</v>
      </c>
      <c r="C114" s="1610"/>
      <c r="D114" s="1610"/>
      <c r="E114" s="1610"/>
      <c r="F114" s="1610"/>
      <c r="G114" s="1610"/>
      <c r="H114" s="1610"/>
      <c r="I114" s="1610"/>
      <c r="J114" s="1610"/>
      <c r="K114" s="1610"/>
      <c r="L114" s="1610"/>
      <c r="M114" s="1610"/>
      <c r="N114" s="1610"/>
      <c r="O114" s="1610"/>
      <c r="P114" s="1610"/>
      <c r="Q114" s="1610"/>
      <c r="R114" s="1610"/>
      <c r="S114" s="1610"/>
      <c r="T114" s="1610"/>
      <c r="U114" s="1610"/>
      <c r="V114" s="1610"/>
      <c r="W114" s="1610"/>
      <c r="X114" s="1610"/>
      <c r="Y114" s="1610"/>
      <c r="Z114" s="1610"/>
      <c r="AA114" s="1610"/>
      <c r="AB114" s="1610"/>
      <c r="AC114" s="1610"/>
      <c r="AD114" s="1610"/>
      <c r="AE114" s="1610"/>
      <c r="AF114" s="1610"/>
      <c r="AG114" s="1611"/>
      <c r="AH114" s="1612" t="s">
        <v>326</v>
      </c>
      <c r="AI114" s="1613"/>
      <c r="AJ114" s="1613"/>
      <c r="AK114" s="1614"/>
      <c r="AL114" s="401"/>
      <c r="AM114" s="385"/>
    </row>
    <row r="115" spans="1:39" ht="30" customHeight="1">
      <c r="A115" s="394"/>
      <c r="B115" s="1609" t="s">
        <v>329</v>
      </c>
      <c r="C115" s="1610"/>
      <c r="D115" s="1610"/>
      <c r="E115" s="1610"/>
      <c r="F115" s="1610"/>
      <c r="G115" s="1610"/>
      <c r="H115" s="1610"/>
      <c r="I115" s="1610"/>
      <c r="J115" s="1610"/>
      <c r="K115" s="1610"/>
      <c r="L115" s="1610"/>
      <c r="M115" s="1610"/>
      <c r="N115" s="1610"/>
      <c r="O115" s="1610"/>
      <c r="P115" s="1610"/>
      <c r="Q115" s="1610"/>
      <c r="R115" s="1610"/>
      <c r="S115" s="1610"/>
      <c r="T115" s="1610"/>
      <c r="U115" s="1610"/>
      <c r="V115" s="1610"/>
      <c r="W115" s="1610"/>
      <c r="X115" s="1610"/>
      <c r="Y115" s="1610"/>
      <c r="Z115" s="1610"/>
      <c r="AA115" s="1610"/>
      <c r="AB115" s="1610"/>
      <c r="AC115" s="1610"/>
      <c r="AD115" s="1610"/>
      <c r="AE115" s="1610"/>
      <c r="AF115" s="1610"/>
      <c r="AG115" s="1611"/>
      <c r="AH115" s="1612" t="s">
        <v>328</v>
      </c>
      <c r="AI115" s="1613"/>
      <c r="AJ115" s="1613"/>
      <c r="AK115" s="1614"/>
      <c r="AL115" s="401"/>
      <c r="AM115" s="385"/>
    </row>
    <row r="116" spans="1:39" ht="15" customHeight="1">
      <c r="A116" s="394"/>
      <c r="B116" s="1609" t="s">
        <v>3191</v>
      </c>
      <c r="C116" s="1610"/>
      <c r="D116" s="1610"/>
      <c r="E116" s="1610"/>
      <c r="F116" s="1610"/>
      <c r="G116" s="1610"/>
      <c r="H116" s="1610"/>
      <c r="I116" s="1610"/>
      <c r="J116" s="1610"/>
      <c r="K116" s="1610"/>
      <c r="L116" s="1610"/>
      <c r="M116" s="1610"/>
      <c r="N116" s="1610"/>
      <c r="O116" s="1610"/>
      <c r="P116" s="1610"/>
      <c r="Q116" s="1610"/>
      <c r="R116" s="1610"/>
      <c r="S116" s="1610"/>
      <c r="T116" s="1610"/>
      <c r="U116" s="1610"/>
      <c r="V116" s="1610"/>
      <c r="W116" s="1610"/>
      <c r="X116" s="1610"/>
      <c r="Y116" s="1610"/>
      <c r="Z116" s="1610"/>
      <c r="AA116" s="1610"/>
      <c r="AB116" s="1610"/>
      <c r="AC116" s="1610"/>
      <c r="AD116" s="1610"/>
      <c r="AE116" s="1610"/>
      <c r="AF116" s="1610"/>
      <c r="AG116" s="1611"/>
      <c r="AH116" s="1612" t="s">
        <v>330</v>
      </c>
      <c r="AI116" s="1613"/>
      <c r="AJ116" s="1613"/>
      <c r="AK116" s="1614"/>
      <c r="AL116" s="401"/>
      <c r="AM116" s="385"/>
    </row>
    <row r="117" spans="1:39" ht="15" customHeight="1">
      <c r="A117" s="394"/>
      <c r="B117" s="1609" t="s">
        <v>333</v>
      </c>
      <c r="C117" s="1610"/>
      <c r="D117" s="1610"/>
      <c r="E117" s="1610"/>
      <c r="F117" s="1610"/>
      <c r="G117" s="1610"/>
      <c r="H117" s="1610"/>
      <c r="I117" s="1610"/>
      <c r="J117" s="1610"/>
      <c r="K117" s="1610"/>
      <c r="L117" s="1610"/>
      <c r="M117" s="1610"/>
      <c r="N117" s="1610"/>
      <c r="O117" s="1610"/>
      <c r="P117" s="1610"/>
      <c r="Q117" s="1610"/>
      <c r="R117" s="1610"/>
      <c r="S117" s="1610"/>
      <c r="T117" s="1610"/>
      <c r="U117" s="1610"/>
      <c r="V117" s="1610"/>
      <c r="W117" s="1610"/>
      <c r="X117" s="1610"/>
      <c r="Y117" s="1610"/>
      <c r="Z117" s="1610"/>
      <c r="AA117" s="1610"/>
      <c r="AB117" s="1610"/>
      <c r="AC117" s="1610"/>
      <c r="AD117" s="1610"/>
      <c r="AE117" s="1610"/>
      <c r="AF117" s="1610"/>
      <c r="AG117" s="1611"/>
      <c r="AH117" s="1612" t="s">
        <v>332</v>
      </c>
      <c r="AI117" s="1613"/>
      <c r="AJ117" s="1613"/>
      <c r="AK117" s="1614"/>
      <c r="AL117" s="401"/>
      <c r="AM117" s="385"/>
    </row>
    <row r="118" spans="1:39" ht="15" customHeight="1">
      <c r="A118" s="394"/>
      <c r="B118" s="1609" t="s">
        <v>335</v>
      </c>
      <c r="C118" s="1610"/>
      <c r="D118" s="1610"/>
      <c r="E118" s="1610"/>
      <c r="F118" s="1610"/>
      <c r="G118" s="1610"/>
      <c r="H118" s="1610"/>
      <c r="I118" s="1610"/>
      <c r="J118" s="1610"/>
      <c r="K118" s="1610"/>
      <c r="L118" s="1610"/>
      <c r="M118" s="1610"/>
      <c r="N118" s="1610"/>
      <c r="O118" s="1610"/>
      <c r="P118" s="1610"/>
      <c r="Q118" s="1610"/>
      <c r="R118" s="1610"/>
      <c r="S118" s="1610"/>
      <c r="T118" s="1610"/>
      <c r="U118" s="1610"/>
      <c r="V118" s="1610"/>
      <c r="W118" s="1610"/>
      <c r="X118" s="1610"/>
      <c r="Y118" s="1610"/>
      <c r="Z118" s="1610"/>
      <c r="AA118" s="1610"/>
      <c r="AB118" s="1610"/>
      <c r="AC118" s="1610"/>
      <c r="AD118" s="1610"/>
      <c r="AE118" s="1610"/>
      <c r="AF118" s="1610"/>
      <c r="AG118" s="1611"/>
      <c r="AH118" s="1612" t="s">
        <v>334</v>
      </c>
      <c r="AI118" s="1613"/>
      <c r="AJ118" s="1613"/>
      <c r="AK118" s="1614"/>
      <c r="AL118" s="401"/>
      <c r="AM118" s="385"/>
    </row>
    <row r="119" spans="1:39" ht="15" customHeight="1">
      <c r="A119" s="394"/>
      <c r="B119" s="1609" t="s">
        <v>337</v>
      </c>
      <c r="C119" s="1610"/>
      <c r="D119" s="1610"/>
      <c r="E119" s="1610"/>
      <c r="F119" s="1610"/>
      <c r="G119" s="1610"/>
      <c r="H119" s="1610"/>
      <c r="I119" s="1610"/>
      <c r="J119" s="1610"/>
      <c r="K119" s="1610"/>
      <c r="L119" s="1610"/>
      <c r="M119" s="1610"/>
      <c r="N119" s="1610"/>
      <c r="O119" s="1610"/>
      <c r="P119" s="1610"/>
      <c r="Q119" s="1610"/>
      <c r="R119" s="1610"/>
      <c r="S119" s="1610"/>
      <c r="T119" s="1610"/>
      <c r="U119" s="1610"/>
      <c r="V119" s="1610"/>
      <c r="W119" s="1610"/>
      <c r="X119" s="1610"/>
      <c r="Y119" s="1610"/>
      <c r="Z119" s="1610"/>
      <c r="AA119" s="1610"/>
      <c r="AB119" s="1610"/>
      <c r="AC119" s="1610"/>
      <c r="AD119" s="1610"/>
      <c r="AE119" s="1610"/>
      <c r="AF119" s="1610"/>
      <c r="AG119" s="1611"/>
      <c r="AH119" s="1612" t="s">
        <v>336</v>
      </c>
      <c r="AI119" s="1613"/>
      <c r="AJ119" s="1613"/>
      <c r="AK119" s="1614"/>
      <c r="AL119" s="401"/>
      <c r="AM119" s="385"/>
    </row>
    <row r="120" spans="1:39" ht="15" customHeight="1">
      <c r="A120" s="394"/>
      <c r="B120" s="1609" t="s">
        <v>490</v>
      </c>
      <c r="C120" s="1610"/>
      <c r="D120" s="1610"/>
      <c r="E120" s="1610"/>
      <c r="F120" s="1610"/>
      <c r="G120" s="1610"/>
      <c r="H120" s="1610"/>
      <c r="I120" s="1610"/>
      <c r="J120" s="1610"/>
      <c r="K120" s="1610"/>
      <c r="L120" s="1610"/>
      <c r="M120" s="1610"/>
      <c r="N120" s="1610"/>
      <c r="O120" s="1610"/>
      <c r="P120" s="1610"/>
      <c r="Q120" s="1610"/>
      <c r="R120" s="1610"/>
      <c r="S120" s="1610"/>
      <c r="T120" s="1610"/>
      <c r="U120" s="1610"/>
      <c r="V120" s="1610"/>
      <c r="W120" s="1610"/>
      <c r="X120" s="1610"/>
      <c r="Y120" s="1610"/>
      <c r="Z120" s="1610"/>
      <c r="AA120" s="1610"/>
      <c r="AB120" s="1610"/>
      <c r="AC120" s="1610"/>
      <c r="AD120" s="1610"/>
      <c r="AE120" s="1610"/>
      <c r="AF120" s="1610"/>
      <c r="AG120" s="1611"/>
      <c r="AH120" s="1612" t="s">
        <v>338</v>
      </c>
      <c r="AI120" s="1613"/>
      <c r="AJ120" s="1613"/>
      <c r="AK120" s="1614"/>
      <c r="AL120" s="401"/>
      <c r="AM120" s="385"/>
    </row>
    <row r="121" spans="1:39" ht="15" customHeight="1">
      <c r="A121" s="394"/>
      <c r="B121" s="1609" t="s">
        <v>341</v>
      </c>
      <c r="C121" s="1610"/>
      <c r="D121" s="1610"/>
      <c r="E121" s="1610"/>
      <c r="F121" s="1610"/>
      <c r="G121" s="1610"/>
      <c r="H121" s="1610"/>
      <c r="I121" s="1610"/>
      <c r="J121" s="1610"/>
      <c r="K121" s="1610"/>
      <c r="L121" s="1610"/>
      <c r="M121" s="1610"/>
      <c r="N121" s="1610"/>
      <c r="O121" s="1610"/>
      <c r="P121" s="1610"/>
      <c r="Q121" s="1610"/>
      <c r="R121" s="1610"/>
      <c r="S121" s="1610"/>
      <c r="T121" s="1610"/>
      <c r="U121" s="1610"/>
      <c r="V121" s="1610"/>
      <c r="W121" s="1610"/>
      <c r="X121" s="1610"/>
      <c r="Y121" s="1610"/>
      <c r="Z121" s="1610"/>
      <c r="AA121" s="1610"/>
      <c r="AB121" s="1610"/>
      <c r="AC121" s="1610"/>
      <c r="AD121" s="1610"/>
      <c r="AE121" s="1610"/>
      <c r="AF121" s="1610"/>
      <c r="AG121" s="1611"/>
      <c r="AH121" s="1612" t="s">
        <v>340</v>
      </c>
      <c r="AI121" s="1613"/>
      <c r="AJ121" s="1613"/>
      <c r="AK121" s="1614"/>
      <c r="AL121" s="401"/>
      <c r="AM121" s="385"/>
    </row>
    <row r="122" spans="1:39" ht="15" customHeight="1">
      <c r="A122" s="394"/>
      <c r="B122" s="1609" t="s">
        <v>343</v>
      </c>
      <c r="C122" s="1610"/>
      <c r="D122" s="1610"/>
      <c r="E122" s="1610"/>
      <c r="F122" s="1610"/>
      <c r="G122" s="1610"/>
      <c r="H122" s="1610"/>
      <c r="I122" s="1610"/>
      <c r="J122" s="1610"/>
      <c r="K122" s="1610"/>
      <c r="L122" s="1610"/>
      <c r="M122" s="1610"/>
      <c r="N122" s="1610"/>
      <c r="O122" s="1610"/>
      <c r="P122" s="1610"/>
      <c r="Q122" s="1610"/>
      <c r="R122" s="1610"/>
      <c r="S122" s="1610"/>
      <c r="T122" s="1610"/>
      <c r="U122" s="1610"/>
      <c r="V122" s="1610"/>
      <c r="W122" s="1610"/>
      <c r="X122" s="1610"/>
      <c r="Y122" s="1610"/>
      <c r="Z122" s="1610"/>
      <c r="AA122" s="1610"/>
      <c r="AB122" s="1610"/>
      <c r="AC122" s="1610"/>
      <c r="AD122" s="1610"/>
      <c r="AE122" s="1610"/>
      <c r="AF122" s="1610"/>
      <c r="AG122" s="1611"/>
      <c r="AH122" s="1612" t="s">
        <v>342</v>
      </c>
      <c r="AI122" s="1613"/>
      <c r="AJ122" s="1613"/>
      <c r="AK122" s="1614"/>
      <c r="AL122" s="401"/>
      <c r="AM122" s="385"/>
    </row>
    <row r="123" spans="1:39" ht="15" customHeight="1">
      <c r="A123" s="394"/>
      <c r="B123" s="1609" t="s">
        <v>345</v>
      </c>
      <c r="C123" s="1610"/>
      <c r="D123" s="1610"/>
      <c r="E123" s="1610"/>
      <c r="F123" s="1610"/>
      <c r="G123" s="1610"/>
      <c r="H123" s="1610"/>
      <c r="I123" s="1610"/>
      <c r="J123" s="1610"/>
      <c r="K123" s="1610"/>
      <c r="L123" s="1610"/>
      <c r="M123" s="1610"/>
      <c r="N123" s="1610"/>
      <c r="O123" s="1610"/>
      <c r="P123" s="1610"/>
      <c r="Q123" s="1610"/>
      <c r="R123" s="1610"/>
      <c r="S123" s="1610"/>
      <c r="T123" s="1610"/>
      <c r="U123" s="1610"/>
      <c r="V123" s="1610"/>
      <c r="W123" s="1610"/>
      <c r="X123" s="1610"/>
      <c r="Y123" s="1610"/>
      <c r="Z123" s="1610"/>
      <c r="AA123" s="1610"/>
      <c r="AB123" s="1610"/>
      <c r="AC123" s="1610"/>
      <c r="AD123" s="1610"/>
      <c r="AE123" s="1610"/>
      <c r="AF123" s="1610"/>
      <c r="AG123" s="1611"/>
      <c r="AH123" s="1612" t="s">
        <v>344</v>
      </c>
      <c r="AI123" s="1613"/>
      <c r="AJ123" s="1613"/>
      <c r="AK123" s="1614"/>
      <c r="AL123" s="401"/>
      <c r="AM123" s="385"/>
    </row>
    <row r="124" spans="1:39" ht="15" customHeight="1">
      <c r="A124" s="394"/>
      <c r="B124" s="1609" t="s">
        <v>347</v>
      </c>
      <c r="C124" s="1610"/>
      <c r="D124" s="1610"/>
      <c r="E124" s="1610"/>
      <c r="F124" s="1610"/>
      <c r="G124" s="1610"/>
      <c r="H124" s="1610"/>
      <c r="I124" s="1610"/>
      <c r="J124" s="1610"/>
      <c r="K124" s="1610"/>
      <c r="L124" s="1610"/>
      <c r="M124" s="1610"/>
      <c r="N124" s="1610"/>
      <c r="O124" s="1610"/>
      <c r="P124" s="1610"/>
      <c r="Q124" s="1610"/>
      <c r="R124" s="1610"/>
      <c r="S124" s="1610"/>
      <c r="T124" s="1610"/>
      <c r="U124" s="1610"/>
      <c r="V124" s="1610"/>
      <c r="W124" s="1610"/>
      <c r="X124" s="1610"/>
      <c r="Y124" s="1610"/>
      <c r="Z124" s="1610"/>
      <c r="AA124" s="1610"/>
      <c r="AB124" s="1610"/>
      <c r="AC124" s="1610"/>
      <c r="AD124" s="1610"/>
      <c r="AE124" s="1610"/>
      <c r="AF124" s="1610"/>
      <c r="AG124" s="1611"/>
      <c r="AH124" s="1612" t="s">
        <v>346</v>
      </c>
      <c r="AI124" s="1613"/>
      <c r="AJ124" s="1613"/>
      <c r="AK124" s="1614"/>
      <c r="AL124" s="401"/>
      <c r="AM124" s="385"/>
    </row>
    <row r="125" spans="1:39" ht="15" customHeight="1">
      <c r="A125" s="394"/>
      <c r="B125" s="1609" t="s">
        <v>349</v>
      </c>
      <c r="C125" s="1610"/>
      <c r="D125" s="1610"/>
      <c r="E125" s="1610"/>
      <c r="F125" s="1610"/>
      <c r="G125" s="1610"/>
      <c r="H125" s="1610"/>
      <c r="I125" s="1610"/>
      <c r="J125" s="1610"/>
      <c r="K125" s="1610"/>
      <c r="L125" s="1610"/>
      <c r="M125" s="1610"/>
      <c r="N125" s="1610"/>
      <c r="O125" s="1610"/>
      <c r="P125" s="1610"/>
      <c r="Q125" s="1610"/>
      <c r="R125" s="1610"/>
      <c r="S125" s="1610"/>
      <c r="T125" s="1610"/>
      <c r="U125" s="1610"/>
      <c r="V125" s="1610"/>
      <c r="W125" s="1610"/>
      <c r="X125" s="1610"/>
      <c r="Y125" s="1610"/>
      <c r="Z125" s="1610"/>
      <c r="AA125" s="1610"/>
      <c r="AB125" s="1610"/>
      <c r="AC125" s="1610"/>
      <c r="AD125" s="1610"/>
      <c r="AE125" s="1610"/>
      <c r="AF125" s="1610"/>
      <c r="AG125" s="1611"/>
      <c r="AH125" s="1612" t="s">
        <v>348</v>
      </c>
      <c r="AI125" s="1613"/>
      <c r="AJ125" s="1613"/>
      <c r="AK125" s="1614"/>
      <c r="AL125" s="401"/>
      <c r="AM125" s="385"/>
    </row>
    <row r="126" spans="1:39" ht="15" customHeight="1">
      <c r="A126" s="394"/>
      <c r="B126" s="1609" t="s">
        <v>351</v>
      </c>
      <c r="C126" s="1610"/>
      <c r="D126" s="1610"/>
      <c r="E126" s="1610"/>
      <c r="F126" s="1610"/>
      <c r="G126" s="1610"/>
      <c r="H126" s="1610"/>
      <c r="I126" s="1610"/>
      <c r="J126" s="1610"/>
      <c r="K126" s="1610"/>
      <c r="L126" s="1610"/>
      <c r="M126" s="1610"/>
      <c r="N126" s="1610"/>
      <c r="O126" s="1610"/>
      <c r="P126" s="1610"/>
      <c r="Q126" s="1610"/>
      <c r="R126" s="1610"/>
      <c r="S126" s="1610"/>
      <c r="T126" s="1610"/>
      <c r="U126" s="1610"/>
      <c r="V126" s="1610"/>
      <c r="W126" s="1610"/>
      <c r="X126" s="1610"/>
      <c r="Y126" s="1610"/>
      <c r="Z126" s="1610"/>
      <c r="AA126" s="1610"/>
      <c r="AB126" s="1610"/>
      <c r="AC126" s="1610"/>
      <c r="AD126" s="1610"/>
      <c r="AE126" s="1610"/>
      <c r="AF126" s="1610"/>
      <c r="AG126" s="1611"/>
      <c r="AH126" s="1612" t="s">
        <v>350</v>
      </c>
      <c r="AI126" s="1613"/>
      <c r="AJ126" s="1613"/>
      <c r="AK126" s="1614"/>
      <c r="AL126" s="401"/>
      <c r="AM126" s="385"/>
    </row>
    <row r="127" spans="1:39" ht="15" customHeight="1">
      <c r="A127" s="394"/>
      <c r="B127" s="1609" t="s">
        <v>353</v>
      </c>
      <c r="C127" s="1610"/>
      <c r="D127" s="1610"/>
      <c r="E127" s="1610"/>
      <c r="F127" s="1610"/>
      <c r="G127" s="1610"/>
      <c r="H127" s="1610"/>
      <c r="I127" s="1610"/>
      <c r="J127" s="1610"/>
      <c r="K127" s="1610"/>
      <c r="L127" s="1610"/>
      <c r="M127" s="1610"/>
      <c r="N127" s="1610"/>
      <c r="O127" s="1610"/>
      <c r="P127" s="1610"/>
      <c r="Q127" s="1610"/>
      <c r="R127" s="1610"/>
      <c r="S127" s="1610"/>
      <c r="T127" s="1610"/>
      <c r="U127" s="1610"/>
      <c r="V127" s="1610"/>
      <c r="W127" s="1610"/>
      <c r="X127" s="1610"/>
      <c r="Y127" s="1610"/>
      <c r="Z127" s="1610"/>
      <c r="AA127" s="1610"/>
      <c r="AB127" s="1610"/>
      <c r="AC127" s="1610"/>
      <c r="AD127" s="1610"/>
      <c r="AE127" s="1610"/>
      <c r="AF127" s="1610"/>
      <c r="AG127" s="1611"/>
      <c r="AH127" s="1612" t="s">
        <v>352</v>
      </c>
      <c r="AI127" s="1613"/>
      <c r="AJ127" s="1613"/>
      <c r="AK127" s="1614"/>
      <c r="AL127" s="401"/>
      <c r="AM127" s="385"/>
    </row>
    <row r="128" spans="1:39" ht="15" customHeight="1">
      <c r="A128" s="394"/>
      <c r="B128" s="1609" t="s">
        <v>355</v>
      </c>
      <c r="C128" s="1610"/>
      <c r="D128" s="1610"/>
      <c r="E128" s="1610"/>
      <c r="F128" s="1610"/>
      <c r="G128" s="1610"/>
      <c r="H128" s="1610"/>
      <c r="I128" s="1610"/>
      <c r="J128" s="1610"/>
      <c r="K128" s="1610"/>
      <c r="L128" s="1610"/>
      <c r="M128" s="1610"/>
      <c r="N128" s="1610"/>
      <c r="O128" s="1610"/>
      <c r="P128" s="1610"/>
      <c r="Q128" s="1610"/>
      <c r="R128" s="1610"/>
      <c r="S128" s="1610"/>
      <c r="T128" s="1610"/>
      <c r="U128" s="1610"/>
      <c r="V128" s="1610"/>
      <c r="W128" s="1610"/>
      <c r="X128" s="1610"/>
      <c r="Y128" s="1610"/>
      <c r="Z128" s="1610"/>
      <c r="AA128" s="1610"/>
      <c r="AB128" s="1610"/>
      <c r="AC128" s="1610"/>
      <c r="AD128" s="1610"/>
      <c r="AE128" s="1610"/>
      <c r="AF128" s="1610"/>
      <c r="AG128" s="1611"/>
      <c r="AH128" s="1612" t="s">
        <v>354</v>
      </c>
      <c r="AI128" s="1613"/>
      <c r="AJ128" s="1613"/>
      <c r="AK128" s="1614"/>
      <c r="AL128" s="401"/>
      <c r="AM128" s="385"/>
    </row>
    <row r="129" spans="1:39" ht="15" customHeight="1">
      <c r="A129" s="394"/>
      <c r="B129" s="1609" t="s">
        <v>357</v>
      </c>
      <c r="C129" s="1610"/>
      <c r="D129" s="1610"/>
      <c r="E129" s="1610"/>
      <c r="F129" s="1610"/>
      <c r="G129" s="1610"/>
      <c r="H129" s="1610"/>
      <c r="I129" s="1610"/>
      <c r="J129" s="1610"/>
      <c r="K129" s="1610"/>
      <c r="L129" s="1610"/>
      <c r="M129" s="1610"/>
      <c r="N129" s="1610"/>
      <c r="O129" s="1610"/>
      <c r="P129" s="1610"/>
      <c r="Q129" s="1610"/>
      <c r="R129" s="1610"/>
      <c r="S129" s="1610"/>
      <c r="T129" s="1610"/>
      <c r="U129" s="1610"/>
      <c r="V129" s="1610"/>
      <c r="W129" s="1610"/>
      <c r="X129" s="1610"/>
      <c r="Y129" s="1610"/>
      <c r="Z129" s="1610"/>
      <c r="AA129" s="1610"/>
      <c r="AB129" s="1610"/>
      <c r="AC129" s="1610"/>
      <c r="AD129" s="1610"/>
      <c r="AE129" s="1610"/>
      <c r="AF129" s="1610"/>
      <c r="AG129" s="1611"/>
      <c r="AH129" s="1612" t="s">
        <v>356</v>
      </c>
      <c r="AI129" s="1613"/>
      <c r="AJ129" s="1613"/>
      <c r="AK129" s="1614"/>
      <c r="AL129" s="401"/>
      <c r="AM129" s="385"/>
    </row>
    <row r="130" spans="1:39" ht="45" customHeight="1">
      <c r="A130" s="394"/>
      <c r="B130" s="1609" t="s">
        <v>359</v>
      </c>
      <c r="C130" s="1610"/>
      <c r="D130" s="1610"/>
      <c r="E130" s="1610"/>
      <c r="F130" s="1610"/>
      <c r="G130" s="1610"/>
      <c r="H130" s="1610"/>
      <c r="I130" s="1610"/>
      <c r="J130" s="1610"/>
      <c r="K130" s="1610"/>
      <c r="L130" s="1610"/>
      <c r="M130" s="1610"/>
      <c r="N130" s="1610"/>
      <c r="O130" s="1610"/>
      <c r="P130" s="1610"/>
      <c r="Q130" s="1610"/>
      <c r="R130" s="1610"/>
      <c r="S130" s="1610"/>
      <c r="T130" s="1610"/>
      <c r="U130" s="1610"/>
      <c r="V130" s="1610"/>
      <c r="W130" s="1610"/>
      <c r="X130" s="1610"/>
      <c r="Y130" s="1610"/>
      <c r="Z130" s="1610"/>
      <c r="AA130" s="1610"/>
      <c r="AB130" s="1610"/>
      <c r="AC130" s="1610"/>
      <c r="AD130" s="1610"/>
      <c r="AE130" s="1610"/>
      <c r="AF130" s="1610"/>
      <c r="AG130" s="1611"/>
      <c r="AH130" s="1612" t="s">
        <v>358</v>
      </c>
      <c r="AI130" s="1613"/>
      <c r="AJ130" s="1613"/>
      <c r="AK130" s="1614"/>
      <c r="AL130" s="401"/>
      <c r="AM130" s="385"/>
    </row>
    <row r="131" spans="1:39" ht="15" customHeight="1">
      <c r="A131" s="394"/>
      <c r="B131" s="1609" t="s">
        <v>361</v>
      </c>
      <c r="C131" s="1610"/>
      <c r="D131" s="1610"/>
      <c r="E131" s="1610"/>
      <c r="F131" s="1610"/>
      <c r="G131" s="1610"/>
      <c r="H131" s="1610"/>
      <c r="I131" s="1610"/>
      <c r="J131" s="1610"/>
      <c r="K131" s="1610"/>
      <c r="L131" s="1610"/>
      <c r="M131" s="1610"/>
      <c r="N131" s="1610"/>
      <c r="O131" s="1610"/>
      <c r="P131" s="1610"/>
      <c r="Q131" s="1610"/>
      <c r="R131" s="1610"/>
      <c r="S131" s="1610"/>
      <c r="T131" s="1610"/>
      <c r="U131" s="1610"/>
      <c r="V131" s="1610"/>
      <c r="W131" s="1610"/>
      <c r="X131" s="1610"/>
      <c r="Y131" s="1610"/>
      <c r="Z131" s="1610"/>
      <c r="AA131" s="1610"/>
      <c r="AB131" s="1610"/>
      <c r="AC131" s="1610"/>
      <c r="AD131" s="1610"/>
      <c r="AE131" s="1610"/>
      <c r="AF131" s="1610"/>
      <c r="AG131" s="1611"/>
      <c r="AH131" s="1612" t="s">
        <v>360</v>
      </c>
      <c r="AI131" s="1613"/>
      <c r="AJ131" s="1613"/>
      <c r="AK131" s="1614"/>
      <c r="AL131" s="401"/>
      <c r="AM131" s="385"/>
    </row>
    <row r="132" spans="1:39" ht="15" customHeight="1">
      <c r="A132" s="394"/>
      <c r="B132" s="1609" t="s">
        <v>363</v>
      </c>
      <c r="C132" s="1610"/>
      <c r="D132" s="1610"/>
      <c r="E132" s="1610"/>
      <c r="F132" s="1610"/>
      <c r="G132" s="1610"/>
      <c r="H132" s="1610"/>
      <c r="I132" s="1610"/>
      <c r="J132" s="1610"/>
      <c r="K132" s="1610"/>
      <c r="L132" s="1610"/>
      <c r="M132" s="1610"/>
      <c r="N132" s="1610"/>
      <c r="O132" s="1610"/>
      <c r="P132" s="1610"/>
      <c r="Q132" s="1610"/>
      <c r="R132" s="1610"/>
      <c r="S132" s="1610"/>
      <c r="T132" s="1610"/>
      <c r="U132" s="1610"/>
      <c r="V132" s="1610"/>
      <c r="W132" s="1610"/>
      <c r="X132" s="1610"/>
      <c r="Y132" s="1610"/>
      <c r="Z132" s="1610"/>
      <c r="AA132" s="1610"/>
      <c r="AB132" s="1610"/>
      <c r="AC132" s="1610"/>
      <c r="AD132" s="1610"/>
      <c r="AE132" s="1610"/>
      <c r="AF132" s="1610"/>
      <c r="AG132" s="1611"/>
      <c r="AH132" s="1612" t="s">
        <v>362</v>
      </c>
      <c r="AI132" s="1613"/>
      <c r="AJ132" s="1613"/>
      <c r="AK132" s="1614"/>
      <c r="AL132" s="401"/>
      <c r="AM132" s="385"/>
    </row>
    <row r="133" spans="1:39" ht="15" customHeight="1">
      <c r="A133" s="394"/>
      <c r="B133" s="1609" t="s">
        <v>3193</v>
      </c>
      <c r="C133" s="1610"/>
      <c r="D133" s="1610"/>
      <c r="E133" s="1610"/>
      <c r="F133" s="1610"/>
      <c r="G133" s="1610"/>
      <c r="H133" s="1610"/>
      <c r="I133" s="1610"/>
      <c r="J133" s="1610"/>
      <c r="K133" s="1610"/>
      <c r="L133" s="1610"/>
      <c r="M133" s="1610"/>
      <c r="N133" s="1610"/>
      <c r="O133" s="1610"/>
      <c r="P133" s="1610"/>
      <c r="Q133" s="1610"/>
      <c r="R133" s="1610"/>
      <c r="S133" s="1610"/>
      <c r="T133" s="1610"/>
      <c r="U133" s="1610"/>
      <c r="V133" s="1610"/>
      <c r="W133" s="1610"/>
      <c r="X133" s="1610"/>
      <c r="Y133" s="1610"/>
      <c r="Z133" s="1610"/>
      <c r="AA133" s="1610"/>
      <c r="AB133" s="1610"/>
      <c r="AC133" s="1610"/>
      <c r="AD133" s="1610"/>
      <c r="AE133" s="1610"/>
      <c r="AF133" s="1610"/>
      <c r="AG133" s="1611"/>
      <c r="AH133" s="1612" t="s">
        <v>3192</v>
      </c>
      <c r="AI133" s="1613"/>
      <c r="AJ133" s="1613"/>
      <c r="AK133" s="1614"/>
      <c r="AL133" s="401"/>
      <c r="AM133" s="385"/>
    </row>
    <row r="134" spans="1:39" ht="15" customHeight="1">
      <c r="A134" s="394"/>
      <c r="B134" s="1609" t="s">
        <v>3195</v>
      </c>
      <c r="C134" s="1610"/>
      <c r="D134" s="1610"/>
      <c r="E134" s="1610"/>
      <c r="F134" s="1610"/>
      <c r="G134" s="1610"/>
      <c r="H134" s="1610"/>
      <c r="I134" s="1610"/>
      <c r="J134" s="1610"/>
      <c r="K134" s="1610"/>
      <c r="L134" s="1610"/>
      <c r="M134" s="1610"/>
      <c r="N134" s="1610"/>
      <c r="O134" s="1610"/>
      <c r="P134" s="1610"/>
      <c r="Q134" s="1610"/>
      <c r="R134" s="1610"/>
      <c r="S134" s="1610"/>
      <c r="T134" s="1610"/>
      <c r="U134" s="1610"/>
      <c r="V134" s="1610"/>
      <c r="W134" s="1610"/>
      <c r="X134" s="1610"/>
      <c r="Y134" s="1610"/>
      <c r="Z134" s="1610"/>
      <c r="AA134" s="1610"/>
      <c r="AB134" s="1610"/>
      <c r="AC134" s="1610"/>
      <c r="AD134" s="1610"/>
      <c r="AE134" s="1610"/>
      <c r="AF134" s="1610"/>
      <c r="AG134" s="1611"/>
      <c r="AH134" s="1612" t="s">
        <v>3194</v>
      </c>
      <c r="AI134" s="1613"/>
      <c r="AJ134" s="1613"/>
      <c r="AK134" s="1614"/>
      <c r="AL134" s="401"/>
      <c r="AM134" s="385"/>
    </row>
    <row r="135" spans="1:39" ht="84.9" customHeight="1">
      <c r="A135" s="394"/>
      <c r="B135" s="1609" t="s">
        <v>3197</v>
      </c>
      <c r="C135" s="1610"/>
      <c r="D135" s="1610"/>
      <c r="E135" s="1610"/>
      <c r="F135" s="1610"/>
      <c r="G135" s="1610"/>
      <c r="H135" s="1610"/>
      <c r="I135" s="1610"/>
      <c r="J135" s="1610"/>
      <c r="K135" s="1610"/>
      <c r="L135" s="1610"/>
      <c r="M135" s="1610"/>
      <c r="N135" s="1610"/>
      <c r="O135" s="1610"/>
      <c r="P135" s="1610"/>
      <c r="Q135" s="1610"/>
      <c r="R135" s="1610"/>
      <c r="S135" s="1610"/>
      <c r="T135" s="1610"/>
      <c r="U135" s="1610"/>
      <c r="V135" s="1610"/>
      <c r="W135" s="1610"/>
      <c r="X135" s="1610"/>
      <c r="Y135" s="1610"/>
      <c r="Z135" s="1610"/>
      <c r="AA135" s="1610"/>
      <c r="AB135" s="1610"/>
      <c r="AC135" s="1610"/>
      <c r="AD135" s="1610"/>
      <c r="AE135" s="1610"/>
      <c r="AF135" s="1610"/>
      <c r="AG135" s="1611"/>
      <c r="AH135" s="1612" t="s">
        <v>3196</v>
      </c>
      <c r="AI135" s="1613"/>
      <c r="AJ135" s="1613"/>
      <c r="AK135" s="1614"/>
      <c r="AL135" s="401"/>
      <c r="AM135" s="385"/>
    </row>
    <row r="136" spans="1:39" ht="15" customHeight="1">
      <c r="A136" s="394"/>
      <c r="B136" s="1609" t="s">
        <v>1</v>
      </c>
      <c r="C136" s="1610"/>
      <c r="D136" s="1610"/>
      <c r="E136" s="1610"/>
      <c r="F136" s="1610"/>
      <c r="G136" s="1610"/>
      <c r="H136" s="1610"/>
      <c r="I136" s="1610"/>
      <c r="J136" s="1610"/>
      <c r="K136" s="1610"/>
      <c r="L136" s="1610"/>
      <c r="M136" s="1610"/>
      <c r="N136" s="1610"/>
      <c r="O136" s="1610"/>
      <c r="P136" s="1610"/>
      <c r="Q136" s="1610"/>
      <c r="R136" s="1610"/>
      <c r="S136" s="1610"/>
      <c r="T136" s="1610"/>
      <c r="U136" s="1610"/>
      <c r="V136" s="1610"/>
      <c r="W136" s="1610"/>
      <c r="X136" s="1610"/>
      <c r="Y136" s="1610"/>
      <c r="Z136" s="1610"/>
      <c r="AA136" s="1610"/>
      <c r="AB136" s="1610"/>
      <c r="AC136" s="1610"/>
      <c r="AD136" s="1610"/>
      <c r="AE136" s="1610"/>
      <c r="AF136" s="1610"/>
      <c r="AG136" s="1611"/>
      <c r="AH136" s="1612" t="s">
        <v>364</v>
      </c>
      <c r="AI136" s="1613"/>
      <c r="AJ136" s="1613"/>
      <c r="AK136" s="1614"/>
      <c r="AL136" s="401"/>
      <c r="AM136" s="385"/>
    </row>
    <row r="137" spans="1:39" ht="3.9" customHeight="1">
      <c r="A137" s="394"/>
      <c r="B137" s="394"/>
      <c r="C137" s="394"/>
      <c r="D137" s="394"/>
      <c r="E137" s="394"/>
      <c r="F137" s="394"/>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85"/>
    </row>
    <row r="138" spans="1:39" ht="15" customHeight="1">
      <c r="A138" s="1604" t="s">
        <v>3230</v>
      </c>
      <c r="B138" s="1604"/>
      <c r="C138" s="1604"/>
      <c r="D138" s="1604"/>
      <c r="E138" s="1604"/>
      <c r="F138" s="1604"/>
      <c r="G138" s="1604"/>
      <c r="H138" s="1604"/>
      <c r="I138" s="1604"/>
      <c r="J138" s="1604"/>
      <c r="K138" s="1604"/>
      <c r="L138" s="1604"/>
      <c r="M138" s="1604"/>
      <c r="N138" s="1604"/>
      <c r="O138" s="1604"/>
      <c r="P138" s="1604"/>
      <c r="Q138" s="1604"/>
      <c r="R138" s="1604"/>
      <c r="S138" s="1604"/>
      <c r="T138" s="1604"/>
      <c r="U138" s="1604"/>
      <c r="V138" s="1604"/>
      <c r="W138" s="1604"/>
      <c r="X138" s="1604"/>
      <c r="Y138" s="1604"/>
      <c r="Z138" s="1604"/>
      <c r="AA138" s="1604"/>
      <c r="AB138" s="1604"/>
      <c r="AC138" s="1604"/>
      <c r="AD138" s="1604"/>
      <c r="AE138" s="1604"/>
      <c r="AF138" s="1604"/>
      <c r="AG138" s="1604"/>
      <c r="AH138" s="1604"/>
      <c r="AI138" s="1604"/>
      <c r="AJ138" s="1604"/>
      <c r="AK138" s="1604"/>
      <c r="AL138" s="1604"/>
      <c r="AM138" s="385"/>
    </row>
    <row r="139" spans="1:39" ht="12.6" customHeight="1">
      <c r="A139" s="1604"/>
      <c r="B139" s="1604"/>
      <c r="C139" s="1604"/>
      <c r="D139" s="1604"/>
      <c r="E139" s="1604"/>
      <c r="F139" s="1604"/>
      <c r="G139" s="1604"/>
      <c r="H139" s="1604"/>
      <c r="I139" s="1604"/>
      <c r="J139" s="1604"/>
      <c r="K139" s="1604"/>
      <c r="L139" s="1604"/>
      <c r="M139" s="1604"/>
      <c r="N139" s="1604"/>
      <c r="O139" s="1604"/>
      <c r="P139" s="1604"/>
      <c r="Q139" s="1604"/>
      <c r="R139" s="1604"/>
      <c r="S139" s="1604"/>
      <c r="T139" s="1604"/>
      <c r="U139" s="1604"/>
      <c r="V139" s="1604"/>
      <c r="W139" s="1604"/>
      <c r="X139" s="1604"/>
      <c r="Y139" s="1604"/>
      <c r="Z139" s="1604"/>
      <c r="AA139" s="1604"/>
      <c r="AB139" s="1604"/>
      <c r="AC139" s="1604"/>
      <c r="AD139" s="1604"/>
      <c r="AE139" s="1604"/>
      <c r="AF139" s="1604"/>
      <c r="AG139" s="1604"/>
      <c r="AH139" s="1604"/>
      <c r="AI139" s="1604"/>
      <c r="AJ139" s="1604"/>
      <c r="AK139" s="1604"/>
      <c r="AL139" s="1604"/>
      <c r="AM139" s="385"/>
    </row>
    <row r="140" spans="1:39" ht="15" customHeight="1">
      <c r="A140" s="394"/>
      <c r="B140" s="1615" t="s">
        <v>3231</v>
      </c>
      <c r="C140" s="1615"/>
      <c r="D140" s="1615"/>
      <c r="E140" s="1615"/>
      <c r="F140" s="1615"/>
      <c r="G140" s="1615"/>
      <c r="H140" s="1615"/>
      <c r="I140" s="1615"/>
      <c r="J140" s="1615"/>
      <c r="K140" s="1615"/>
      <c r="L140" s="1615"/>
      <c r="M140" s="1615"/>
      <c r="N140" s="1615"/>
      <c r="O140" s="1615"/>
      <c r="P140" s="1615"/>
      <c r="Q140" s="1615"/>
      <c r="R140" s="1615"/>
      <c r="S140" s="1615"/>
      <c r="T140" s="1615"/>
      <c r="U140" s="1615"/>
      <c r="V140" s="1615"/>
      <c r="W140" s="1615"/>
      <c r="X140" s="1615"/>
      <c r="Y140" s="1615"/>
      <c r="Z140" s="1615"/>
      <c r="AA140" s="1615"/>
      <c r="AB140" s="1615"/>
      <c r="AC140" s="1615"/>
      <c r="AD140" s="1615"/>
      <c r="AE140" s="1615"/>
      <c r="AF140" s="1615"/>
      <c r="AG140" s="1615"/>
      <c r="AH140" s="1615" t="s">
        <v>3209</v>
      </c>
      <c r="AI140" s="1615"/>
      <c r="AJ140" s="1615"/>
      <c r="AK140" s="1615"/>
      <c r="AL140" s="394"/>
      <c r="AM140" s="385"/>
    </row>
    <row r="141" spans="1:39" ht="15" customHeight="1">
      <c r="A141" s="394"/>
      <c r="B141" s="1605" t="s">
        <v>13</v>
      </c>
      <c r="C141" s="1605"/>
      <c r="D141" s="1605"/>
      <c r="E141" s="1605"/>
      <c r="F141" s="1605"/>
      <c r="G141" s="1605"/>
      <c r="H141" s="1605"/>
      <c r="I141" s="1605"/>
      <c r="J141" s="1605"/>
      <c r="K141" s="1605"/>
      <c r="L141" s="1605"/>
      <c r="M141" s="1605"/>
      <c r="N141" s="1605"/>
      <c r="O141" s="1605"/>
      <c r="P141" s="1605"/>
      <c r="Q141" s="1605"/>
      <c r="R141" s="1605"/>
      <c r="S141" s="1605"/>
      <c r="T141" s="1605"/>
      <c r="U141" s="1605"/>
      <c r="V141" s="1605"/>
      <c r="W141" s="1605"/>
      <c r="X141" s="1605"/>
      <c r="Y141" s="1605"/>
      <c r="Z141" s="1605"/>
      <c r="AA141" s="1605"/>
      <c r="AB141" s="1605"/>
      <c r="AC141" s="1605"/>
      <c r="AD141" s="1605"/>
      <c r="AE141" s="1605"/>
      <c r="AF141" s="1605"/>
      <c r="AG141" s="1605"/>
      <c r="AH141" s="1606" t="s">
        <v>154</v>
      </c>
      <c r="AI141" s="1607"/>
      <c r="AJ141" s="1607"/>
      <c r="AK141" s="1608"/>
      <c r="AL141" s="394"/>
      <c r="AM141" s="385"/>
    </row>
    <row r="142" spans="1:39" ht="15" customHeight="1">
      <c r="A142" s="394"/>
      <c r="B142" s="1605" t="s">
        <v>197</v>
      </c>
      <c r="C142" s="1605"/>
      <c r="D142" s="1605"/>
      <c r="E142" s="1605"/>
      <c r="F142" s="1605"/>
      <c r="G142" s="1605"/>
      <c r="H142" s="1605"/>
      <c r="I142" s="1605"/>
      <c r="J142" s="1605"/>
      <c r="K142" s="1605"/>
      <c r="L142" s="1605"/>
      <c r="M142" s="1605"/>
      <c r="N142" s="1605"/>
      <c r="O142" s="1605"/>
      <c r="P142" s="1605"/>
      <c r="Q142" s="1605"/>
      <c r="R142" s="1605"/>
      <c r="S142" s="1605"/>
      <c r="T142" s="1605"/>
      <c r="U142" s="1605"/>
      <c r="V142" s="1605"/>
      <c r="W142" s="1605"/>
      <c r="X142" s="1605"/>
      <c r="Y142" s="1605"/>
      <c r="Z142" s="1605"/>
      <c r="AA142" s="1605"/>
      <c r="AB142" s="1605"/>
      <c r="AC142" s="1605"/>
      <c r="AD142" s="1605"/>
      <c r="AE142" s="1605"/>
      <c r="AF142" s="1605"/>
      <c r="AG142" s="1605"/>
      <c r="AH142" s="1606" t="s">
        <v>165</v>
      </c>
      <c r="AI142" s="1607"/>
      <c r="AJ142" s="1607"/>
      <c r="AK142" s="1608"/>
      <c r="AL142" s="394"/>
      <c r="AM142" s="385"/>
    </row>
    <row r="143" spans="1:39" ht="15" customHeight="1">
      <c r="A143" s="394"/>
      <c r="B143" s="1605" t="s">
        <v>187</v>
      </c>
      <c r="C143" s="1605"/>
      <c r="D143" s="1605"/>
      <c r="E143" s="1605"/>
      <c r="F143" s="1605"/>
      <c r="G143" s="1605"/>
      <c r="H143" s="1605"/>
      <c r="I143" s="1605"/>
      <c r="J143" s="1605"/>
      <c r="K143" s="1605"/>
      <c r="L143" s="1605"/>
      <c r="M143" s="1605"/>
      <c r="N143" s="1605"/>
      <c r="O143" s="1605"/>
      <c r="P143" s="1605"/>
      <c r="Q143" s="1605"/>
      <c r="R143" s="1605"/>
      <c r="S143" s="1605"/>
      <c r="T143" s="1605"/>
      <c r="U143" s="1605"/>
      <c r="V143" s="1605"/>
      <c r="W143" s="1605"/>
      <c r="X143" s="1605"/>
      <c r="Y143" s="1605"/>
      <c r="Z143" s="1605"/>
      <c r="AA143" s="1605"/>
      <c r="AB143" s="1605"/>
      <c r="AC143" s="1605"/>
      <c r="AD143" s="1605"/>
      <c r="AE143" s="1605"/>
      <c r="AF143" s="1605"/>
      <c r="AG143" s="1605"/>
      <c r="AH143" s="1606" t="s">
        <v>176</v>
      </c>
      <c r="AI143" s="1607"/>
      <c r="AJ143" s="1607"/>
      <c r="AK143" s="1608"/>
      <c r="AL143" s="394"/>
      <c r="AM143" s="385"/>
    </row>
    <row r="144" spans="1:39" ht="15" customHeight="1">
      <c r="A144" s="394"/>
      <c r="B144" s="1605" t="s">
        <v>14</v>
      </c>
      <c r="C144" s="1605"/>
      <c r="D144" s="1605"/>
      <c r="E144" s="1605"/>
      <c r="F144" s="1605"/>
      <c r="G144" s="1605"/>
      <c r="H144" s="1605"/>
      <c r="I144" s="1605"/>
      <c r="J144" s="1605"/>
      <c r="K144" s="1605"/>
      <c r="L144" s="1605"/>
      <c r="M144" s="1605"/>
      <c r="N144" s="1605"/>
      <c r="O144" s="1605"/>
      <c r="P144" s="1605"/>
      <c r="Q144" s="1605"/>
      <c r="R144" s="1605"/>
      <c r="S144" s="1605"/>
      <c r="T144" s="1605"/>
      <c r="U144" s="1605"/>
      <c r="V144" s="1605"/>
      <c r="W144" s="1605"/>
      <c r="X144" s="1605"/>
      <c r="Y144" s="1605"/>
      <c r="Z144" s="1605"/>
      <c r="AA144" s="1605"/>
      <c r="AB144" s="1605"/>
      <c r="AC144" s="1605"/>
      <c r="AD144" s="1605"/>
      <c r="AE144" s="1605"/>
      <c r="AF144" s="1605"/>
      <c r="AG144" s="1605"/>
      <c r="AH144" s="1606" t="s">
        <v>185</v>
      </c>
      <c r="AI144" s="1607"/>
      <c r="AJ144" s="1607"/>
      <c r="AK144" s="1608"/>
      <c r="AL144" s="394"/>
      <c r="AM144" s="385"/>
    </row>
    <row r="145" spans="1:44" ht="15" customHeight="1">
      <c r="A145" s="394"/>
      <c r="B145" s="1605" t="s">
        <v>3160</v>
      </c>
      <c r="C145" s="1605"/>
      <c r="D145" s="1605"/>
      <c r="E145" s="1605"/>
      <c r="F145" s="1605"/>
      <c r="G145" s="1605"/>
      <c r="H145" s="1605"/>
      <c r="I145" s="1605"/>
      <c r="J145" s="1605"/>
      <c r="K145" s="1605"/>
      <c r="L145" s="1605"/>
      <c r="M145" s="1605"/>
      <c r="N145" s="1605"/>
      <c r="O145" s="1605"/>
      <c r="P145" s="1605"/>
      <c r="Q145" s="1605"/>
      <c r="R145" s="1605"/>
      <c r="S145" s="1605"/>
      <c r="T145" s="1605"/>
      <c r="U145" s="1605"/>
      <c r="V145" s="1605"/>
      <c r="W145" s="1605"/>
      <c r="X145" s="1605"/>
      <c r="Y145" s="1605"/>
      <c r="Z145" s="1605"/>
      <c r="AA145" s="1605"/>
      <c r="AB145" s="1605"/>
      <c r="AC145" s="1605"/>
      <c r="AD145" s="1605"/>
      <c r="AE145" s="1605"/>
      <c r="AF145" s="1605"/>
      <c r="AG145" s="1605"/>
      <c r="AH145" s="1606" t="s">
        <v>195</v>
      </c>
      <c r="AI145" s="1607"/>
      <c r="AJ145" s="1607"/>
      <c r="AK145" s="1608"/>
      <c r="AL145" s="394"/>
      <c r="AM145" s="385"/>
    </row>
    <row r="146" spans="1:44" ht="15" customHeight="1">
      <c r="A146" s="394"/>
      <c r="B146" s="1605" t="s">
        <v>1</v>
      </c>
      <c r="C146" s="1605"/>
      <c r="D146" s="1605"/>
      <c r="E146" s="1605"/>
      <c r="F146" s="1605"/>
      <c r="G146" s="1605"/>
      <c r="H146" s="1605"/>
      <c r="I146" s="1605"/>
      <c r="J146" s="1605"/>
      <c r="K146" s="1605"/>
      <c r="L146" s="1605"/>
      <c r="M146" s="1605"/>
      <c r="N146" s="1605"/>
      <c r="O146" s="1605"/>
      <c r="P146" s="1605"/>
      <c r="Q146" s="1605"/>
      <c r="R146" s="1605"/>
      <c r="S146" s="1605"/>
      <c r="T146" s="1605"/>
      <c r="U146" s="1605"/>
      <c r="V146" s="1605"/>
      <c r="W146" s="1605"/>
      <c r="X146" s="1605"/>
      <c r="Y146" s="1605"/>
      <c r="Z146" s="1605"/>
      <c r="AA146" s="1605"/>
      <c r="AB146" s="1605"/>
      <c r="AC146" s="1605"/>
      <c r="AD146" s="1605"/>
      <c r="AE146" s="1605"/>
      <c r="AF146" s="1605"/>
      <c r="AG146" s="1605"/>
      <c r="AH146" s="1606" t="s">
        <v>3162</v>
      </c>
      <c r="AI146" s="1607"/>
      <c r="AJ146" s="1607"/>
      <c r="AK146" s="1608"/>
      <c r="AL146" s="394"/>
      <c r="AM146" s="385"/>
    </row>
    <row r="147" spans="1:44" ht="3.9" customHeight="1">
      <c r="A147" s="394"/>
      <c r="B147" s="394"/>
      <c r="C147" s="394"/>
      <c r="D147" s="394"/>
      <c r="E147" s="394"/>
      <c r="F147" s="394"/>
      <c r="G147" s="394"/>
      <c r="H147" s="394"/>
      <c r="I147" s="394"/>
      <c r="J147" s="394"/>
      <c r="K147" s="394"/>
      <c r="L147" s="394"/>
      <c r="M147" s="394"/>
      <c r="N147" s="394"/>
      <c r="O147" s="394"/>
      <c r="P147" s="394"/>
      <c r="Q147" s="394"/>
      <c r="R147" s="394"/>
      <c r="S147" s="394"/>
      <c r="T147" s="394"/>
      <c r="U147" s="394"/>
      <c r="V147" s="394"/>
      <c r="W147" s="394"/>
      <c r="X147" s="394"/>
      <c r="Y147" s="394"/>
      <c r="Z147" s="394"/>
      <c r="AA147" s="394"/>
      <c r="AB147" s="394"/>
      <c r="AC147" s="394"/>
      <c r="AD147" s="394"/>
      <c r="AE147" s="394"/>
      <c r="AF147" s="394"/>
      <c r="AG147" s="394"/>
      <c r="AH147" s="394"/>
      <c r="AI147" s="394"/>
      <c r="AJ147" s="394"/>
      <c r="AK147" s="394"/>
      <c r="AL147" s="394"/>
      <c r="AM147" s="387"/>
      <c r="AN147" s="387"/>
      <c r="AO147" s="387"/>
      <c r="AP147" s="387"/>
      <c r="AQ147" s="387"/>
      <c r="AR147" s="387"/>
    </row>
    <row r="148" spans="1:44" ht="15" customHeight="1">
      <c r="A148" s="1604" t="s">
        <v>3232</v>
      </c>
      <c r="B148" s="1604"/>
      <c r="C148" s="1604"/>
      <c r="D148" s="1604"/>
      <c r="E148" s="1604"/>
      <c r="F148" s="1604"/>
      <c r="G148" s="1604"/>
      <c r="H148" s="1604"/>
      <c r="I148" s="1604"/>
      <c r="J148" s="1604"/>
      <c r="K148" s="1604"/>
      <c r="L148" s="1604"/>
      <c r="M148" s="1604"/>
      <c r="N148" s="1604"/>
      <c r="O148" s="1604"/>
      <c r="P148" s="1604"/>
      <c r="Q148" s="1604"/>
      <c r="R148" s="1604"/>
      <c r="S148" s="1604"/>
      <c r="T148" s="1604"/>
      <c r="U148" s="1604"/>
      <c r="V148" s="1604"/>
      <c r="W148" s="1604"/>
      <c r="X148" s="1604"/>
      <c r="Y148" s="1604"/>
      <c r="Z148" s="1604"/>
      <c r="AA148" s="1604"/>
      <c r="AB148" s="1604"/>
      <c r="AC148" s="1604"/>
      <c r="AD148" s="1604"/>
      <c r="AE148" s="1604"/>
      <c r="AF148" s="1604"/>
      <c r="AG148" s="1604"/>
      <c r="AH148" s="1604"/>
      <c r="AI148" s="1604"/>
      <c r="AJ148" s="1604"/>
      <c r="AK148" s="1604"/>
      <c r="AL148" s="1604"/>
      <c r="AM148" s="387"/>
      <c r="AN148" s="387"/>
      <c r="AO148" s="387"/>
      <c r="AP148" s="387"/>
      <c r="AQ148" s="387"/>
      <c r="AR148" s="387"/>
    </row>
    <row r="149" spans="1:44" ht="15" customHeight="1">
      <c r="A149" s="1604"/>
      <c r="B149" s="1604"/>
      <c r="C149" s="1604"/>
      <c r="D149" s="1604"/>
      <c r="E149" s="1604"/>
      <c r="F149" s="1604"/>
      <c r="G149" s="1604"/>
      <c r="H149" s="1604"/>
      <c r="I149" s="1604"/>
      <c r="J149" s="1604"/>
      <c r="K149" s="1604"/>
      <c r="L149" s="1604"/>
      <c r="M149" s="1604"/>
      <c r="N149" s="1604"/>
      <c r="O149" s="1604"/>
      <c r="P149" s="1604"/>
      <c r="Q149" s="1604"/>
      <c r="R149" s="1604"/>
      <c r="S149" s="1604"/>
      <c r="T149" s="1604"/>
      <c r="U149" s="1604"/>
      <c r="V149" s="1604"/>
      <c r="W149" s="1604"/>
      <c r="X149" s="1604"/>
      <c r="Y149" s="1604"/>
      <c r="Z149" s="1604"/>
      <c r="AA149" s="1604"/>
      <c r="AB149" s="1604"/>
      <c r="AC149" s="1604"/>
      <c r="AD149" s="1604"/>
      <c r="AE149" s="1604"/>
      <c r="AF149" s="1604"/>
      <c r="AG149" s="1604"/>
      <c r="AH149" s="1604"/>
      <c r="AI149" s="1604"/>
      <c r="AJ149" s="1604"/>
      <c r="AK149" s="1604"/>
      <c r="AL149" s="1604"/>
      <c r="AM149" s="387"/>
      <c r="AN149" s="387"/>
      <c r="AO149" s="387"/>
      <c r="AP149" s="387"/>
      <c r="AQ149" s="387"/>
      <c r="AR149" s="387"/>
    </row>
    <row r="150" spans="1:44" ht="15" customHeight="1">
      <c r="A150" s="1604"/>
      <c r="B150" s="1604"/>
      <c r="C150" s="1604"/>
      <c r="D150" s="1604"/>
      <c r="E150" s="1604"/>
      <c r="F150" s="1604"/>
      <c r="G150" s="1604"/>
      <c r="H150" s="1604"/>
      <c r="I150" s="1604"/>
      <c r="J150" s="1604"/>
      <c r="K150" s="1604"/>
      <c r="L150" s="1604"/>
      <c r="M150" s="1604"/>
      <c r="N150" s="1604"/>
      <c r="O150" s="1604"/>
      <c r="P150" s="1604"/>
      <c r="Q150" s="1604"/>
      <c r="R150" s="1604"/>
      <c r="S150" s="1604"/>
      <c r="T150" s="1604"/>
      <c r="U150" s="1604"/>
      <c r="V150" s="1604"/>
      <c r="W150" s="1604"/>
      <c r="X150" s="1604"/>
      <c r="Y150" s="1604"/>
      <c r="Z150" s="1604"/>
      <c r="AA150" s="1604"/>
      <c r="AB150" s="1604"/>
      <c r="AC150" s="1604"/>
      <c r="AD150" s="1604"/>
      <c r="AE150" s="1604"/>
      <c r="AF150" s="1604"/>
      <c r="AG150" s="1604"/>
      <c r="AH150" s="1604"/>
      <c r="AI150" s="1604"/>
      <c r="AJ150" s="1604"/>
      <c r="AK150" s="1604"/>
      <c r="AL150" s="1604"/>
      <c r="AM150" s="387"/>
      <c r="AN150" s="387"/>
      <c r="AO150" s="387"/>
      <c r="AP150" s="387"/>
      <c r="AQ150" s="387"/>
      <c r="AR150" s="387"/>
    </row>
    <row r="151" spans="1:44" ht="15" customHeight="1">
      <c r="A151" s="1604"/>
      <c r="B151" s="1604"/>
      <c r="C151" s="1604"/>
      <c r="D151" s="1604"/>
      <c r="E151" s="1604"/>
      <c r="F151" s="1604"/>
      <c r="G151" s="1604"/>
      <c r="H151" s="1604"/>
      <c r="I151" s="1604"/>
      <c r="J151" s="1604"/>
      <c r="K151" s="1604"/>
      <c r="L151" s="1604"/>
      <c r="M151" s="1604"/>
      <c r="N151" s="1604"/>
      <c r="O151" s="1604"/>
      <c r="P151" s="1604"/>
      <c r="Q151" s="1604"/>
      <c r="R151" s="1604"/>
      <c r="S151" s="1604"/>
      <c r="T151" s="1604"/>
      <c r="U151" s="1604"/>
      <c r="V151" s="1604"/>
      <c r="W151" s="1604"/>
      <c r="X151" s="1604"/>
      <c r="Y151" s="1604"/>
      <c r="Z151" s="1604"/>
      <c r="AA151" s="1604"/>
      <c r="AB151" s="1604"/>
      <c r="AC151" s="1604"/>
      <c r="AD151" s="1604"/>
      <c r="AE151" s="1604"/>
      <c r="AF151" s="1604"/>
      <c r="AG151" s="1604"/>
      <c r="AH151" s="1604"/>
      <c r="AI151" s="1604"/>
      <c r="AJ151" s="1604"/>
      <c r="AK151" s="1604"/>
      <c r="AL151" s="1604"/>
      <c r="AM151" s="387"/>
      <c r="AN151" s="387"/>
      <c r="AO151" s="387"/>
      <c r="AP151" s="387"/>
      <c r="AQ151" s="387"/>
      <c r="AR151" s="387"/>
    </row>
    <row r="152" spans="1:44" ht="7.5" customHeight="1">
      <c r="A152" s="1604"/>
      <c r="B152" s="1604"/>
      <c r="C152" s="1604"/>
      <c r="D152" s="1604"/>
      <c r="E152" s="1604"/>
      <c r="F152" s="1604"/>
      <c r="G152" s="1604"/>
      <c r="H152" s="1604"/>
      <c r="I152" s="1604"/>
      <c r="J152" s="1604"/>
      <c r="K152" s="1604"/>
      <c r="L152" s="1604"/>
      <c r="M152" s="1604"/>
      <c r="N152" s="1604"/>
      <c r="O152" s="1604"/>
      <c r="P152" s="1604"/>
      <c r="Q152" s="1604"/>
      <c r="R152" s="1604"/>
      <c r="S152" s="1604"/>
      <c r="T152" s="1604"/>
      <c r="U152" s="1604"/>
      <c r="V152" s="1604"/>
      <c r="W152" s="1604"/>
      <c r="X152" s="1604"/>
      <c r="Y152" s="1604"/>
      <c r="Z152" s="1604"/>
      <c r="AA152" s="1604"/>
      <c r="AB152" s="1604"/>
      <c r="AC152" s="1604"/>
      <c r="AD152" s="1604"/>
      <c r="AE152" s="1604"/>
      <c r="AF152" s="1604"/>
      <c r="AG152" s="1604"/>
      <c r="AH152" s="1604"/>
      <c r="AI152" s="1604"/>
      <c r="AJ152" s="1604"/>
      <c r="AK152" s="1604"/>
      <c r="AL152" s="1604"/>
      <c r="AM152" s="387"/>
      <c r="AN152" s="387"/>
      <c r="AO152" s="387"/>
      <c r="AP152" s="387"/>
      <c r="AQ152" s="387"/>
      <c r="AR152" s="387"/>
    </row>
    <row r="153" spans="1:44" ht="15" customHeight="1">
      <c r="A153" s="1604" t="s">
        <v>3233</v>
      </c>
      <c r="B153" s="1604"/>
      <c r="C153" s="1604"/>
      <c r="D153" s="1604"/>
      <c r="E153" s="1604"/>
      <c r="F153" s="1604"/>
      <c r="G153" s="1604"/>
      <c r="H153" s="1604"/>
      <c r="I153" s="1604"/>
      <c r="J153" s="1604"/>
      <c r="K153" s="1604"/>
      <c r="L153" s="1604"/>
      <c r="M153" s="1604"/>
      <c r="N153" s="1604"/>
      <c r="O153" s="1604"/>
      <c r="P153" s="1604"/>
      <c r="Q153" s="1604"/>
      <c r="R153" s="1604"/>
      <c r="S153" s="1604"/>
      <c r="T153" s="1604"/>
      <c r="U153" s="1604"/>
      <c r="V153" s="1604"/>
      <c r="W153" s="1604"/>
      <c r="X153" s="1604"/>
      <c r="Y153" s="1604"/>
      <c r="Z153" s="1604"/>
      <c r="AA153" s="1604"/>
      <c r="AB153" s="1604"/>
      <c r="AC153" s="1604"/>
      <c r="AD153" s="1604"/>
      <c r="AE153" s="1604"/>
      <c r="AF153" s="1604"/>
      <c r="AG153" s="1604"/>
      <c r="AH153" s="1604"/>
      <c r="AI153" s="1604"/>
      <c r="AJ153" s="1604"/>
      <c r="AK153" s="1604"/>
      <c r="AL153" s="1604"/>
      <c r="AM153" s="385"/>
    </row>
    <row r="154" spans="1:44" ht="15" customHeight="1">
      <c r="A154" s="1604"/>
      <c r="B154" s="1604"/>
      <c r="C154" s="1604"/>
      <c r="D154" s="1604"/>
      <c r="E154" s="1604"/>
      <c r="F154" s="1604"/>
      <c r="G154" s="1604"/>
      <c r="H154" s="1604"/>
      <c r="I154" s="1604"/>
      <c r="J154" s="1604"/>
      <c r="K154" s="1604"/>
      <c r="L154" s="1604"/>
      <c r="M154" s="1604"/>
      <c r="N154" s="1604"/>
      <c r="O154" s="1604"/>
      <c r="P154" s="1604"/>
      <c r="Q154" s="1604"/>
      <c r="R154" s="1604"/>
      <c r="S154" s="1604"/>
      <c r="T154" s="1604"/>
      <c r="U154" s="1604"/>
      <c r="V154" s="1604"/>
      <c r="W154" s="1604"/>
      <c r="X154" s="1604"/>
      <c r="Y154" s="1604"/>
      <c r="Z154" s="1604"/>
      <c r="AA154" s="1604"/>
      <c r="AB154" s="1604"/>
      <c r="AC154" s="1604"/>
      <c r="AD154" s="1604"/>
      <c r="AE154" s="1604"/>
      <c r="AF154" s="1604"/>
      <c r="AG154" s="1604"/>
      <c r="AH154" s="1604"/>
      <c r="AI154" s="1604"/>
      <c r="AJ154" s="1604"/>
      <c r="AK154" s="1604"/>
      <c r="AL154" s="1604"/>
      <c r="AM154" s="385"/>
    </row>
    <row r="155" spans="1:44" ht="15" customHeight="1">
      <c r="A155" s="1604"/>
      <c r="B155" s="1604"/>
      <c r="C155" s="1604"/>
      <c r="D155" s="1604"/>
      <c r="E155" s="1604"/>
      <c r="F155" s="1604"/>
      <c r="G155" s="1604"/>
      <c r="H155" s="1604"/>
      <c r="I155" s="1604"/>
      <c r="J155" s="1604"/>
      <c r="K155" s="1604"/>
      <c r="L155" s="1604"/>
      <c r="M155" s="1604"/>
      <c r="N155" s="1604"/>
      <c r="O155" s="1604"/>
      <c r="P155" s="1604"/>
      <c r="Q155" s="1604"/>
      <c r="R155" s="1604"/>
      <c r="S155" s="1604"/>
      <c r="T155" s="1604"/>
      <c r="U155" s="1604"/>
      <c r="V155" s="1604"/>
      <c r="W155" s="1604"/>
      <c r="X155" s="1604"/>
      <c r="Y155" s="1604"/>
      <c r="Z155" s="1604"/>
      <c r="AA155" s="1604"/>
      <c r="AB155" s="1604"/>
      <c r="AC155" s="1604"/>
      <c r="AD155" s="1604"/>
      <c r="AE155" s="1604"/>
      <c r="AF155" s="1604"/>
      <c r="AG155" s="1604"/>
      <c r="AH155" s="1604"/>
      <c r="AI155" s="1604"/>
      <c r="AJ155" s="1604"/>
      <c r="AK155" s="1604"/>
      <c r="AL155" s="1604"/>
      <c r="AM155" s="385"/>
    </row>
    <row r="156" spans="1:44" ht="15" customHeight="1">
      <c r="A156" s="1604"/>
      <c r="B156" s="1604"/>
      <c r="C156" s="1604"/>
      <c r="D156" s="1604"/>
      <c r="E156" s="1604"/>
      <c r="F156" s="1604"/>
      <c r="G156" s="1604"/>
      <c r="H156" s="1604"/>
      <c r="I156" s="1604"/>
      <c r="J156" s="1604"/>
      <c r="K156" s="1604"/>
      <c r="L156" s="1604"/>
      <c r="M156" s="1604"/>
      <c r="N156" s="1604"/>
      <c r="O156" s="1604"/>
      <c r="P156" s="1604"/>
      <c r="Q156" s="1604"/>
      <c r="R156" s="1604"/>
      <c r="S156" s="1604"/>
      <c r="T156" s="1604"/>
      <c r="U156" s="1604"/>
      <c r="V156" s="1604"/>
      <c r="W156" s="1604"/>
      <c r="X156" s="1604"/>
      <c r="Y156" s="1604"/>
      <c r="Z156" s="1604"/>
      <c r="AA156" s="1604"/>
      <c r="AB156" s="1604"/>
      <c r="AC156" s="1604"/>
      <c r="AD156" s="1604"/>
      <c r="AE156" s="1604"/>
      <c r="AF156" s="1604"/>
      <c r="AG156" s="1604"/>
      <c r="AH156" s="1604"/>
      <c r="AI156" s="1604"/>
      <c r="AJ156" s="1604"/>
      <c r="AK156" s="1604"/>
      <c r="AL156" s="1604"/>
      <c r="AM156" s="385"/>
    </row>
    <row r="157" spans="1:44" ht="15" customHeight="1">
      <c r="A157" s="1604"/>
      <c r="B157" s="1604"/>
      <c r="C157" s="1604"/>
      <c r="D157" s="1604"/>
      <c r="E157" s="1604"/>
      <c r="F157" s="1604"/>
      <c r="G157" s="1604"/>
      <c r="H157" s="1604"/>
      <c r="I157" s="1604"/>
      <c r="J157" s="1604"/>
      <c r="K157" s="1604"/>
      <c r="L157" s="1604"/>
      <c r="M157" s="1604"/>
      <c r="N157" s="1604"/>
      <c r="O157" s="1604"/>
      <c r="P157" s="1604"/>
      <c r="Q157" s="1604"/>
      <c r="R157" s="1604"/>
      <c r="S157" s="1604"/>
      <c r="T157" s="1604"/>
      <c r="U157" s="1604"/>
      <c r="V157" s="1604"/>
      <c r="W157" s="1604"/>
      <c r="X157" s="1604"/>
      <c r="Y157" s="1604"/>
      <c r="Z157" s="1604"/>
      <c r="AA157" s="1604"/>
      <c r="AB157" s="1604"/>
      <c r="AC157" s="1604"/>
      <c r="AD157" s="1604"/>
      <c r="AE157" s="1604"/>
      <c r="AF157" s="1604"/>
      <c r="AG157" s="1604"/>
      <c r="AH157" s="1604"/>
      <c r="AI157" s="1604"/>
      <c r="AJ157" s="1604"/>
      <c r="AK157" s="1604"/>
      <c r="AL157" s="1604"/>
      <c r="AM157" s="385"/>
    </row>
    <row r="158" spans="1:44" ht="15" customHeight="1">
      <c r="A158" s="1604"/>
      <c r="B158" s="1604"/>
      <c r="C158" s="1604"/>
      <c r="D158" s="1604"/>
      <c r="E158" s="1604"/>
      <c r="F158" s="1604"/>
      <c r="G158" s="1604"/>
      <c r="H158" s="1604"/>
      <c r="I158" s="1604"/>
      <c r="J158" s="1604"/>
      <c r="K158" s="1604"/>
      <c r="L158" s="1604"/>
      <c r="M158" s="1604"/>
      <c r="N158" s="1604"/>
      <c r="O158" s="1604"/>
      <c r="P158" s="1604"/>
      <c r="Q158" s="1604"/>
      <c r="R158" s="1604"/>
      <c r="S158" s="1604"/>
      <c r="T158" s="1604"/>
      <c r="U158" s="1604"/>
      <c r="V158" s="1604"/>
      <c r="W158" s="1604"/>
      <c r="X158" s="1604"/>
      <c r="Y158" s="1604"/>
      <c r="Z158" s="1604"/>
      <c r="AA158" s="1604"/>
      <c r="AB158" s="1604"/>
      <c r="AC158" s="1604"/>
      <c r="AD158" s="1604"/>
      <c r="AE158" s="1604"/>
      <c r="AF158" s="1604"/>
      <c r="AG158" s="1604"/>
      <c r="AH158" s="1604"/>
      <c r="AI158" s="1604"/>
      <c r="AJ158" s="1604"/>
      <c r="AK158" s="1604"/>
      <c r="AL158" s="1604"/>
      <c r="AM158" s="385"/>
    </row>
    <row r="159" spans="1:44" ht="15" customHeight="1">
      <c r="A159" s="1604"/>
      <c r="B159" s="1604"/>
      <c r="C159" s="1604"/>
      <c r="D159" s="1604"/>
      <c r="E159" s="1604"/>
      <c r="F159" s="1604"/>
      <c r="G159" s="1604"/>
      <c r="H159" s="1604"/>
      <c r="I159" s="1604"/>
      <c r="J159" s="1604"/>
      <c r="K159" s="1604"/>
      <c r="L159" s="1604"/>
      <c r="M159" s="1604"/>
      <c r="N159" s="1604"/>
      <c r="O159" s="1604"/>
      <c r="P159" s="1604"/>
      <c r="Q159" s="1604"/>
      <c r="R159" s="1604"/>
      <c r="S159" s="1604"/>
      <c r="T159" s="1604"/>
      <c r="U159" s="1604"/>
      <c r="V159" s="1604"/>
      <c r="W159" s="1604"/>
      <c r="X159" s="1604"/>
      <c r="Y159" s="1604"/>
      <c r="Z159" s="1604"/>
      <c r="AA159" s="1604"/>
      <c r="AB159" s="1604"/>
      <c r="AC159" s="1604"/>
      <c r="AD159" s="1604"/>
      <c r="AE159" s="1604"/>
      <c r="AF159" s="1604"/>
      <c r="AG159" s="1604"/>
      <c r="AH159" s="1604"/>
      <c r="AI159" s="1604"/>
      <c r="AJ159" s="1604"/>
      <c r="AK159" s="1604"/>
      <c r="AL159" s="1604"/>
      <c r="AM159" s="385"/>
    </row>
    <row r="160" spans="1:44" ht="15" customHeight="1">
      <c r="A160" s="1604"/>
      <c r="B160" s="1604"/>
      <c r="C160" s="1604"/>
      <c r="D160" s="1604"/>
      <c r="E160" s="1604"/>
      <c r="F160" s="1604"/>
      <c r="G160" s="1604"/>
      <c r="H160" s="1604"/>
      <c r="I160" s="1604"/>
      <c r="J160" s="1604"/>
      <c r="K160" s="1604"/>
      <c r="L160" s="1604"/>
      <c r="M160" s="1604"/>
      <c r="N160" s="1604"/>
      <c r="O160" s="1604"/>
      <c r="P160" s="1604"/>
      <c r="Q160" s="1604"/>
      <c r="R160" s="1604"/>
      <c r="S160" s="1604"/>
      <c r="T160" s="1604"/>
      <c r="U160" s="1604"/>
      <c r="V160" s="1604"/>
      <c r="W160" s="1604"/>
      <c r="X160" s="1604"/>
      <c r="Y160" s="1604"/>
      <c r="Z160" s="1604"/>
      <c r="AA160" s="1604"/>
      <c r="AB160" s="1604"/>
      <c r="AC160" s="1604"/>
      <c r="AD160" s="1604"/>
      <c r="AE160" s="1604"/>
      <c r="AF160" s="1604"/>
      <c r="AG160" s="1604"/>
      <c r="AH160" s="1604"/>
      <c r="AI160" s="1604"/>
      <c r="AJ160" s="1604"/>
      <c r="AK160" s="1604"/>
      <c r="AL160" s="1604"/>
      <c r="AM160" s="385"/>
    </row>
    <row r="161" spans="1:39" ht="15" customHeight="1">
      <c r="A161" s="1604"/>
      <c r="B161" s="1604"/>
      <c r="C161" s="1604"/>
      <c r="D161" s="1604"/>
      <c r="E161" s="1604"/>
      <c r="F161" s="1604"/>
      <c r="G161" s="1604"/>
      <c r="H161" s="1604"/>
      <c r="I161" s="1604"/>
      <c r="J161" s="1604"/>
      <c r="K161" s="1604"/>
      <c r="L161" s="1604"/>
      <c r="M161" s="1604"/>
      <c r="N161" s="1604"/>
      <c r="O161" s="1604"/>
      <c r="P161" s="1604"/>
      <c r="Q161" s="1604"/>
      <c r="R161" s="1604"/>
      <c r="S161" s="1604"/>
      <c r="T161" s="1604"/>
      <c r="U161" s="1604"/>
      <c r="V161" s="1604"/>
      <c r="W161" s="1604"/>
      <c r="X161" s="1604"/>
      <c r="Y161" s="1604"/>
      <c r="Z161" s="1604"/>
      <c r="AA161" s="1604"/>
      <c r="AB161" s="1604"/>
      <c r="AC161" s="1604"/>
      <c r="AD161" s="1604"/>
      <c r="AE161" s="1604"/>
      <c r="AF161" s="1604"/>
      <c r="AG161" s="1604"/>
      <c r="AH161" s="1604"/>
      <c r="AI161" s="1604"/>
      <c r="AJ161" s="1604"/>
      <c r="AK161" s="1604"/>
      <c r="AL161" s="1604"/>
      <c r="AM161" s="385"/>
    </row>
    <row r="162" spans="1:39" ht="15" customHeight="1">
      <c r="A162" s="1604"/>
      <c r="B162" s="1604"/>
      <c r="C162" s="1604"/>
      <c r="D162" s="1604"/>
      <c r="E162" s="1604"/>
      <c r="F162" s="1604"/>
      <c r="G162" s="1604"/>
      <c r="H162" s="1604"/>
      <c r="I162" s="1604"/>
      <c r="J162" s="1604"/>
      <c r="K162" s="1604"/>
      <c r="L162" s="1604"/>
      <c r="M162" s="1604"/>
      <c r="N162" s="1604"/>
      <c r="O162" s="1604"/>
      <c r="P162" s="1604"/>
      <c r="Q162" s="1604"/>
      <c r="R162" s="1604"/>
      <c r="S162" s="1604"/>
      <c r="T162" s="1604"/>
      <c r="U162" s="1604"/>
      <c r="V162" s="1604"/>
      <c r="W162" s="1604"/>
      <c r="X162" s="1604"/>
      <c r="Y162" s="1604"/>
      <c r="Z162" s="1604"/>
      <c r="AA162" s="1604"/>
      <c r="AB162" s="1604"/>
      <c r="AC162" s="1604"/>
      <c r="AD162" s="1604"/>
      <c r="AE162" s="1604"/>
      <c r="AF162" s="1604"/>
      <c r="AG162" s="1604"/>
      <c r="AH162" s="1604"/>
      <c r="AI162" s="1604"/>
      <c r="AJ162" s="1604"/>
      <c r="AK162" s="1604"/>
      <c r="AL162" s="1604"/>
      <c r="AM162" s="385"/>
    </row>
    <row r="163" spans="1:39" ht="15" customHeight="1">
      <c r="A163" s="1604"/>
      <c r="B163" s="1604"/>
      <c r="C163" s="1604"/>
      <c r="D163" s="1604"/>
      <c r="E163" s="1604"/>
      <c r="F163" s="1604"/>
      <c r="G163" s="1604"/>
      <c r="H163" s="1604"/>
      <c r="I163" s="1604"/>
      <c r="J163" s="1604"/>
      <c r="K163" s="1604"/>
      <c r="L163" s="1604"/>
      <c r="M163" s="1604"/>
      <c r="N163" s="1604"/>
      <c r="O163" s="1604"/>
      <c r="P163" s="1604"/>
      <c r="Q163" s="1604"/>
      <c r="R163" s="1604"/>
      <c r="S163" s="1604"/>
      <c r="T163" s="1604"/>
      <c r="U163" s="1604"/>
      <c r="V163" s="1604"/>
      <c r="W163" s="1604"/>
      <c r="X163" s="1604"/>
      <c r="Y163" s="1604"/>
      <c r="Z163" s="1604"/>
      <c r="AA163" s="1604"/>
      <c r="AB163" s="1604"/>
      <c r="AC163" s="1604"/>
      <c r="AD163" s="1604"/>
      <c r="AE163" s="1604"/>
      <c r="AF163" s="1604"/>
      <c r="AG163" s="1604"/>
      <c r="AH163" s="1604"/>
      <c r="AI163" s="1604"/>
      <c r="AJ163" s="1604"/>
      <c r="AK163" s="1604"/>
      <c r="AL163" s="1604"/>
      <c r="AM163" s="385"/>
    </row>
    <row r="164" spans="1:39" ht="15" customHeight="1">
      <c r="A164" s="1604"/>
      <c r="B164" s="1604"/>
      <c r="C164" s="1604"/>
      <c r="D164" s="1604"/>
      <c r="E164" s="1604"/>
      <c r="F164" s="1604"/>
      <c r="G164" s="1604"/>
      <c r="H164" s="1604"/>
      <c r="I164" s="1604"/>
      <c r="J164" s="1604"/>
      <c r="K164" s="1604"/>
      <c r="L164" s="1604"/>
      <c r="M164" s="1604"/>
      <c r="N164" s="1604"/>
      <c r="O164" s="1604"/>
      <c r="P164" s="1604"/>
      <c r="Q164" s="1604"/>
      <c r="R164" s="1604"/>
      <c r="S164" s="1604"/>
      <c r="T164" s="1604"/>
      <c r="U164" s="1604"/>
      <c r="V164" s="1604"/>
      <c r="W164" s="1604"/>
      <c r="X164" s="1604"/>
      <c r="Y164" s="1604"/>
      <c r="Z164" s="1604"/>
      <c r="AA164" s="1604"/>
      <c r="AB164" s="1604"/>
      <c r="AC164" s="1604"/>
      <c r="AD164" s="1604"/>
      <c r="AE164" s="1604"/>
      <c r="AF164" s="1604"/>
      <c r="AG164" s="1604"/>
      <c r="AH164" s="1604"/>
      <c r="AI164" s="1604"/>
      <c r="AJ164" s="1604"/>
      <c r="AK164" s="1604"/>
      <c r="AL164" s="1604"/>
      <c r="AM164" s="385"/>
    </row>
    <row r="165" spans="1:39" ht="15" customHeight="1">
      <c r="A165" s="1604"/>
      <c r="B165" s="1604"/>
      <c r="C165" s="1604"/>
      <c r="D165" s="1604"/>
      <c r="E165" s="1604"/>
      <c r="F165" s="1604"/>
      <c r="G165" s="1604"/>
      <c r="H165" s="1604"/>
      <c r="I165" s="1604"/>
      <c r="J165" s="1604"/>
      <c r="K165" s="1604"/>
      <c r="L165" s="1604"/>
      <c r="M165" s="1604"/>
      <c r="N165" s="1604"/>
      <c r="O165" s="1604"/>
      <c r="P165" s="1604"/>
      <c r="Q165" s="1604"/>
      <c r="R165" s="1604"/>
      <c r="S165" s="1604"/>
      <c r="T165" s="1604"/>
      <c r="U165" s="1604"/>
      <c r="V165" s="1604"/>
      <c r="W165" s="1604"/>
      <c r="X165" s="1604"/>
      <c r="Y165" s="1604"/>
      <c r="Z165" s="1604"/>
      <c r="AA165" s="1604"/>
      <c r="AB165" s="1604"/>
      <c r="AC165" s="1604"/>
      <c r="AD165" s="1604"/>
      <c r="AE165" s="1604"/>
      <c r="AF165" s="1604"/>
      <c r="AG165" s="1604"/>
      <c r="AH165" s="1604"/>
      <c r="AI165" s="1604"/>
      <c r="AJ165" s="1604"/>
      <c r="AK165" s="1604"/>
      <c r="AL165" s="1604"/>
      <c r="AM165" s="385"/>
    </row>
    <row r="166" spans="1:39" ht="15" customHeight="1">
      <c r="A166" s="1604"/>
      <c r="B166" s="1604"/>
      <c r="C166" s="1604"/>
      <c r="D166" s="1604"/>
      <c r="E166" s="1604"/>
      <c r="F166" s="1604"/>
      <c r="G166" s="1604"/>
      <c r="H166" s="1604"/>
      <c r="I166" s="1604"/>
      <c r="J166" s="1604"/>
      <c r="K166" s="1604"/>
      <c r="L166" s="1604"/>
      <c r="M166" s="1604"/>
      <c r="N166" s="1604"/>
      <c r="O166" s="1604"/>
      <c r="P166" s="1604"/>
      <c r="Q166" s="1604"/>
      <c r="R166" s="1604"/>
      <c r="S166" s="1604"/>
      <c r="T166" s="1604"/>
      <c r="U166" s="1604"/>
      <c r="V166" s="1604"/>
      <c r="W166" s="1604"/>
      <c r="X166" s="1604"/>
      <c r="Y166" s="1604"/>
      <c r="Z166" s="1604"/>
      <c r="AA166" s="1604"/>
      <c r="AB166" s="1604"/>
      <c r="AC166" s="1604"/>
      <c r="AD166" s="1604"/>
      <c r="AE166" s="1604"/>
      <c r="AF166" s="1604"/>
      <c r="AG166" s="1604"/>
      <c r="AH166" s="1604"/>
      <c r="AI166" s="1604"/>
      <c r="AJ166" s="1604"/>
      <c r="AK166" s="1604"/>
      <c r="AL166" s="1604"/>
      <c r="AM166" s="385"/>
    </row>
    <row r="167" spans="1:39" ht="6.75" customHeight="1">
      <c r="A167" s="1604"/>
      <c r="B167" s="1604"/>
      <c r="C167" s="1604"/>
      <c r="D167" s="1604"/>
      <c r="E167" s="1604"/>
      <c r="F167" s="1604"/>
      <c r="G167" s="1604"/>
      <c r="H167" s="1604"/>
      <c r="I167" s="1604"/>
      <c r="J167" s="1604"/>
      <c r="K167" s="1604"/>
      <c r="L167" s="1604"/>
      <c r="M167" s="1604"/>
      <c r="N167" s="1604"/>
      <c r="O167" s="1604"/>
      <c r="P167" s="1604"/>
      <c r="Q167" s="1604"/>
      <c r="R167" s="1604"/>
      <c r="S167" s="1604"/>
      <c r="T167" s="1604"/>
      <c r="U167" s="1604"/>
      <c r="V167" s="1604"/>
      <c r="W167" s="1604"/>
      <c r="X167" s="1604"/>
      <c r="Y167" s="1604"/>
      <c r="Z167" s="1604"/>
      <c r="AA167" s="1604"/>
      <c r="AB167" s="1604"/>
      <c r="AC167" s="1604"/>
      <c r="AD167" s="1604"/>
      <c r="AE167" s="1604"/>
      <c r="AF167" s="1604"/>
      <c r="AG167" s="1604"/>
      <c r="AH167" s="1604"/>
      <c r="AI167" s="1604"/>
      <c r="AJ167" s="1604"/>
      <c r="AK167" s="1604"/>
      <c r="AL167" s="1604"/>
      <c r="AM167" s="385"/>
    </row>
    <row r="168" spans="1:39" ht="15" customHeight="1">
      <c r="A168" s="1604" t="s">
        <v>3234</v>
      </c>
      <c r="B168" s="1604"/>
      <c r="C168" s="1604"/>
      <c r="D168" s="1604"/>
      <c r="E168" s="1604"/>
      <c r="F168" s="1604"/>
      <c r="G168" s="1604"/>
      <c r="H168" s="1604"/>
      <c r="I168" s="1604"/>
      <c r="J168" s="1604"/>
      <c r="K168" s="1604"/>
      <c r="L168" s="1604"/>
      <c r="M168" s="1604"/>
      <c r="N168" s="1604"/>
      <c r="O168" s="1604"/>
      <c r="P168" s="1604"/>
      <c r="Q168" s="1604"/>
      <c r="R168" s="1604"/>
      <c r="S168" s="1604"/>
      <c r="T168" s="1604"/>
      <c r="U168" s="1604"/>
      <c r="V168" s="1604"/>
      <c r="W168" s="1604"/>
      <c r="X168" s="1604"/>
      <c r="Y168" s="1604"/>
      <c r="Z168" s="1604"/>
      <c r="AA168" s="1604"/>
      <c r="AB168" s="1604"/>
      <c r="AC168" s="1604"/>
      <c r="AD168" s="1604"/>
      <c r="AE168" s="1604"/>
      <c r="AF168" s="1604"/>
      <c r="AG168" s="1604"/>
      <c r="AH168" s="1604"/>
      <c r="AI168" s="1604"/>
      <c r="AJ168" s="1604"/>
      <c r="AK168" s="1604"/>
      <c r="AL168" s="1604"/>
      <c r="AM168" s="385"/>
    </row>
    <row r="169" spans="1:39" ht="15" customHeight="1">
      <c r="A169" s="1604"/>
      <c r="B169" s="1604"/>
      <c r="C169" s="1604"/>
      <c r="D169" s="1604"/>
      <c r="E169" s="1604"/>
      <c r="F169" s="1604"/>
      <c r="G169" s="1604"/>
      <c r="H169" s="1604"/>
      <c r="I169" s="1604"/>
      <c r="J169" s="1604"/>
      <c r="K169" s="1604"/>
      <c r="L169" s="1604"/>
      <c r="M169" s="1604"/>
      <c r="N169" s="1604"/>
      <c r="O169" s="1604"/>
      <c r="P169" s="1604"/>
      <c r="Q169" s="1604"/>
      <c r="R169" s="1604"/>
      <c r="S169" s="1604"/>
      <c r="T169" s="1604"/>
      <c r="U169" s="1604"/>
      <c r="V169" s="1604"/>
      <c r="W169" s="1604"/>
      <c r="X169" s="1604"/>
      <c r="Y169" s="1604"/>
      <c r="Z169" s="1604"/>
      <c r="AA169" s="1604"/>
      <c r="AB169" s="1604"/>
      <c r="AC169" s="1604"/>
      <c r="AD169" s="1604"/>
      <c r="AE169" s="1604"/>
      <c r="AF169" s="1604"/>
      <c r="AG169" s="1604"/>
      <c r="AH169" s="1604"/>
      <c r="AI169" s="1604"/>
      <c r="AJ169" s="1604"/>
      <c r="AK169" s="1604"/>
      <c r="AL169" s="1604"/>
      <c r="AM169" s="385"/>
    </row>
    <row r="170" spans="1:39" ht="15" customHeight="1">
      <c r="A170" s="1604"/>
      <c r="B170" s="1604"/>
      <c r="C170" s="1604"/>
      <c r="D170" s="1604"/>
      <c r="E170" s="1604"/>
      <c r="F170" s="1604"/>
      <c r="G170" s="1604"/>
      <c r="H170" s="1604"/>
      <c r="I170" s="1604"/>
      <c r="J170" s="1604"/>
      <c r="K170" s="1604"/>
      <c r="L170" s="1604"/>
      <c r="M170" s="1604"/>
      <c r="N170" s="1604"/>
      <c r="O170" s="1604"/>
      <c r="P170" s="1604"/>
      <c r="Q170" s="1604"/>
      <c r="R170" s="1604"/>
      <c r="S170" s="1604"/>
      <c r="T170" s="1604"/>
      <c r="U170" s="1604"/>
      <c r="V170" s="1604"/>
      <c r="W170" s="1604"/>
      <c r="X170" s="1604"/>
      <c r="Y170" s="1604"/>
      <c r="Z170" s="1604"/>
      <c r="AA170" s="1604"/>
      <c r="AB170" s="1604"/>
      <c r="AC170" s="1604"/>
      <c r="AD170" s="1604"/>
      <c r="AE170" s="1604"/>
      <c r="AF170" s="1604"/>
      <c r="AG170" s="1604"/>
      <c r="AH170" s="1604"/>
      <c r="AI170" s="1604"/>
      <c r="AJ170" s="1604"/>
      <c r="AK170" s="1604"/>
      <c r="AL170" s="1604"/>
      <c r="AM170" s="385"/>
    </row>
    <row r="171" spans="1:39" ht="15" customHeight="1">
      <c r="A171" s="1604"/>
      <c r="B171" s="1604"/>
      <c r="C171" s="1604"/>
      <c r="D171" s="1604"/>
      <c r="E171" s="1604"/>
      <c r="F171" s="1604"/>
      <c r="G171" s="1604"/>
      <c r="H171" s="1604"/>
      <c r="I171" s="1604"/>
      <c r="J171" s="1604"/>
      <c r="K171" s="1604"/>
      <c r="L171" s="1604"/>
      <c r="M171" s="1604"/>
      <c r="N171" s="1604"/>
      <c r="O171" s="1604"/>
      <c r="P171" s="1604"/>
      <c r="Q171" s="1604"/>
      <c r="R171" s="1604"/>
      <c r="S171" s="1604"/>
      <c r="T171" s="1604"/>
      <c r="U171" s="1604"/>
      <c r="V171" s="1604"/>
      <c r="W171" s="1604"/>
      <c r="X171" s="1604"/>
      <c r="Y171" s="1604"/>
      <c r="Z171" s="1604"/>
      <c r="AA171" s="1604"/>
      <c r="AB171" s="1604"/>
      <c r="AC171" s="1604"/>
      <c r="AD171" s="1604"/>
      <c r="AE171" s="1604"/>
      <c r="AF171" s="1604"/>
      <c r="AG171" s="1604"/>
      <c r="AH171" s="1604"/>
      <c r="AI171" s="1604"/>
      <c r="AJ171" s="1604"/>
      <c r="AK171" s="1604"/>
      <c r="AL171" s="1604"/>
      <c r="AM171" s="385"/>
    </row>
    <row r="172" spans="1:39" ht="15" customHeight="1">
      <c r="A172" s="1604"/>
      <c r="B172" s="1604"/>
      <c r="C172" s="1604"/>
      <c r="D172" s="1604"/>
      <c r="E172" s="1604"/>
      <c r="F172" s="1604"/>
      <c r="G172" s="1604"/>
      <c r="H172" s="1604"/>
      <c r="I172" s="1604"/>
      <c r="J172" s="1604"/>
      <c r="K172" s="1604"/>
      <c r="L172" s="1604"/>
      <c r="M172" s="1604"/>
      <c r="N172" s="1604"/>
      <c r="O172" s="1604"/>
      <c r="P172" s="1604"/>
      <c r="Q172" s="1604"/>
      <c r="R172" s="1604"/>
      <c r="S172" s="1604"/>
      <c r="T172" s="1604"/>
      <c r="U172" s="1604"/>
      <c r="V172" s="1604"/>
      <c r="W172" s="1604"/>
      <c r="X172" s="1604"/>
      <c r="Y172" s="1604"/>
      <c r="Z172" s="1604"/>
      <c r="AA172" s="1604"/>
      <c r="AB172" s="1604"/>
      <c r="AC172" s="1604"/>
      <c r="AD172" s="1604"/>
      <c r="AE172" s="1604"/>
      <c r="AF172" s="1604"/>
      <c r="AG172" s="1604"/>
      <c r="AH172" s="1604"/>
      <c r="AI172" s="1604"/>
      <c r="AJ172" s="1604"/>
      <c r="AK172" s="1604"/>
      <c r="AL172" s="1604"/>
      <c r="AM172" s="385"/>
    </row>
    <row r="173" spans="1:39" ht="15" customHeight="1">
      <c r="A173" s="1604"/>
      <c r="B173" s="1604"/>
      <c r="C173" s="1604"/>
      <c r="D173" s="1604"/>
      <c r="E173" s="1604"/>
      <c r="F173" s="1604"/>
      <c r="G173" s="1604"/>
      <c r="H173" s="1604"/>
      <c r="I173" s="1604"/>
      <c r="J173" s="1604"/>
      <c r="K173" s="1604"/>
      <c r="L173" s="1604"/>
      <c r="M173" s="1604"/>
      <c r="N173" s="1604"/>
      <c r="O173" s="1604"/>
      <c r="P173" s="1604"/>
      <c r="Q173" s="1604"/>
      <c r="R173" s="1604"/>
      <c r="S173" s="1604"/>
      <c r="T173" s="1604"/>
      <c r="U173" s="1604"/>
      <c r="V173" s="1604"/>
      <c r="W173" s="1604"/>
      <c r="X173" s="1604"/>
      <c r="Y173" s="1604"/>
      <c r="Z173" s="1604"/>
      <c r="AA173" s="1604"/>
      <c r="AB173" s="1604"/>
      <c r="AC173" s="1604"/>
      <c r="AD173" s="1604"/>
      <c r="AE173" s="1604"/>
      <c r="AF173" s="1604"/>
      <c r="AG173" s="1604"/>
      <c r="AH173" s="1604"/>
      <c r="AI173" s="1604"/>
      <c r="AJ173" s="1604"/>
      <c r="AK173" s="1604"/>
      <c r="AL173" s="1604"/>
      <c r="AM173" s="385"/>
    </row>
    <row r="174" spans="1:39" ht="15" customHeight="1">
      <c r="A174" s="1604"/>
      <c r="B174" s="1604"/>
      <c r="C174" s="1604"/>
      <c r="D174" s="1604"/>
      <c r="E174" s="1604"/>
      <c r="F174" s="1604"/>
      <c r="G174" s="1604"/>
      <c r="H174" s="1604"/>
      <c r="I174" s="1604"/>
      <c r="J174" s="1604"/>
      <c r="K174" s="1604"/>
      <c r="L174" s="1604"/>
      <c r="M174" s="1604"/>
      <c r="N174" s="1604"/>
      <c r="O174" s="1604"/>
      <c r="P174" s="1604"/>
      <c r="Q174" s="1604"/>
      <c r="R174" s="1604"/>
      <c r="S174" s="1604"/>
      <c r="T174" s="1604"/>
      <c r="U174" s="1604"/>
      <c r="V174" s="1604"/>
      <c r="W174" s="1604"/>
      <c r="X174" s="1604"/>
      <c r="Y174" s="1604"/>
      <c r="Z174" s="1604"/>
      <c r="AA174" s="1604"/>
      <c r="AB174" s="1604"/>
      <c r="AC174" s="1604"/>
      <c r="AD174" s="1604"/>
      <c r="AE174" s="1604"/>
      <c r="AF174" s="1604"/>
      <c r="AG174" s="1604"/>
      <c r="AH174" s="1604"/>
      <c r="AI174" s="1604"/>
      <c r="AJ174" s="1604"/>
      <c r="AK174" s="1604"/>
      <c r="AL174" s="1604"/>
      <c r="AM174" s="385"/>
    </row>
    <row r="175" spans="1:39" ht="15" customHeight="1">
      <c r="A175" s="1604"/>
      <c r="B175" s="1604"/>
      <c r="C175" s="1604"/>
      <c r="D175" s="1604"/>
      <c r="E175" s="1604"/>
      <c r="F175" s="1604"/>
      <c r="G175" s="1604"/>
      <c r="H175" s="1604"/>
      <c r="I175" s="1604"/>
      <c r="J175" s="1604"/>
      <c r="K175" s="1604"/>
      <c r="L175" s="1604"/>
      <c r="M175" s="1604"/>
      <c r="N175" s="1604"/>
      <c r="O175" s="1604"/>
      <c r="P175" s="1604"/>
      <c r="Q175" s="1604"/>
      <c r="R175" s="1604"/>
      <c r="S175" s="1604"/>
      <c r="T175" s="1604"/>
      <c r="U175" s="1604"/>
      <c r="V175" s="1604"/>
      <c r="W175" s="1604"/>
      <c r="X175" s="1604"/>
      <c r="Y175" s="1604"/>
      <c r="Z175" s="1604"/>
      <c r="AA175" s="1604"/>
      <c r="AB175" s="1604"/>
      <c r="AC175" s="1604"/>
      <c r="AD175" s="1604"/>
      <c r="AE175" s="1604"/>
      <c r="AF175" s="1604"/>
      <c r="AG175" s="1604"/>
      <c r="AH175" s="1604"/>
      <c r="AI175" s="1604"/>
      <c r="AJ175" s="1604"/>
      <c r="AK175" s="1604"/>
      <c r="AL175" s="1604"/>
      <c r="AM175" s="385"/>
    </row>
    <row r="176" spans="1:39" ht="15" customHeight="1">
      <c r="A176" s="1604"/>
      <c r="B176" s="1604"/>
      <c r="C176" s="1604"/>
      <c r="D176" s="1604"/>
      <c r="E176" s="1604"/>
      <c r="F176" s="1604"/>
      <c r="G176" s="1604"/>
      <c r="H176" s="1604"/>
      <c r="I176" s="1604"/>
      <c r="J176" s="1604"/>
      <c r="K176" s="1604"/>
      <c r="L176" s="1604"/>
      <c r="M176" s="1604"/>
      <c r="N176" s="1604"/>
      <c r="O176" s="1604"/>
      <c r="P176" s="1604"/>
      <c r="Q176" s="1604"/>
      <c r="R176" s="1604"/>
      <c r="S176" s="1604"/>
      <c r="T176" s="1604"/>
      <c r="U176" s="1604"/>
      <c r="V176" s="1604"/>
      <c r="W176" s="1604"/>
      <c r="X176" s="1604"/>
      <c r="Y176" s="1604"/>
      <c r="Z176" s="1604"/>
      <c r="AA176" s="1604"/>
      <c r="AB176" s="1604"/>
      <c r="AC176" s="1604"/>
      <c r="AD176" s="1604"/>
      <c r="AE176" s="1604"/>
      <c r="AF176" s="1604"/>
      <c r="AG176" s="1604"/>
      <c r="AH176" s="1604"/>
      <c r="AI176" s="1604"/>
      <c r="AJ176" s="1604"/>
      <c r="AK176" s="1604"/>
      <c r="AL176" s="1604"/>
      <c r="AM176" s="385"/>
    </row>
    <row r="177" spans="1:39" ht="15" customHeight="1">
      <c r="A177" s="1604"/>
      <c r="B177" s="1604"/>
      <c r="C177" s="1604"/>
      <c r="D177" s="1604"/>
      <c r="E177" s="1604"/>
      <c r="F177" s="1604"/>
      <c r="G177" s="1604"/>
      <c r="H177" s="1604"/>
      <c r="I177" s="1604"/>
      <c r="J177" s="1604"/>
      <c r="K177" s="1604"/>
      <c r="L177" s="1604"/>
      <c r="M177" s="1604"/>
      <c r="N177" s="1604"/>
      <c r="O177" s="1604"/>
      <c r="P177" s="1604"/>
      <c r="Q177" s="1604"/>
      <c r="R177" s="1604"/>
      <c r="S177" s="1604"/>
      <c r="T177" s="1604"/>
      <c r="U177" s="1604"/>
      <c r="V177" s="1604"/>
      <c r="W177" s="1604"/>
      <c r="X177" s="1604"/>
      <c r="Y177" s="1604"/>
      <c r="Z177" s="1604"/>
      <c r="AA177" s="1604"/>
      <c r="AB177" s="1604"/>
      <c r="AC177" s="1604"/>
      <c r="AD177" s="1604"/>
      <c r="AE177" s="1604"/>
      <c r="AF177" s="1604"/>
      <c r="AG177" s="1604"/>
      <c r="AH177" s="1604"/>
      <c r="AI177" s="1604"/>
      <c r="AJ177" s="1604"/>
      <c r="AK177" s="1604"/>
      <c r="AL177" s="1604"/>
      <c r="AM177" s="385"/>
    </row>
    <row r="178" spans="1:39" ht="15" customHeight="1">
      <c r="A178" s="1604"/>
      <c r="B178" s="1604"/>
      <c r="C178" s="1604"/>
      <c r="D178" s="1604"/>
      <c r="E178" s="1604"/>
      <c r="F178" s="1604"/>
      <c r="G178" s="1604"/>
      <c r="H178" s="1604"/>
      <c r="I178" s="1604"/>
      <c r="J178" s="1604"/>
      <c r="K178" s="1604"/>
      <c r="L178" s="1604"/>
      <c r="M178" s="1604"/>
      <c r="N178" s="1604"/>
      <c r="O178" s="1604"/>
      <c r="P178" s="1604"/>
      <c r="Q178" s="1604"/>
      <c r="R178" s="1604"/>
      <c r="S178" s="1604"/>
      <c r="T178" s="1604"/>
      <c r="U178" s="1604"/>
      <c r="V178" s="1604"/>
      <c r="W178" s="1604"/>
      <c r="X178" s="1604"/>
      <c r="Y178" s="1604"/>
      <c r="Z178" s="1604"/>
      <c r="AA178" s="1604"/>
      <c r="AB178" s="1604"/>
      <c r="AC178" s="1604"/>
      <c r="AD178" s="1604"/>
      <c r="AE178" s="1604"/>
      <c r="AF178" s="1604"/>
      <c r="AG178" s="1604"/>
      <c r="AH178" s="1604"/>
      <c r="AI178" s="1604"/>
      <c r="AJ178" s="1604"/>
      <c r="AK178" s="1604"/>
      <c r="AL178" s="1604"/>
      <c r="AM178" s="385"/>
    </row>
    <row r="179" spans="1:39" ht="15" customHeight="1">
      <c r="A179" s="1604"/>
      <c r="B179" s="1604"/>
      <c r="C179" s="1604"/>
      <c r="D179" s="1604"/>
      <c r="E179" s="1604"/>
      <c r="F179" s="1604"/>
      <c r="G179" s="1604"/>
      <c r="H179" s="1604"/>
      <c r="I179" s="1604"/>
      <c r="J179" s="1604"/>
      <c r="K179" s="1604"/>
      <c r="L179" s="1604"/>
      <c r="M179" s="1604"/>
      <c r="N179" s="1604"/>
      <c r="O179" s="1604"/>
      <c r="P179" s="1604"/>
      <c r="Q179" s="1604"/>
      <c r="R179" s="1604"/>
      <c r="S179" s="1604"/>
      <c r="T179" s="1604"/>
      <c r="U179" s="1604"/>
      <c r="V179" s="1604"/>
      <c r="W179" s="1604"/>
      <c r="X179" s="1604"/>
      <c r="Y179" s="1604"/>
      <c r="Z179" s="1604"/>
      <c r="AA179" s="1604"/>
      <c r="AB179" s="1604"/>
      <c r="AC179" s="1604"/>
      <c r="AD179" s="1604"/>
      <c r="AE179" s="1604"/>
      <c r="AF179" s="1604"/>
      <c r="AG179" s="1604"/>
      <c r="AH179" s="1604"/>
      <c r="AI179" s="1604"/>
      <c r="AJ179" s="1604"/>
      <c r="AK179" s="1604"/>
      <c r="AL179" s="1604"/>
      <c r="AM179" s="385"/>
    </row>
    <row r="180" spans="1:39" ht="15" customHeight="1">
      <c r="A180" s="1604"/>
      <c r="B180" s="1604"/>
      <c r="C180" s="1604"/>
      <c r="D180" s="1604"/>
      <c r="E180" s="1604"/>
      <c r="F180" s="1604"/>
      <c r="G180" s="1604"/>
      <c r="H180" s="1604"/>
      <c r="I180" s="1604"/>
      <c r="J180" s="1604"/>
      <c r="K180" s="1604"/>
      <c r="L180" s="1604"/>
      <c r="M180" s="1604"/>
      <c r="N180" s="1604"/>
      <c r="O180" s="1604"/>
      <c r="P180" s="1604"/>
      <c r="Q180" s="1604"/>
      <c r="R180" s="1604"/>
      <c r="S180" s="1604"/>
      <c r="T180" s="1604"/>
      <c r="U180" s="1604"/>
      <c r="V180" s="1604"/>
      <c r="W180" s="1604"/>
      <c r="X180" s="1604"/>
      <c r="Y180" s="1604"/>
      <c r="Z180" s="1604"/>
      <c r="AA180" s="1604"/>
      <c r="AB180" s="1604"/>
      <c r="AC180" s="1604"/>
      <c r="AD180" s="1604"/>
      <c r="AE180" s="1604"/>
      <c r="AF180" s="1604"/>
      <c r="AG180" s="1604"/>
      <c r="AH180" s="1604"/>
      <c r="AI180" s="1604"/>
      <c r="AJ180" s="1604"/>
      <c r="AK180" s="1604"/>
      <c r="AL180" s="1604"/>
      <c r="AM180" s="385"/>
    </row>
    <row r="181" spans="1:39" ht="15" customHeight="1">
      <c r="A181" s="1604"/>
      <c r="B181" s="1604"/>
      <c r="C181" s="1604"/>
      <c r="D181" s="1604"/>
      <c r="E181" s="1604"/>
      <c r="F181" s="1604"/>
      <c r="G181" s="1604"/>
      <c r="H181" s="1604"/>
      <c r="I181" s="1604"/>
      <c r="J181" s="1604"/>
      <c r="K181" s="1604"/>
      <c r="L181" s="1604"/>
      <c r="M181" s="1604"/>
      <c r="N181" s="1604"/>
      <c r="O181" s="1604"/>
      <c r="P181" s="1604"/>
      <c r="Q181" s="1604"/>
      <c r="R181" s="1604"/>
      <c r="S181" s="1604"/>
      <c r="T181" s="1604"/>
      <c r="U181" s="1604"/>
      <c r="V181" s="1604"/>
      <c r="W181" s="1604"/>
      <c r="X181" s="1604"/>
      <c r="Y181" s="1604"/>
      <c r="Z181" s="1604"/>
      <c r="AA181" s="1604"/>
      <c r="AB181" s="1604"/>
      <c r="AC181" s="1604"/>
      <c r="AD181" s="1604"/>
      <c r="AE181" s="1604"/>
      <c r="AF181" s="1604"/>
      <c r="AG181" s="1604"/>
      <c r="AH181" s="1604"/>
      <c r="AI181" s="1604"/>
      <c r="AJ181" s="1604"/>
      <c r="AK181" s="1604"/>
      <c r="AL181" s="1604"/>
      <c r="AM181" s="385"/>
    </row>
    <row r="182" spans="1:39" ht="6" customHeight="1">
      <c r="A182" s="1604"/>
      <c r="B182" s="1604"/>
      <c r="C182" s="1604"/>
      <c r="D182" s="1604"/>
      <c r="E182" s="1604"/>
      <c r="F182" s="1604"/>
      <c r="G182" s="1604"/>
      <c r="H182" s="1604"/>
      <c r="I182" s="1604"/>
      <c r="J182" s="1604"/>
      <c r="K182" s="1604"/>
      <c r="L182" s="1604"/>
      <c r="M182" s="1604"/>
      <c r="N182" s="1604"/>
      <c r="O182" s="1604"/>
      <c r="P182" s="1604"/>
      <c r="Q182" s="1604"/>
      <c r="R182" s="1604"/>
      <c r="S182" s="1604"/>
      <c r="T182" s="1604"/>
      <c r="U182" s="1604"/>
      <c r="V182" s="1604"/>
      <c r="W182" s="1604"/>
      <c r="X182" s="1604"/>
      <c r="Y182" s="1604"/>
      <c r="Z182" s="1604"/>
      <c r="AA182" s="1604"/>
      <c r="AB182" s="1604"/>
      <c r="AC182" s="1604"/>
      <c r="AD182" s="1604"/>
      <c r="AE182" s="1604"/>
      <c r="AF182" s="1604"/>
      <c r="AG182" s="1604"/>
      <c r="AH182" s="1604"/>
      <c r="AI182" s="1604"/>
      <c r="AJ182" s="1604"/>
      <c r="AK182" s="1604"/>
      <c r="AL182" s="1604"/>
      <c r="AM182" s="385"/>
    </row>
    <row r="183" spans="1:39" ht="15" customHeight="1">
      <c r="A183" s="1604" t="s">
        <v>3235</v>
      </c>
      <c r="B183" s="1604"/>
      <c r="C183" s="1604"/>
      <c r="D183" s="1604"/>
      <c r="E183" s="1604"/>
      <c r="F183" s="1604"/>
      <c r="G183" s="1604"/>
      <c r="H183" s="1604"/>
      <c r="I183" s="1604"/>
      <c r="J183" s="1604"/>
      <c r="K183" s="1604"/>
      <c r="L183" s="1604"/>
      <c r="M183" s="1604"/>
      <c r="N183" s="1604"/>
      <c r="O183" s="1604"/>
      <c r="P183" s="1604"/>
      <c r="Q183" s="1604"/>
      <c r="R183" s="1604"/>
      <c r="S183" s="1604"/>
      <c r="T183" s="1604"/>
      <c r="U183" s="1604"/>
      <c r="V183" s="1604"/>
      <c r="W183" s="1604"/>
      <c r="X183" s="1604"/>
      <c r="Y183" s="1604"/>
      <c r="Z183" s="1604"/>
      <c r="AA183" s="1604"/>
      <c r="AB183" s="1604"/>
      <c r="AC183" s="1604"/>
      <c r="AD183" s="1604"/>
      <c r="AE183" s="1604"/>
      <c r="AF183" s="1604"/>
      <c r="AG183" s="1604"/>
      <c r="AH183" s="1604"/>
      <c r="AI183" s="1604"/>
      <c r="AJ183" s="1604"/>
      <c r="AK183" s="1604"/>
      <c r="AL183" s="1604"/>
      <c r="AM183" s="385"/>
    </row>
    <row r="184" spans="1:39" ht="15" customHeight="1">
      <c r="A184" s="1604"/>
      <c r="B184" s="1604"/>
      <c r="C184" s="1604"/>
      <c r="D184" s="1604"/>
      <c r="E184" s="1604"/>
      <c r="F184" s="1604"/>
      <c r="G184" s="1604"/>
      <c r="H184" s="1604"/>
      <c r="I184" s="1604"/>
      <c r="J184" s="1604"/>
      <c r="K184" s="1604"/>
      <c r="L184" s="1604"/>
      <c r="M184" s="1604"/>
      <c r="N184" s="1604"/>
      <c r="O184" s="1604"/>
      <c r="P184" s="1604"/>
      <c r="Q184" s="1604"/>
      <c r="R184" s="1604"/>
      <c r="S184" s="1604"/>
      <c r="T184" s="1604"/>
      <c r="U184" s="1604"/>
      <c r="V184" s="1604"/>
      <c r="W184" s="1604"/>
      <c r="X184" s="1604"/>
      <c r="Y184" s="1604"/>
      <c r="Z184" s="1604"/>
      <c r="AA184" s="1604"/>
      <c r="AB184" s="1604"/>
      <c r="AC184" s="1604"/>
      <c r="AD184" s="1604"/>
      <c r="AE184" s="1604"/>
      <c r="AF184" s="1604"/>
      <c r="AG184" s="1604"/>
      <c r="AH184" s="1604"/>
      <c r="AI184" s="1604"/>
      <c r="AJ184" s="1604"/>
      <c r="AK184" s="1604"/>
      <c r="AL184" s="1604"/>
      <c r="AM184" s="385"/>
    </row>
    <row r="185" spans="1:39" ht="15" customHeight="1">
      <c r="A185" s="1604"/>
      <c r="B185" s="1604"/>
      <c r="C185" s="1604"/>
      <c r="D185" s="1604"/>
      <c r="E185" s="1604"/>
      <c r="F185" s="1604"/>
      <c r="G185" s="1604"/>
      <c r="H185" s="1604"/>
      <c r="I185" s="1604"/>
      <c r="J185" s="1604"/>
      <c r="K185" s="1604"/>
      <c r="L185" s="1604"/>
      <c r="M185" s="1604"/>
      <c r="N185" s="1604"/>
      <c r="O185" s="1604"/>
      <c r="P185" s="1604"/>
      <c r="Q185" s="1604"/>
      <c r="R185" s="1604"/>
      <c r="S185" s="1604"/>
      <c r="T185" s="1604"/>
      <c r="U185" s="1604"/>
      <c r="V185" s="1604"/>
      <c r="W185" s="1604"/>
      <c r="X185" s="1604"/>
      <c r="Y185" s="1604"/>
      <c r="Z185" s="1604"/>
      <c r="AA185" s="1604"/>
      <c r="AB185" s="1604"/>
      <c r="AC185" s="1604"/>
      <c r="AD185" s="1604"/>
      <c r="AE185" s="1604"/>
      <c r="AF185" s="1604"/>
      <c r="AG185" s="1604"/>
      <c r="AH185" s="1604"/>
      <c r="AI185" s="1604"/>
      <c r="AJ185" s="1604"/>
      <c r="AK185" s="1604"/>
      <c r="AL185" s="1604"/>
      <c r="AM185" s="385"/>
    </row>
    <row r="186" spans="1:39" ht="15" customHeight="1">
      <c r="A186" s="1604"/>
      <c r="B186" s="1604"/>
      <c r="C186" s="1604"/>
      <c r="D186" s="1604"/>
      <c r="E186" s="1604"/>
      <c r="F186" s="1604"/>
      <c r="G186" s="1604"/>
      <c r="H186" s="1604"/>
      <c r="I186" s="1604"/>
      <c r="J186" s="1604"/>
      <c r="K186" s="1604"/>
      <c r="L186" s="1604"/>
      <c r="M186" s="1604"/>
      <c r="N186" s="1604"/>
      <c r="O186" s="1604"/>
      <c r="P186" s="1604"/>
      <c r="Q186" s="1604"/>
      <c r="R186" s="1604"/>
      <c r="S186" s="1604"/>
      <c r="T186" s="1604"/>
      <c r="U186" s="1604"/>
      <c r="V186" s="1604"/>
      <c r="W186" s="1604"/>
      <c r="X186" s="1604"/>
      <c r="Y186" s="1604"/>
      <c r="Z186" s="1604"/>
      <c r="AA186" s="1604"/>
      <c r="AB186" s="1604"/>
      <c r="AC186" s="1604"/>
      <c r="AD186" s="1604"/>
      <c r="AE186" s="1604"/>
      <c r="AF186" s="1604"/>
      <c r="AG186" s="1604"/>
      <c r="AH186" s="1604"/>
      <c r="AI186" s="1604"/>
      <c r="AJ186" s="1604"/>
      <c r="AK186" s="1604"/>
      <c r="AL186" s="1604"/>
      <c r="AM186" s="385"/>
    </row>
    <row r="187" spans="1:39" ht="18" customHeight="1">
      <c r="A187" s="1604"/>
      <c r="B187" s="1604"/>
      <c r="C187" s="1604"/>
      <c r="D187" s="1604"/>
      <c r="E187" s="1604"/>
      <c r="F187" s="1604"/>
      <c r="G187" s="1604"/>
      <c r="H187" s="1604"/>
      <c r="I187" s="1604"/>
      <c r="J187" s="1604"/>
      <c r="K187" s="1604"/>
      <c r="L187" s="1604"/>
      <c r="M187" s="1604"/>
      <c r="N187" s="1604"/>
      <c r="O187" s="1604"/>
      <c r="P187" s="1604"/>
      <c r="Q187" s="1604"/>
      <c r="R187" s="1604"/>
      <c r="S187" s="1604"/>
      <c r="T187" s="1604"/>
      <c r="U187" s="1604"/>
      <c r="V187" s="1604"/>
      <c r="W187" s="1604"/>
      <c r="X187" s="1604"/>
      <c r="Y187" s="1604"/>
      <c r="Z187" s="1604"/>
      <c r="AA187" s="1604"/>
      <c r="AB187" s="1604"/>
      <c r="AC187" s="1604"/>
      <c r="AD187" s="1604"/>
      <c r="AE187" s="1604"/>
      <c r="AF187" s="1604"/>
      <c r="AG187" s="1604"/>
      <c r="AH187" s="1604"/>
      <c r="AI187" s="1604"/>
      <c r="AJ187" s="1604"/>
      <c r="AK187" s="1604"/>
      <c r="AL187" s="1604"/>
      <c r="AM187" s="385"/>
    </row>
    <row r="188" spans="1:39" ht="15" customHeight="1">
      <c r="A188" s="1604"/>
      <c r="B188" s="1604"/>
      <c r="C188" s="1604"/>
      <c r="D188" s="1604"/>
      <c r="E188" s="1604"/>
      <c r="F188" s="1604"/>
      <c r="G188" s="1604"/>
      <c r="H188" s="1604"/>
      <c r="I188" s="1604"/>
      <c r="J188" s="1604"/>
      <c r="K188" s="1604"/>
      <c r="L188" s="1604"/>
      <c r="M188" s="1604"/>
      <c r="N188" s="1604"/>
      <c r="O188" s="1604"/>
      <c r="P188" s="1604"/>
      <c r="Q188" s="1604"/>
      <c r="R188" s="1604"/>
      <c r="S188" s="1604"/>
      <c r="T188" s="1604"/>
      <c r="U188" s="1604"/>
      <c r="V188" s="1604"/>
      <c r="W188" s="1604"/>
      <c r="X188" s="1604"/>
      <c r="Y188" s="1604"/>
      <c r="Z188" s="1604"/>
      <c r="AA188" s="1604"/>
      <c r="AB188" s="1604"/>
      <c r="AC188" s="1604"/>
      <c r="AD188" s="1604"/>
      <c r="AE188" s="1604"/>
      <c r="AF188" s="1604"/>
      <c r="AG188" s="1604"/>
      <c r="AH188" s="1604"/>
      <c r="AI188" s="1604"/>
      <c r="AJ188" s="1604"/>
      <c r="AK188" s="1604"/>
      <c r="AL188" s="1604"/>
      <c r="AM188" s="385"/>
    </row>
    <row r="189" spans="1:39" ht="15" customHeight="1">
      <c r="A189" s="1604"/>
      <c r="B189" s="1604"/>
      <c r="C189" s="1604"/>
      <c r="D189" s="1604"/>
      <c r="E189" s="1604"/>
      <c r="F189" s="1604"/>
      <c r="G189" s="1604"/>
      <c r="H189" s="1604"/>
      <c r="I189" s="1604"/>
      <c r="J189" s="1604"/>
      <c r="K189" s="1604"/>
      <c r="L189" s="1604"/>
      <c r="M189" s="1604"/>
      <c r="N189" s="1604"/>
      <c r="O189" s="1604"/>
      <c r="P189" s="1604"/>
      <c r="Q189" s="1604"/>
      <c r="R189" s="1604"/>
      <c r="S189" s="1604"/>
      <c r="T189" s="1604"/>
      <c r="U189" s="1604"/>
      <c r="V189" s="1604"/>
      <c r="W189" s="1604"/>
      <c r="X189" s="1604"/>
      <c r="Y189" s="1604"/>
      <c r="Z189" s="1604"/>
      <c r="AA189" s="1604"/>
      <c r="AB189" s="1604"/>
      <c r="AC189" s="1604"/>
      <c r="AD189" s="1604"/>
      <c r="AE189" s="1604"/>
      <c r="AF189" s="1604"/>
      <c r="AG189" s="1604"/>
      <c r="AH189" s="1604"/>
      <c r="AI189" s="1604"/>
      <c r="AJ189" s="1604"/>
      <c r="AK189" s="1604"/>
      <c r="AL189" s="1604"/>
      <c r="AM189" s="385"/>
    </row>
    <row r="190" spans="1:39" ht="15" customHeight="1">
      <c r="A190" s="1604"/>
      <c r="B190" s="1604"/>
      <c r="C190" s="1604"/>
      <c r="D190" s="1604"/>
      <c r="E190" s="1604"/>
      <c r="F190" s="1604"/>
      <c r="G190" s="1604"/>
      <c r="H190" s="1604"/>
      <c r="I190" s="1604"/>
      <c r="J190" s="1604"/>
      <c r="K190" s="1604"/>
      <c r="L190" s="1604"/>
      <c r="M190" s="1604"/>
      <c r="N190" s="1604"/>
      <c r="O190" s="1604"/>
      <c r="P190" s="1604"/>
      <c r="Q190" s="1604"/>
      <c r="R190" s="1604"/>
      <c r="S190" s="1604"/>
      <c r="T190" s="1604"/>
      <c r="U190" s="1604"/>
      <c r="V190" s="1604"/>
      <c r="W190" s="1604"/>
      <c r="X190" s="1604"/>
      <c r="Y190" s="1604"/>
      <c r="Z190" s="1604"/>
      <c r="AA190" s="1604"/>
      <c r="AB190" s="1604"/>
      <c r="AC190" s="1604"/>
      <c r="AD190" s="1604"/>
      <c r="AE190" s="1604"/>
      <c r="AF190" s="1604"/>
      <c r="AG190" s="1604"/>
      <c r="AH190" s="1604"/>
      <c r="AI190" s="1604"/>
      <c r="AJ190" s="1604"/>
      <c r="AK190" s="1604"/>
      <c r="AL190" s="1604"/>
      <c r="AM190" s="385"/>
    </row>
    <row r="191" spans="1:39" ht="15" customHeight="1">
      <c r="A191" s="1604"/>
      <c r="B191" s="1604"/>
      <c r="C191" s="1604"/>
      <c r="D191" s="1604"/>
      <c r="E191" s="1604"/>
      <c r="F191" s="1604"/>
      <c r="G191" s="1604"/>
      <c r="H191" s="1604"/>
      <c r="I191" s="1604"/>
      <c r="J191" s="1604"/>
      <c r="K191" s="1604"/>
      <c r="L191" s="1604"/>
      <c r="M191" s="1604"/>
      <c r="N191" s="1604"/>
      <c r="O191" s="1604"/>
      <c r="P191" s="1604"/>
      <c r="Q191" s="1604"/>
      <c r="R191" s="1604"/>
      <c r="S191" s="1604"/>
      <c r="T191" s="1604"/>
      <c r="U191" s="1604"/>
      <c r="V191" s="1604"/>
      <c r="W191" s="1604"/>
      <c r="X191" s="1604"/>
      <c r="Y191" s="1604"/>
      <c r="Z191" s="1604"/>
      <c r="AA191" s="1604"/>
      <c r="AB191" s="1604"/>
      <c r="AC191" s="1604"/>
      <c r="AD191" s="1604"/>
      <c r="AE191" s="1604"/>
      <c r="AF191" s="1604"/>
      <c r="AG191" s="1604"/>
      <c r="AH191" s="1604"/>
      <c r="AI191" s="1604"/>
      <c r="AJ191" s="1604"/>
      <c r="AK191" s="1604"/>
      <c r="AL191" s="1604"/>
      <c r="AM191" s="385"/>
    </row>
    <row r="192" spans="1:39" ht="15" customHeight="1">
      <c r="A192" s="1604"/>
      <c r="B192" s="1604"/>
      <c r="C192" s="1604"/>
      <c r="D192" s="1604"/>
      <c r="E192" s="1604"/>
      <c r="F192" s="1604"/>
      <c r="G192" s="1604"/>
      <c r="H192" s="1604"/>
      <c r="I192" s="1604"/>
      <c r="J192" s="1604"/>
      <c r="K192" s="1604"/>
      <c r="L192" s="1604"/>
      <c r="M192" s="1604"/>
      <c r="N192" s="1604"/>
      <c r="O192" s="1604"/>
      <c r="P192" s="1604"/>
      <c r="Q192" s="1604"/>
      <c r="R192" s="1604"/>
      <c r="S192" s="1604"/>
      <c r="T192" s="1604"/>
      <c r="U192" s="1604"/>
      <c r="V192" s="1604"/>
      <c r="W192" s="1604"/>
      <c r="X192" s="1604"/>
      <c r="Y192" s="1604"/>
      <c r="Z192" s="1604"/>
      <c r="AA192" s="1604"/>
      <c r="AB192" s="1604"/>
      <c r="AC192" s="1604"/>
      <c r="AD192" s="1604"/>
      <c r="AE192" s="1604"/>
      <c r="AF192" s="1604"/>
      <c r="AG192" s="1604"/>
      <c r="AH192" s="1604"/>
      <c r="AI192" s="1604"/>
      <c r="AJ192" s="1604"/>
      <c r="AK192" s="1604"/>
      <c r="AL192" s="1604"/>
      <c r="AM192" s="385"/>
    </row>
    <row r="193" spans="1:39" ht="15" customHeight="1">
      <c r="A193" s="1604"/>
      <c r="B193" s="1604"/>
      <c r="C193" s="1604"/>
      <c r="D193" s="1604"/>
      <c r="E193" s="1604"/>
      <c r="F193" s="1604"/>
      <c r="G193" s="1604"/>
      <c r="H193" s="1604"/>
      <c r="I193" s="1604"/>
      <c r="J193" s="1604"/>
      <c r="K193" s="1604"/>
      <c r="L193" s="1604"/>
      <c r="M193" s="1604"/>
      <c r="N193" s="1604"/>
      <c r="O193" s="1604"/>
      <c r="P193" s="1604"/>
      <c r="Q193" s="1604"/>
      <c r="R193" s="1604"/>
      <c r="S193" s="1604"/>
      <c r="T193" s="1604"/>
      <c r="U193" s="1604"/>
      <c r="V193" s="1604"/>
      <c r="W193" s="1604"/>
      <c r="X193" s="1604"/>
      <c r="Y193" s="1604"/>
      <c r="Z193" s="1604"/>
      <c r="AA193" s="1604"/>
      <c r="AB193" s="1604"/>
      <c r="AC193" s="1604"/>
      <c r="AD193" s="1604"/>
      <c r="AE193" s="1604"/>
      <c r="AF193" s="1604"/>
      <c r="AG193" s="1604"/>
      <c r="AH193" s="1604"/>
      <c r="AI193" s="1604"/>
      <c r="AJ193" s="1604"/>
      <c r="AK193" s="1604"/>
      <c r="AL193" s="1604"/>
      <c r="AM193" s="385"/>
    </row>
    <row r="194" spans="1:39" ht="15" customHeight="1">
      <c r="A194" s="1604"/>
      <c r="B194" s="1604"/>
      <c r="C194" s="1604"/>
      <c r="D194" s="1604"/>
      <c r="E194" s="1604"/>
      <c r="F194" s="1604"/>
      <c r="G194" s="1604"/>
      <c r="H194" s="1604"/>
      <c r="I194" s="1604"/>
      <c r="J194" s="1604"/>
      <c r="K194" s="1604"/>
      <c r="L194" s="1604"/>
      <c r="M194" s="1604"/>
      <c r="N194" s="1604"/>
      <c r="O194" s="1604"/>
      <c r="P194" s="1604"/>
      <c r="Q194" s="1604"/>
      <c r="R194" s="1604"/>
      <c r="S194" s="1604"/>
      <c r="T194" s="1604"/>
      <c r="U194" s="1604"/>
      <c r="V194" s="1604"/>
      <c r="W194" s="1604"/>
      <c r="X194" s="1604"/>
      <c r="Y194" s="1604"/>
      <c r="Z194" s="1604"/>
      <c r="AA194" s="1604"/>
      <c r="AB194" s="1604"/>
      <c r="AC194" s="1604"/>
      <c r="AD194" s="1604"/>
      <c r="AE194" s="1604"/>
      <c r="AF194" s="1604"/>
      <c r="AG194" s="1604"/>
      <c r="AH194" s="1604"/>
      <c r="AI194" s="1604"/>
      <c r="AJ194" s="1604"/>
      <c r="AK194" s="1604"/>
      <c r="AL194" s="1604"/>
      <c r="AM194" s="385"/>
    </row>
    <row r="195" spans="1:39" ht="15" customHeight="1">
      <c r="A195" s="1604"/>
      <c r="B195" s="1604"/>
      <c r="C195" s="1604"/>
      <c r="D195" s="1604"/>
      <c r="E195" s="1604"/>
      <c r="F195" s="1604"/>
      <c r="G195" s="1604"/>
      <c r="H195" s="1604"/>
      <c r="I195" s="1604"/>
      <c r="J195" s="1604"/>
      <c r="K195" s="1604"/>
      <c r="L195" s="1604"/>
      <c r="M195" s="1604"/>
      <c r="N195" s="1604"/>
      <c r="O195" s="1604"/>
      <c r="P195" s="1604"/>
      <c r="Q195" s="1604"/>
      <c r="R195" s="1604"/>
      <c r="S195" s="1604"/>
      <c r="T195" s="1604"/>
      <c r="U195" s="1604"/>
      <c r="V195" s="1604"/>
      <c r="W195" s="1604"/>
      <c r="X195" s="1604"/>
      <c r="Y195" s="1604"/>
      <c r="Z195" s="1604"/>
      <c r="AA195" s="1604"/>
      <c r="AB195" s="1604"/>
      <c r="AC195" s="1604"/>
      <c r="AD195" s="1604"/>
      <c r="AE195" s="1604"/>
      <c r="AF195" s="1604"/>
      <c r="AG195" s="1604"/>
      <c r="AH195" s="1604"/>
      <c r="AI195" s="1604"/>
      <c r="AJ195" s="1604"/>
      <c r="AK195" s="1604"/>
      <c r="AL195" s="1604"/>
      <c r="AM195" s="385"/>
    </row>
    <row r="196" spans="1:39" ht="15" customHeight="1">
      <c r="A196" s="402"/>
      <c r="B196" s="402"/>
      <c r="C196" s="402"/>
      <c r="D196" s="402"/>
      <c r="E196" s="402"/>
      <c r="F196" s="402"/>
      <c r="G196" s="402"/>
      <c r="H196" s="402"/>
      <c r="I196" s="402"/>
      <c r="J196" s="402"/>
      <c r="K196" s="402"/>
      <c r="L196" s="402"/>
      <c r="M196" s="402"/>
      <c r="N196" s="402"/>
      <c r="O196" s="402"/>
      <c r="P196" s="402"/>
      <c r="Q196" s="402"/>
      <c r="R196" s="402"/>
      <c r="S196" s="402"/>
      <c r="T196" s="402"/>
      <c r="U196" s="402"/>
      <c r="V196" s="402"/>
      <c r="W196" s="402"/>
      <c r="X196" s="402"/>
      <c r="Y196" s="402"/>
      <c r="Z196" s="402"/>
      <c r="AA196" s="402"/>
      <c r="AB196" s="402"/>
      <c r="AC196" s="402"/>
      <c r="AD196" s="402"/>
      <c r="AE196" s="402"/>
      <c r="AF196" s="402"/>
      <c r="AG196" s="402"/>
      <c r="AH196" s="402"/>
      <c r="AI196" s="402"/>
      <c r="AJ196" s="402"/>
      <c r="AK196" s="402"/>
      <c r="AL196" s="402"/>
      <c r="AM196" s="402"/>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mergeCells count="243">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70:AG70"/>
    <mergeCell ref="AH70:AK70"/>
    <mergeCell ref="B71:AG71"/>
    <mergeCell ref="AH71:AK71"/>
    <mergeCell ref="B72:AG72"/>
    <mergeCell ref="AH72:AK72"/>
    <mergeCell ref="B64:AE64"/>
    <mergeCell ref="B65:AE65"/>
    <mergeCell ref="B66:AE66"/>
    <mergeCell ref="B67:AE67"/>
    <mergeCell ref="B68:AE68"/>
    <mergeCell ref="B69:AE69"/>
    <mergeCell ref="B76:AG76"/>
    <mergeCell ref="AH76:AK76"/>
    <mergeCell ref="B77:AG77"/>
    <mergeCell ref="AH77:AK77"/>
    <mergeCell ref="B78:AG78"/>
    <mergeCell ref="AH78:AK78"/>
    <mergeCell ref="B73:AG73"/>
    <mergeCell ref="AH73:AK73"/>
    <mergeCell ref="B74:AG74"/>
    <mergeCell ref="AH74:AK74"/>
    <mergeCell ref="B75:AG75"/>
    <mergeCell ref="AH75:AK75"/>
    <mergeCell ref="B82:AG82"/>
    <mergeCell ref="AH82:AK82"/>
    <mergeCell ref="B83:AG83"/>
    <mergeCell ref="AH83:AK83"/>
    <mergeCell ref="B84:AG84"/>
    <mergeCell ref="AH84:AK84"/>
    <mergeCell ref="B79:AG79"/>
    <mergeCell ref="AH79:AK79"/>
    <mergeCell ref="B80:AG80"/>
    <mergeCell ref="AH80:AK80"/>
    <mergeCell ref="B81:AG81"/>
    <mergeCell ref="AH81:AK81"/>
    <mergeCell ref="B88:AG88"/>
    <mergeCell ref="AH88:AK88"/>
    <mergeCell ref="B89:AG89"/>
    <mergeCell ref="AH89:AK89"/>
    <mergeCell ref="B90:AG90"/>
    <mergeCell ref="AH90:AK90"/>
    <mergeCell ref="B85:AG85"/>
    <mergeCell ref="AH85:AK85"/>
    <mergeCell ref="B86:AG86"/>
    <mergeCell ref="AH86:AK86"/>
    <mergeCell ref="B87:AG87"/>
    <mergeCell ref="AH87:AK87"/>
    <mergeCell ref="B94:AG94"/>
    <mergeCell ref="AH94:AK94"/>
    <mergeCell ref="B95:AG95"/>
    <mergeCell ref="AH95:AK95"/>
    <mergeCell ref="B96:AG96"/>
    <mergeCell ref="AH96:AK96"/>
    <mergeCell ref="B91:AG91"/>
    <mergeCell ref="AH91:AK91"/>
    <mergeCell ref="B92:AG92"/>
    <mergeCell ref="AH92:AK92"/>
    <mergeCell ref="B93:AG93"/>
    <mergeCell ref="AH93:AK93"/>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s>
  <phoneticPr fontId="12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GR522"/>
  <sheetViews>
    <sheetView zoomScale="96" zoomScaleNormal="96" zoomScaleSheetLayoutView="100" workbookViewId="0"/>
  </sheetViews>
  <sheetFormatPr defaultColWidth="2.6640625" defaultRowHeight="13.2"/>
  <cols>
    <col min="1" max="1" width="1.6640625" style="386" customWidth="1"/>
    <col min="2" max="8" width="2.6640625" style="386" customWidth="1"/>
    <col min="9" max="9" width="3" style="386" customWidth="1"/>
    <col min="10" max="34" width="2.6640625" style="386" customWidth="1"/>
    <col min="35" max="37" width="2.44140625" style="386" customWidth="1"/>
    <col min="38" max="38" width="0.88671875" style="386" customWidth="1"/>
    <col min="39" max="44" width="6.6640625" style="386" hidden="1" customWidth="1"/>
    <col min="45" max="51" width="0" style="386" hidden="1" customWidth="1"/>
    <col min="52" max="52" width="2.6640625" style="386" customWidth="1"/>
    <col min="53" max="53" width="1.6640625" style="386" customWidth="1"/>
    <col min="54" max="60" width="2.6640625" style="386" customWidth="1"/>
    <col min="61" max="61" width="3" style="386" customWidth="1"/>
    <col min="62" max="86" width="2.6640625" style="386" customWidth="1"/>
    <col min="87" max="89" width="2.44140625" style="386" customWidth="1"/>
    <col min="90" max="90" width="0.88671875" style="386" customWidth="1"/>
    <col min="91" max="96" width="6.6640625" style="386" hidden="1" customWidth="1"/>
    <col min="97" max="103" width="0" style="386" hidden="1" customWidth="1"/>
    <col min="104" max="142" width="2.6640625" style="386" customWidth="1"/>
    <col min="143" max="143" width="0" style="386" hidden="1" customWidth="1"/>
    <col min="144" max="145" width="7.33203125" style="386" hidden="1" customWidth="1"/>
    <col min="146" max="146" width="7.109375" style="386" hidden="1" customWidth="1"/>
    <col min="147" max="147" width="7" style="386" hidden="1" customWidth="1"/>
    <col min="148" max="155" width="0" style="386" hidden="1" customWidth="1"/>
    <col min="156" max="194" width="2.6640625" style="386" customWidth="1"/>
    <col min="195" max="195" width="0" style="386" hidden="1" customWidth="1"/>
    <col min="196" max="196" width="9.33203125" style="386" hidden="1" customWidth="1"/>
    <col min="197" max="197" width="8.44140625" style="386" hidden="1" customWidth="1"/>
    <col min="198" max="198" width="8.109375" style="386" hidden="1" customWidth="1"/>
    <col min="199" max="199" width="6.6640625" style="386" hidden="1" customWidth="1"/>
    <col min="200" max="200" width="0" style="386" hidden="1" customWidth="1"/>
    <col min="201" max="201" width="2.6640625" style="386" customWidth="1"/>
    <col min="202" max="16384" width="2.6640625" style="386"/>
  </cols>
  <sheetData>
    <row r="1" spans="1:200" ht="15" customHeight="1">
      <c r="A1" s="403" t="s">
        <v>3236</v>
      </c>
      <c r="B1" s="403"/>
      <c r="C1" s="387"/>
      <c r="D1" s="1642" t="s">
        <v>3069</v>
      </c>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387"/>
      <c r="AK1" s="387"/>
      <c r="AL1" s="404"/>
      <c r="AM1" s="387"/>
      <c r="BA1" s="403" t="s">
        <v>3237</v>
      </c>
      <c r="BB1" s="403"/>
      <c r="BC1" s="387"/>
      <c r="BD1" s="1642" t="s">
        <v>3069</v>
      </c>
      <c r="BE1" s="1642"/>
      <c r="BF1" s="1642"/>
      <c r="BG1" s="1642"/>
      <c r="BH1" s="1642"/>
      <c r="BI1" s="1642"/>
      <c r="BJ1" s="1642"/>
      <c r="BK1" s="1642"/>
      <c r="BL1" s="1642"/>
      <c r="BM1" s="1642"/>
      <c r="BN1" s="1642"/>
      <c r="BO1" s="1642"/>
      <c r="BP1" s="1642"/>
      <c r="BQ1" s="1642"/>
      <c r="BR1" s="1642"/>
      <c r="BS1" s="1642"/>
      <c r="BT1" s="1642"/>
      <c r="BU1" s="1642"/>
      <c r="BV1" s="1642"/>
      <c r="BW1" s="1642"/>
      <c r="BX1" s="1642"/>
      <c r="BY1" s="1642"/>
      <c r="BZ1" s="1642"/>
      <c r="CA1" s="1642"/>
      <c r="CB1" s="1642"/>
      <c r="CC1" s="1642"/>
      <c r="CD1" s="1642"/>
      <c r="CE1" s="1642"/>
      <c r="CF1" s="1642"/>
      <c r="CG1" s="1642"/>
      <c r="CH1" s="1642"/>
      <c r="CI1" s="1642"/>
      <c r="CJ1" s="387"/>
      <c r="CK1" s="404"/>
      <c r="CL1" s="404"/>
      <c r="CM1" s="387"/>
      <c r="DA1" s="403" t="s">
        <v>3238</v>
      </c>
      <c r="DB1" s="403"/>
      <c r="DC1" s="387"/>
      <c r="DD1" s="1642" t="s">
        <v>3069</v>
      </c>
      <c r="DE1" s="1642"/>
      <c r="DF1" s="1642"/>
      <c r="DG1" s="1642"/>
      <c r="DH1" s="1642"/>
      <c r="DI1" s="1642"/>
      <c r="DJ1" s="1642"/>
      <c r="DK1" s="1642"/>
      <c r="DL1" s="1642"/>
      <c r="DM1" s="1642"/>
      <c r="DN1" s="1642"/>
      <c r="DO1" s="1642"/>
      <c r="DP1" s="1642"/>
      <c r="DQ1" s="1642"/>
      <c r="DR1" s="1642"/>
      <c r="DS1" s="1642"/>
      <c r="DT1" s="1642"/>
      <c r="DU1" s="1642"/>
      <c r="DV1" s="1642"/>
      <c r="DW1" s="1642"/>
      <c r="DX1" s="1642"/>
      <c r="DY1" s="1642"/>
      <c r="DZ1" s="1642"/>
      <c r="EA1" s="1642"/>
      <c r="EB1" s="1642"/>
      <c r="EC1" s="1642"/>
      <c r="ED1" s="1642"/>
      <c r="EE1" s="1642"/>
      <c r="EF1" s="1642"/>
      <c r="EG1" s="1642"/>
      <c r="EH1" s="1642"/>
      <c r="EI1" s="1642"/>
      <c r="EJ1" s="387"/>
      <c r="EK1" s="404"/>
      <c r="EL1" s="404"/>
      <c r="EM1" s="387"/>
      <c r="FA1" s="403" t="s">
        <v>3239</v>
      </c>
      <c r="FB1" s="403"/>
      <c r="FC1" s="387"/>
      <c r="FD1" s="1642" t="s">
        <v>3069</v>
      </c>
      <c r="FE1" s="1642"/>
      <c r="FF1" s="1642"/>
      <c r="FG1" s="1642"/>
      <c r="FH1" s="1642"/>
      <c r="FI1" s="1642"/>
      <c r="FJ1" s="1642"/>
      <c r="FK1" s="1642"/>
      <c r="FL1" s="1642"/>
      <c r="FM1" s="1642"/>
      <c r="FN1" s="1642"/>
      <c r="FO1" s="1642"/>
      <c r="FP1" s="1642"/>
      <c r="FQ1" s="1642"/>
      <c r="FR1" s="1642"/>
      <c r="FS1" s="1642"/>
      <c r="FT1" s="1642"/>
      <c r="FU1" s="1642"/>
      <c r="FV1" s="1642"/>
      <c r="FW1" s="1642"/>
      <c r="FX1" s="1642"/>
      <c r="FY1" s="1642"/>
      <c r="FZ1" s="1642"/>
      <c r="GA1" s="1642"/>
      <c r="GB1" s="1642"/>
      <c r="GC1" s="1642"/>
      <c r="GD1" s="1642"/>
      <c r="GE1" s="1642"/>
      <c r="GF1" s="1642"/>
      <c r="GG1" s="1642"/>
      <c r="GH1" s="1642"/>
      <c r="GI1" s="1642"/>
      <c r="GJ1" s="387"/>
      <c r="GK1" s="404"/>
      <c r="GL1" s="404"/>
      <c r="GM1" s="387"/>
    </row>
    <row r="2" spans="1:200" ht="3.9" customHeight="1">
      <c r="A2" s="405"/>
      <c r="B2" s="405"/>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4"/>
      <c r="AL2" s="404"/>
      <c r="AM2" s="387"/>
      <c r="BA2" s="405"/>
      <c r="BB2" s="405"/>
      <c r="BC2" s="405"/>
      <c r="BD2" s="405"/>
      <c r="BE2" s="405"/>
      <c r="BF2" s="405"/>
      <c r="BG2" s="405"/>
      <c r="BH2" s="405"/>
      <c r="BI2" s="405"/>
      <c r="BJ2" s="405"/>
      <c r="BK2" s="405"/>
      <c r="BL2" s="405"/>
      <c r="BM2" s="405"/>
      <c r="BN2" s="405"/>
      <c r="BO2" s="405"/>
      <c r="BP2" s="405"/>
      <c r="BQ2" s="405"/>
      <c r="BR2" s="405"/>
      <c r="BS2" s="405"/>
      <c r="BT2" s="405"/>
      <c r="BU2" s="405"/>
      <c r="BV2" s="405"/>
      <c r="BW2" s="405"/>
      <c r="BX2" s="405"/>
      <c r="BY2" s="405"/>
      <c r="BZ2" s="405"/>
      <c r="CA2" s="405"/>
      <c r="CB2" s="405"/>
      <c r="CC2" s="405"/>
      <c r="CD2" s="405"/>
      <c r="CE2" s="405"/>
      <c r="CF2" s="405"/>
      <c r="CG2" s="405"/>
      <c r="CH2" s="405"/>
      <c r="CI2" s="405"/>
      <c r="CJ2" s="405"/>
      <c r="CK2" s="404"/>
      <c r="CL2" s="404"/>
      <c r="CM2" s="387"/>
      <c r="DA2" s="405"/>
      <c r="DB2" s="405"/>
      <c r="DC2" s="405"/>
      <c r="DD2" s="405"/>
      <c r="DE2" s="405"/>
      <c r="DF2" s="405"/>
      <c r="DG2" s="405"/>
      <c r="DH2" s="405"/>
      <c r="DI2" s="405"/>
      <c r="DJ2" s="405"/>
      <c r="DK2" s="405"/>
      <c r="DL2" s="405"/>
      <c r="DM2" s="405"/>
      <c r="DN2" s="405"/>
      <c r="DO2" s="405"/>
      <c r="DP2" s="405"/>
      <c r="DQ2" s="405"/>
      <c r="DR2" s="405"/>
      <c r="DS2" s="405"/>
      <c r="DT2" s="405"/>
      <c r="DU2" s="405"/>
      <c r="DV2" s="405"/>
      <c r="DW2" s="405"/>
      <c r="DX2" s="405"/>
      <c r="DY2" s="405"/>
      <c r="DZ2" s="405"/>
      <c r="EA2" s="405"/>
      <c r="EB2" s="405"/>
      <c r="EC2" s="405"/>
      <c r="ED2" s="405"/>
      <c r="EE2" s="405"/>
      <c r="EF2" s="405"/>
      <c r="EG2" s="405"/>
      <c r="EH2" s="405"/>
      <c r="EI2" s="405"/>
      <c r="EJ2" s="405"/>
      <c r="EK2" s="404"/>
      <c r="EL2" s="404"/>
      <c r="EM2" s="387"/>
      <c r="FA2" s="405"/>
      <c r="FB2" s="405"/>
      <c r="FC2" s="405"/>
      <c r="FD2" s="405"/>
      <c r="FE2" s="405"/>
      <c r="FF2" s="405"/>
      <c r="FG2" s="405"/>
      <c r="FH2" s="405"/>
      <c r="FI2" s="405"/>
      <c r="FJ2" s="405"/>
      <c r="FK2" s="405"/>
      <c r="FL2" s="405"/>
      <c r="FM2" s="405"/>
      <c r="FN2" s="405"/>
      <c r="FO2" s="405"/>
      <c r="FP2" s="405"/>
      <c r="FQ2" s="405"/>
      <c r="FR2" s="405"/>
      <c r="FS2" s="405"/>
      <c r="FT2" s="405"/>
      <c r="FU2" s="405"/>
      <c r="FV2" s="405"/>
      <c r="FW2" s="405"/>
      <c r="FX2" s="405"/>
      <c r="FY2" s="405"/>
      <c r="FZ2" s="405"/>
      <c r="GA2" s="405"/>
      <c r="GB2" s="405"/>
      <c r="GC2" s="405"/>
      <c r="GD2" s="405"/>
      <c r="GE2" s="405"/>
      <c r="GF2" s="405"/>
      <c r="GG2" s="405"/>
      <c r="GH2" s="405"/>
      <c r="GI2" s="405"/>
      <c r="GJ2" s="405"/>
      <c r="GK2" s="404"/>
      <c r="GL2" s="404"/>
      <c r="GM2" s="387"/>
    </row>
    <row r="3" spans="1:200" ht="3.9" customHeight="1">
      <c r="A3" s="406"/>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387"/>
      <c r="BA3" s="406"/>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8"/>
      <c r="CM3" s="387"/>
      <c r="DA3" s="406"/>
      <c r="DB3" s="407"/>
      <c r="DC3" s="407"/>
      <c r="DD3" s="407"/>
      <c r="DE3" s="407"/>
      <c r="DF3" s="407"/>
      <c r="DG3" s="407"/>
      <c r="DH3" s="407"/>
      <c r="DI3" s="407"/>
      <c r="DJ3" s="407"/>
      <c r="DK3" s="407"/>
      <c r="DL3" s="407"/>
      <c r="DM3" s="407"/>
      <c r="DN3" s="407"/>
      <c r="DO3" s="407"/>
      <c r="DP3" s="407"/>
      <c r="DQ3" s="407"/>
      <c r="DR3" s="407"/>
      <c r="DS3" s="407"/>
      <c r="DT3" s="407"/>
      <c r="DU3" s="407"/>
      <c r="DV3" s="407"/>
      <c r="DW3" s="407"/>
      <c r="DX3" s="407"/>
      <c r="DY3" s="407"/>
      <c r="DZ3" s="407"/>
      <c r="EA3" s="407"/>
      <c r="EB3" s="407"/>
      <c r="EC3" s="407"/>
      <c r="ED3" s="407"/>
      <c r="EE3" s="407"/>
      <c r="EF3" s="407"/>
      <c r="EG3" s="407"/>
      <c r="EH3" s="407"/>
      <c r="EI3" s="407"/>
      <c r="EJ3" s="407"/>
      <c r="EK3" s="407"/>
      <c r="EL3" s="408"/>
      <c r="EM3" s="387"/>
      <c r="FA3" s="406"/>
      <c r="FB3" s="407"/>
      <c r="FC3" s="407"/>
      <c r="FD3" s="407"/>
      <c r="FE3" s="407"/>
      <c r="FF3" s="407"/>
      <c r="FG3" s="407"/>
      <c r="FH3" s="407"/>
      <c r="FI3" s="407"/>
      <c r="FJ3" s="407"/>
      <c r="FK3" s="407"/>
      <c r="FL3" s="407"/>
      <c r="FM3" s="407"/>
      <c r="FN3" s="407"/>
      <c r="FO3" s="407"/>
      <c r="FP3" s="407"/>
      <c r="FQ3" s="407"/>
      <c r="FR3" s="407"/>
      <c r="FS3" s="407"/>
      <c r="FT3" s="407"/>
      <c r="FU3" s="407"/>
      <c r="FV3" s="407"/>
      <c r="FW3" s="407"/>
      <c r="FX3" s="407"/>
      <c r="FY3" s="407"/>
      <c r="FZ3" s="407"/>
      <c r="GA3" s="407"/>
      <c r="GB3" s="407"/>
      <c r="GC3" s="407"/>
      <c r="GD3" s="407"/>
      <c r="GE3" s="407"/>
      <c r="GF3" s="407"/>
      <c r="GG3" s="407"/>
      <c r="GH3" s="407"/>
      <c r="GI3" s="407"/>
      <c r="GJ3" s="407"/>
      <c r="GK3" s="407"/>
      <c r="GL3" s="408"/>
      <c r="GM3" s="387"/>
    </row>
    <row r="4" spans="1:200" ht="17.399999999999999" customHeight="1">
      <c r="A4" s="388" t="s">
        <v>3090</v>
      </c>
      <c r="B4" s="387"/>
      <c r="C4" s="387"/>
      <c r="D4" s="387"/>
      <c r="E4" s="387"/>
      <c r="F4" s="387"/>
      <c r="G4" s="387"/>
      <c r="H4" s="387"/>
      <c r="I4" s="409"/>
      <c r="J4" s="410"/>
      <c r="K4" s="393" t="s">
        <v>3091</v>
      </c>
      <c r="L4" s="393"/>
      <c r="M4" s="393"/>
      <c r="N4" s="393"/>
      <c r="O4" s="411"/>
      <c r="P4" s="393" t="s">
        <v>3092</v>
      </c>
      <c r="Q4" s="393"/>
      <c r="R4" s="393"/>
      <c r="S4" s="393"/>
      <c r="T4" s="411"/>
      <c r="U4" s="393" t="s">
        <v>3093</v>
      </c>
      <c r="V4" s="393"/>
      <c r="W4" s="393"/>
      <c r="X4" s="393"/>
      <c r="Y4" s="411"/>
      <c r="Z4" s="393" t="s">
        <v>3094</v>
      </c>
      <c r="AA4" s="393"/>
      <c r="AB4" s="393"/>
      <c r="AC4" s="393"/>
      <c r="AD4" s="412"/>
      <c r="AE4" s="387"/>
      <c r="AF4" s="387"/>
      <c r="AL4" s="409"/>
      <c r="AM4" s="387" t="str">
        <f>IF(COUNTIF(AN4:AQ4,TRUE)&gt;1,"複数選択",IF(COUNTIF(AN4:AQ4,TRUE)=0,"未入力",""))</f>
        <v>未入力</v>
      </c>
      <c r="AN4" s="386" t="b">
        <v>0</v>
      </c>
      <c r="AO4" s="386" t="b">
        <v>0</v>
      </c>
      <c r="AP4" s="386" t="b">
        <v>0</v>
      </c>
      <c r="AQ4" s="386" t="b">
        <v>0</v>
      </c>
      <c r="AS4" s="413">
        <f>COUNTIF(AN4:AQ4, TRUE)</f>
        <v>0</v>
      </c>
      <c r="AT4" s="414" t="str">
        <f>IF(AS4&gt;=2, "選択は1つまでです。",IF(COUNTIF(AN4:AQ4,TRUE)=0,"未入力です。",""))</f>
        <v>未入力です。</v>
      </c>
      <c r="AU4" s="414"/>
      <c r="AV4" s="414"/>
      <c r="AW4" s="414"/>
      <c r="AX4" s="414"/>
      <c r="AY4" s="414"/>
      <c r="BA4" s="388" t="s">
        <v>3090</v>
      </c>
      <c r="BB4" s="387"/>
      <c r="BC4" s="387"/>
      <c r="BD4" s="387"/>
      <c r="BE4" s="387"/>
      <c r="BF4" s="387"/>
      <c r="BG4" s="387"/>
      <c r="BH4" s="387"/>
      <c r="BI4" s="409"/>
      <c r="BJ4" s="410"/>
      <c r="BK4" s="393" t="s">
        <v>3091</v>
      </c>
      <c r="BL4" s="393"/>
      <c r="BM4" s="393"/>
      <c r="BN4" s="393"/>
      <c r="BO4" s="411"/>
      <c r="BP4" s="393" t="s">
        <v>3092</v>
      </c>
      <c r="BQ4" s="393"/>
      <c r="BR4" s="393"/>
      <c r="BS4" s="393"/>
      <c r="BT4" s="411"/>
      <c r="BU4" s="393" t="s">
        <v>3093</v>
      </c>
      <c r="BV4" s="393"/>
      <c r="BW4" s="393"/>
      <c r="BX4" s="393"/>
      <c r="BY4" s="411"/>
      <c r="BZ4" s="393" t="s">
        <v>3094</v>
      </c>
      <c r="CA4" s="393"/>
      <c r="CB4" s="393"/>
      <c r="CC4" s="393"/>
      <c r="CD4" s="412"/>
      <c r="CE4" s="387"/>
      <c r="CF4" s="387"/>
      <c r="CL4" s="409"/>
      <c r="CM4" s="387" t="str">
        <f>IF(COUNTIF(CN4:CQ4,TRUE)&gt;1,"複数選択",IF(COUNTIF(CN4:CQ4,TRUE)=0,"未入力",""))</f>
        <v>未入力</v>
      </c>
      <c r="CN4" s="386" t="b">
        <v>0</v>
      </c>
      <c r="CO4" s="386" t="b">
        <v>0</v>
      </c>
      <c r="CP4" s="386" t="b">
        <v>0</v>
      </c>
      <c r="CQ4" s="386" t="b">
        <v>0</v>
      </c>
      <c r="CS4" s="413">
        <f>COUNTIF(CN4:CQ4, TRUE)</f>
        <v>0</v>
      </c>
      <c r="CT4" s="414" t="str">
        <f>IF(CS4&gt;=2, "選択は1つまでです。",IF(COUNTIF(CN4:CQ4,TRUE)=0,"未入力です。",""))</f>
        <v>未入力です。</v>
      </c>
      <c r="CU4" s="414"/>
      <c r="CV4" s="414"/>
      <c r="CW4" s="414"/>
      <c r="CX4" s="414"/>
      <c r="CY4" s="414"/>
      <c r="DA4" s="388" t="s">
        <v>3090</v>
      </c>
      <c r="DB4" s="387"/>
      <c r="DC4" s="387"/>
      <c r="DD4" s="387"/>
      <c r="DE4" s="387"/>
      <c r="DF4" s="387"/>
      <c r="DG4" s="387"/>
      <c r="DH4" s="387"/>
      <c r="DI4" s="409"/>
      <c r="DJ4" s="410"/>
      <c r="DK4" s="393" t="s">
        <v>3091</v>
      </c>
      <c r="DL4" s="393"/>
      <c r="DM4" s="393"/>
      <c r="DN4" s="393"/>
      <c r="DO4" s="411"/>
      <c r="DP4" s="393" t="s">
        <v>3092</v>
      </c>
      <c r="DQ4" s="393"/>
      <c r="DR4" s="393"/>
      <c r="DS4" s="393"/>
      <c r="DT4" s="411"/>
      <c r="DU4" s="393" t="s">
        <v>3093</v>
      </c>
      <c r="DV4" s="393"/>
      <c r="DW4" s="393"/>
      <c r="DX4" s="393"/>
      <c r="DY4" s="411"/>
      <c r="DZ4" s="393" t="s">
        <v>3094</v>
      </c>
      <c r="EA4" s="393"/>
      <c r="EB4" s="393"/>
      <c r="EC4" s="393"/>
      <c r="ED4" s="412"/>
      <c r="EE4" s="387"/>
      <c r="EF4" s="387"/>
      <c r="EL4" s="409"/>
      <c r="EM4" s="387" t="str">
        <f>IF(COUNTIF(EN4:EQ4,TRUE)&gt;1,"複数選択",IF(COUNTIF(EN4:EQ4,TRUE)=0,"未入力",""))</f>
        <v>未入力</v>
      </c>
      <c r="EN4" s="386" t="b">
        <v>0</v>
      </c>
      <c r="EO4" s="386" t="b">
        <v>0</v>
      </c>
      <c r="EP4" s="386" t="b">
        <v>0</v>
      </c>
      <c r="EQ4" s="386" t="b">
        <v>0</v>
      </c>
      <c r="ES4" s="413">
        <f>COUNTIF(EN4:EQ4, TRUE)</f>
        <v>0</v>
      </c>
      <c r="ET4" s="414" t="str">
        <f>IF(ES4&gt;=2, "選択は1つまでです。",IF(COUNTIF(EN4:EQ4,TRUE)=0,"未入力です。",""))</f>
        <v>未入力です。</v>
      </c>
      <c r="FA4" s="388" t="s">
        <v>3090</v>
      </c>
      <c r="FB4" s="387"/>
      <c r="FC4" s="387"/>
      <c r="FD4" s="387"/>
      <c r="FE4" s="387"/>
      <c r="FF4" s="387"/>
      <c r="FG4" s="387"/>
      <c r="FH4" s="387"/>
      <c r="FI4" s="409"/>
      <c r="FJ4" s="410"/>
      <c r="FK4" s="393" t="s">
        <v>3091</v>
      </c>
      <c r="FL4" s="393"/>
      <c r="FM4" s="393"/>
      <c r="FN4" s="393"/>
      <c r="FO4" s="411"/>
      <c r="FP4" s="393" t="s">
        <v>3092</v>
      </c>
      <c r="FQ4" s="393"/>
      <c r="FR4" s="393"/>
      <c r="FS4" s="393"/>
      <c r="FT4" s="411"/>
      <c r="FU4" s="393" t="s">
        <v>3093</v>
      </c>
      <c r="FV4" s="393"/>
      <c r="FW4" s="393"/>
      <c r="FX4" s="393"/>
      <c r="FY4" s="411"/>
      <c r="FZ4" s="393" t="s">
        <v>3094</v>
      </c>
      <c r="GA4" s="393"/>
      <c r="GB4" s="393"/>
      <c r="GC4" s="393"/>
      <c r="GD4" s="412"/>
      <c r="GE4" s="387"/>
      <c r="GF4" s="387"/>
      <c r="GL4" s="409"/>
      <c r="GM4" s="387" t="str">
        <f>IF(COUNTIF(GN4:GQ4,TRUE)&gt;1,"複数選択",IF(COUNTIF(GN4:GQ4,TRUE)=0,"未入力",""))</f>
        <v>未入力</v>
      </c>
      <c r="GN4" s="386" t="b">
        <v>0</v>
      </c>
      <c r="GO4" s="386" t="b">
        <v>0</v>
      </c>
      <c r="GP4" s="386" t="b">
        <v>0</v>
      </c>
      <c r="GQ4" s="386" t="b">
        <v>0</v>
      </c>
    </row>
    <row r="5" spans="1:200" ht="3.9" customHeight="1">
      <c r="A5" s="388"/>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415"/>
      <c r="AM5" s="387"/>
      <c r="AS5" s="413"/>
      <c r="BA5" s="388"/>
      <c r="BB5" s="387"/>
      <c r="BC5" s="387"/>
      <c r="BD5" s="387"/>
      <c r="BE5" s="387"/>
      <c r="BF5" s="387"/>
      <c r="BG5" s="387"/>
      <c r="BH5" s="387"/>
      <c r="BI5" s="387"/>
      <c r="BJ5" s="387"/>
      <c r="BK5" s="387"/>
      <c r="BL5" s="387"/>
      <c r="BM5" s="387"/>
      <c r="BN5" s="387"/>
      <c r="BO5" s="387"/>
      <c r="BP5" s="387"/>
      <c r="BQ5" s="387"/>
      <c r="BR5" s="387"/>
      <c r="BS5" s="387"/>
      <c r="BT5" s="387"/>
      <c r="BU5" s="387"/>
      <c r="BV5" s="387"/>
      <c r="BW5" s="387"/>
      <c r="BX5" s="387"/>
      <c r="BY5" s="387"/>
      <c r="BZ5" s="387"/>
      <c r="CA5" s="387"/>
      <c r="CB5" s="387"/>
      <c r="CC5" s="387"/>
      <c r="CD5" s="387"/>
      <c r="CE5" s="387"/>
      <c r="CF5" s="387"/>
      <c r="CG5" s="387"/>
      <c r="CH5" s="387"/>
      <c r="CI5" s="387"/>
      <c r="CJ5" s="387"/>
      <c r="CK5" s="387"/>
      <c r="CL5" s="415"/>
      <c r="CM5" s="387"/>
      <c r="CS5" s="413"/>
      <c r="DA5" s="388"/>
      <c r="DB5" s="387"/>
      <c r="DC5" s="387"/>
      <c r="DD5" s="387"/>
      <c r="DE5" s="387"/>
      <c r="DF5" s="387"/>
      <c r="DG5" s="387"/>
      <c r="DH5" s="387"/>
      <c r="DI5" s="387"/>
      <c r="DJ5" s="387"/>
      <c r="DK5" s="387"/>
      <c r="DL5" s="387"/>
      <c r="DM5" s="387"/>
      <c r="DN5" s="387"/>
      <c r="DO5" s="387"/>
      <c r="DP5" s="387"/>
      <c r="DQ5" s="387"/>
      <c r="DR5" s="387"/>
      <c r="DS5" s="387"/>
      <c r="DT5" s="387"/>
      <c r="DU5" s="387"/>
      <c r="DV5" s="387"/>
      <c r="DW5" s="387"/>
      <c r="DX5" s="387"/>
      <c r="DY5" s="387"/>
      <c r="DZ5" s="387"/>
      <c r="EA5" s="387"/>
      <c r="EB5" s="387"/>
      <c r="EC5" s="387"/>
      <c r="ED5" s="387"/>
      <c r="EE5" s="387"/>
      <c r="EF5" s="387"/>
      <c r="EG5" s="387"/>
      <c r="EH5" s="387"/>
      <c r="EI5" s="387"/>
      <c r="EJ5" s="387"/>
      <c r="EK5" s="387"/>
      <c r="EL5" s="415"/>
      <c r="EM5" s="387"/>
      <c r="ES5" s="413"/>
      <c r="FA5" s="388"/>
      <c r="FB5" s="387"/>
      <c r="FC5" s="387"/>
      <c r="FD5" s="387"/>
      <c r="FE5" s="387"/>
      <c r="FF5" s="387"/>
      <c r="FG5" s="387"/>
      <c r="FH5" s="387"/>
      <c r="FI5" s="387"/>
      <c r="FJ5" s="387"/>
      <c r="FK5" s="387"/>
      <c r="FL5" s="387"/>
      <c r="FM5" s="387"/>
      <c r="FN5" s="387"/>
      <c r="FO5" s="387"/>
      <c r="FP5" s="387"/>
      <c r="FQ5" s="387"/>
      <c r="FR5" s="387"/>
      <c r="FS5" s="387"/>
      <c r="FT5" s="387"/>
      <c r="FU5" s="387"/>
      <c r="FV5" s="387"/>
      <c r="FW5" s="387"/>
      <c r="FX5" s="387"/>
      <c r="FY5" s="387"/>
      <c r="FZ5" s="387"/>
      <c r="GA5" s="387"/>
      <c r="GB5" s="387"/>
      <c r="GC5" s="387"/>
      <c r="GD5" s="387"/>
      <c r="GE5" s="387"/>
      <c r="GF5" s="387"/>
      <c r="GG5" s="387"/>
      <c r="GH5" s="387"/>
      <c r="GI5" s="387"/>
      <c r="GJ5" s="387"/>
      <c r="GK5" s="387"/>
      <c r="GL5" s="415"/>
      <c r="GM5" s="387"/>
    </row>
    <row r="6" spans="1:200" ht="3.6" customHeight="1">
      <c r="A6" s="388"/>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415"/>
      <c r="AM6" s="387"/>
      <c r="AS6" s="413"/>
      <c r="BA6" s="388"/>
      <c r="BB6" s="387"/>
      <c r="BC6" s="387"/>
      <c r="BD6" s="387"/>
      <c r="BE6" s="387"/>
      <c r="BF6" s="387"/>
      <c r="BG6" s="387"/>
      <c r="BH6" s="387"/>
      <c r="BI6" s="387"/>
      <c r="BJ6" s="387"/>
      <c r="BK6" s="387"/>
      <c r="BL6" s="387"/>
      <c r="BM6" s="387"/>
      <c r="BN6" s="387"/>
      <c r="BO6" s="387"/>
      <c r="BP6" s="387"/>
      <c r="BQ6" s="387"/>
      <c r="BR6" s="387"/>
      <c r="BS6" s="387"/>
      <c r="BT6" s="387"/>
      <c r="BU6" s="387"/>
      <c r="BV6" s="387"/>
      <c r="BW6" s="387"/>
      <c r="BX6" s="387"/>
      <c r="BY6" s="387"/>
      <c r="BZ6" s="387"/>
      <c r="CA6" s="387"/>
      <c r="CB6" s="387"/>
      <c r="CC6" s="387"/>
      <c r="CD6" s="387"/>
      <c r="CE6" s="387"/>
      <c r="CF6" s="387"/>
      <c r="CG6" s="387"/>
      <c r="CH6" s="387"/>
      <c r="CI6" s="387"/>
      <c r="CJ6" s="387"/>
      <c r="CK6" s="387"/>
      <c r="CL6" s="415"/>
      <c r="CM6" s="387"/>
      <c r="CS6" s="413"/>
      <c r="DA6" s="388"/>
      <c r="DB6" s="387"/>
      <c r="DC6" s="387"/>
      <c r="DD6" s="387"/>
      <c r="DE6" s="387"/>
      <c r="DF6" s="387"/>
      <c r="DG6" s="387"/>
      <c r="DH6" s="387"/>
      <c r="DI6" s="387"/>
      <c r="DJ6" s="387"/>
      <c r="DK6" s="387"/>
      <c r="DL6" s="387"/>
      <c r="DM6" s="387"/>
      <c r="DN6" s="387"/>
      <c r="DO6" s="387"/>
      <c r="DP6" s="387"/>
      <c r="DQ6" s="387"/>
      <c r="DR6" s="387"/>
      <c r="DS6" s="387"/>
      <c r="DT6" s="387"/>
      <c r="DU6" s="387"/>
      <c r="DV6" s="387"/>
      <c r="DW6" s="387"/>
      <c r="DX6" s="387"/>
      <c r="DY6" s="387"/>
      <c r="DZ6" s="387"/>
      <c r="EA6" s="387"/>
      <c r="EB6" s="387"/>
      <c r="EC6" s="387"/>
      <c r="ED6" s="387"/>
      <c r="EE6" s="387"/>
      <c r="EF6" s="387"/>
      <c r="EG6" s="387"/>
      <c r="EH6" s="387"/>
      <c r="EI6" s="387"/>
      <c r="EJ6" s="387"/>
      <c r="EK6" s="387"/>
      <c r="EL6" s="415"/>
      <c r="EM6" s="387"/>
      <c r="ES6" s="413"/>
      <c r="FA6" s="388"/>
      <c r="FB6" s="387"/>
      <c r="FC6" s="387"/>
      <c r="FD6" s="387"/>
      <c r="FE6" s="387"/>
      <c r="FF6" s="387"/>
      <c r="FG6" s="387"/>
      <c r="FH6" s="387"/>
      <c r="FI6" s="387"/>
      <c r="FJ6" s="387"/>
      <c r="FK6" s="387"/>
      <c r="FL6" s="387"/>
      <c r="FM6" s="387"/>
      <c r="FN6" s="387"/>
      <c r="FO6" s="387"/>
      <c r="FP6" s="387"/>
      <c r="FQ6" s="387"/>
      <c r="FR6" s="387"/>
      <c r="FS6" s="387"/>
      <c r="FT6" s="387"/>
      <c r="FU6" s="387"/>
      <c r="FV6" s="387"/>
      <c r="FW6" s="387"/>
      <c r="FX6" s="387"/>
      <c r="FY6" s="387"/>
      <c r="FZ6" s="387"/>
      <c r="GA6" s="387"/>
      <c r="GB6" s="387"/>
      <c r="GC6" s="387"/>
      <c r="GD6" s="387"/>
      <c r="GE6" s="387"/>
      <c r="GF6" s="387"/>
      <c r="GG6" s="387"/>
      <c r="GH6" s="387"/>
      <c r="GI6" s="387"/>
      <c r="GJ6" s="387"/>
      <c r="GK6" s="387"/>
      <c r="GL6" s="415"/>
      <c r="GM6" s="387"/>
    </row>
    <row r="7" spans="1:200" ht="23.1" customHeight="1">
      <c r="A7" s="1639" t="s">
        <v>3095</v>
      </c>
      <c r="B7" s="1640"/>
      <c r="C7" s="1640"/>
      <c r="D7" s="1640"/>
      <c r="E7" s="1640"/>
      <c r="F7" s="1640"/>
      <c r="G7" s="1640"/>
      <c r="H7" s="1640"/>
      <c r="I7" s="1641"/>
      <c r="J7" s="1619"/>
      <c r="K7" s="1620"/>
      <c r="L7" s="1620"/>
      <c r="M7" s="1620"/>
      <c r="N7" s="1620"/>
      <c r="O7" s="1620"/>
      <c r="P7" s="1620"/>
      <c r="Q7" s="1620"/>
      <c r="R7" s="1621"/>
      <c r="S7" s="387" t="s">
        <v>3096</v>
      </c>
      <c r="T7" s="387"/>
      <c r="U7" s="387"/>
      <c r="V7" s="387"/>
      <c r="W7" s="387"/>
      <c r="X7" s="387"/>
      <c r="Y7" s="387"/>
      <c r="Z7" s="387"/>
      <c r="AA7" s="387"/>
      <c r="AB7" s="387"/>
      <c r="AC7" s="387"/>
      <c r="AD7" s="387"/>
      <c r="AE7" s="387"/>
      <c r="AF7" s="387"/>
      <c r="AG7" s="387"/>
      <c r="AH7" s="387"/>
      <c r="AI7" s="387"/>
      <c r="AJ7" s="387"/>
      <c r="AK7" s="387"/>
      <c r="AL7" s="415"/>
      <c r="AM7" s="386" t="str">
        <f>IF(COUNTA(J7)=0,"未入力","")</f>
        <v>未入力</v>
      </c>
      <c r="AN7" s="418"/>
      <c r="AO7" s="418"/>
      <c r="AP7" s="418"/>
      <c r="AQ7" s="418"/>
      <c r="AR7" s="418"/>
      <c r="AS7" s="413"/>
      <c r="AT7" s="386" t="str">
        <f>IF(COUNTA(J7)=0,"未入力です。","")</f>
        <v>未入力です。</v>
      </c>
      <c r="BA7" s="1639" t="s">
        <v>3095</v>
      </c>
      <c r="BB7" s="1640"/>
      <c r="BC7" s="1640"/>
      <c r="BD7" s="1640"/>
      <c r="BE7" s="1640"/>
      <c r="BF7" s="1640"/>
      <c r="BG7" s="1640"/>
      <c r="BH7" s="1640"/>
      <c r="BI7" s="1641"/>
      <c r="BJ7" s="1619"/>
      <c r="BK7" s="1620"/>
      <c r="BL7" s="1620"/>
      <c r="BM7" s="1620"/>
      <c r="BN7" s="1620"/>
      <c r="BO7" s="1620"/>
      <c r="BP7" s="1620"/>
      <c r="BQ7" s="1620"/>
      <c r="BR7" s="1621"/>
      <c r="BS7" s="387" t="s">
        <v>3096</v>
      </c>
      <c r="BT7" s="387"/>
      <c r="BU7" s="387"/>
      <c r="BV7" s="387"/>
      <c r="BW7" s="387"/>
      <c r="BX7" s="387"/>
      <c r="BY7" s="387"/>
      <c r="BZ7" s="387"/>
      <c r="CA7" s="387"/>
      <c r="CB7" s="387"/>
      <c r="CC7" s="387"/>
      <c r="CD7" s="387"/>
      <c r="CE7" s="387"/>
      <c r="CF7" s="387"/>
      <c r="CG7" s="387"/>
      <c r="CH7" s="387"/>
      <c r="CI7" s="387"/>
      <c r="CJ7" s="387"/>
      <c r="CK7" s="387"/>
      <c r="CL7" s="415"/>
      <c r="CM7" s="386" t="str">
        <f>IF(COUNTA(BJ7)=0,"未入力","")</f>
        <v>未入力</v>
      </c>
      <c r="CN7" s="418"/>
      <c r="CO7" s="418"/>
      <c r="CP7" s="418"/>
      <c r="CQ7" s="418"/>
      <c r="CR7" s="418"/>
      <c r="CS7" s="413"/>
      <c r="CT7" s="386" t="str">
        <f>IF(COUNTA(BJ7)=0,"未入力です。","")</f>
        <v>未入力です。</v>
      </c>
      <c r="DA7" s="1639" t="s">
        <v>3095</v>
      </c>
      <c r="DB7" s="1640"/>
      <c r="DC7" s="1640"/>
      <c r="DD7" s="1640"/>
      <c r="DE7" s="1640"/>
      <c r="DF7" s="1640"/>
      <c r="DG7" s="1640"/>
      <c r="DH7" s="1640"/>
      <c r="DI7" s="1641"/>
      <c r="DJ7" s="1619"/>
      <c r="DK7" s="1620"/>
      <c r="DL7" s="1620"/>
      <c r="DM7" s="1620"/>
      <c r="DN7" s="1620"/>
      <c r="DO7" s="1620"/>
      <c r="DP7" s="1620"/>
      <c r="DQ7" s="1620"/>
      <c r="DR7" s="1621"/>
      <c r="DS7" s="387" t="s">
        <v>3096</v>
      </c>
      <c r="DT7" s="387"/>
      <c r="DU7" s="387"/>
      <c r="DV7" s="387"/>
      <c r="DW7" s="387"/>
      <c r="DX7" s="387"/>
      <c r="DY7" s="387"/>
      <c r="DZ7" s="387"/>
      <c r="EA7" s="387"/>
      <c r="EB7" s="387"/>
      <c r="EC7" s="387"/>
      <c r="ED7" s="387"/>
      <c r="EE7" s="387"/>
      <c r="EF7" s="387"/>
      <c r="EG7" s="387"/>
      <c r="EH7" s="387"/>
      <c r="EI7" s="387"/>
      <c r="EJ7" s="387"/>
      <c r="EK7" s="387"/>
      <c r="EL7" s="415"/>
      <c r="EM7" s="386" t="str">
        <f>IF(COUNTA(DJ7)=0,"未入力","")</f>
        <v>未入力</v>
      </c>
      <c r="EN7" s="418"/>
      <c r="EO7" s="418"/>
      <c r="EP7" s="418"/>
      <c r="EQ7" s="418"/>
      <c r="ER7" s="418"/>
      <c r="ES7" s="413"/>
      <c r="ET7" s="386" t="str">
        <f>IF(COUNTA(DJ7)=0,"未入力です。","")</f>
        <v>未入力です。</v>
      </c>
      <c r="FA7" s="1639" t="s">
        <v>3095</v>
      </c>
      <c r="FB7" s="1640"/>
      <c r="FC7" s="1640"/>
      <c r="FD7" s="1640"/>
      <c r="FE7" s="1640"/>
      <c r="FF7" s="1640"/>
      <c r="FG7" s="1640"/>
      <c r="FH7" s="1640"/>
      <c r="FI7" s="1641"/>
      <c r="FJ7" s="1619"/>
      <c r="FK7" s="1620"/>
      <c r="FL7" s="1620"/>
      <c r="FM7" s="1620"/>
      <c r="FN7" s="1620"/>
      <c r="FO7" s="1620"/>
      <c r="FP7" s="1620"/>
      <c r="FQ7" s="1620"/>
      <c r="FR7" s="1621"/>
      <c r="FS7" s="387" t="s">
        <v>3096</v>
      </c>
      <c r="FT7" s="387"/>
      <c r="FU7" s="387"/>
      <c r="FV7" s="387"/>
      <c r="FW7" s="387"/>
      <c r="FX7" s="387"/>
      <c r="FY7" s="387"/>
      <c r="FZ7" s="387"/>
      <c r="GA7" s="387"/>
      <c r="GB7" s="387"/>
      <c r="GC7" s="387"/>
      <c r="GD7" s="387"/>
      <c r="GE7" s="387"/>
      <c r="GF7" s="387"/>
      <c r="GG7" s="387"/>
      <c r="GH7" s="387"/>
      <c r="GI7" s="387"/>
      <c r="GJ7" s="387"/>
      <c r="GK7" s="387"/>
      <c r="GL7" s="415"/>
      <c r="GM7" s="386" t="str">
        <f>IF(COUNTA(FJ7)=0,"未入力","")</f>
        <v>未入力</v>
      </c>
      <c r="GN7" s="418"/>
      <c r="GO7" s="418"/>
      <c r="GP7" s="418"/>
      <c r="GQ7" s="418"/>
      <c r="GR7" s="418"/>
    </row>
    <row r="8" spans="1:200" ht="5.0999999999999996" customHeight="1">
      <c r="A8" s="388"/>
      <c r="B8" s="387"/>
      <c r="C8" s="387"/>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415"/>
      <c r="AM8" s="387"/>
      <c r="AS8" s="413"/>
      <c r="BA8" s="388"/>
      <c r="BB8" s="387"/>
      <c r="BC8" s="387"/>
      <c r="BD8" s="387"/>
      <c r="BE8" s="387"/>
      <c r="BF8" s="387"/>
      <c r="BG8" s="387"/>
      <c r="BH8" s="387"/>
      <c r="BI8" s="387"/>
      <c r="BJ8" s="387"/>
      <c r="BK8" s="387"/>
      <c r="BL8" s="387"/>
      <c r="BM8" s="387"/>
      <c r="BN8" s="387"/>
      <c r="BO8" s="387"/>
      <c r="BP8" s="387"/>
      <c r="BQ8" s="387"/>
      <c r="BR8" s="387"/>
      <c r="BS8" s="387"/>
      <c r="BT8" s="387"/>
      <c r="BU8" s="387"/>
      <c r="BV8" s="387"/>
      <c r="BW8" s="387"/>
      <c r="BX8" s="387"/>
      <c r="BY8" s="387"/>
      <c r="BZ8" s="387"/>
      <c r="CA8" s="387"/>
      <c r="CB8" s="387"/>
      <c r="CC8" s="387"/>
      <c r="CD8" s="387"/>
      <c r="CE8" s="387"/>
      <c r="CF8" s="387"/>
      <c r="CG8" s="387"/>
      <c r="CH8" s="387"/>
      <c r="CI8" s="387"/>
      <c r="CJ8" s="387"/>
      <c r="CK8" s="387"/>
      <c r="CL8" s="415"/>
      <c r="CM8" s="387"/>
      <c r="CS8" s="413"/>
      <c r="DA8" s="388"/>
      <c r="DB8" s="387"/>
      <c r="DC8" s="387"/>
      <c r="DD8" s="387"/>
      <c r="DE8" s="387"/>
      <c r="DF8" s="387"/>
      <c r="DG8" s="387"/>
      <c r="DH8" s="387"/>
      <c r="DI8" s="387"/>
      <c r="DJ8" s="387"/>
      <c r="DK8" s="387"/>
      <c r="DL8" s="387"/>
      <c r="DM8" s="387"/>
      <c r="DN8" s="387"/>
      <c r="DO8" s="387"/>
      <c r="DP8" s="387"/>
      <c r="DQ8" s="387"/>
      <c r="DR8" s="387"/>
      <c r="DS8" s="387"/>
      <c r="DT8" s="387"/>
      <c r="DU8" s="387"/>
      <c r="DV8" s="387"/>
      <c r="DW8" s="387"/>
      <c r="DX8" s="387"/>
      <c r="DY8" s="387"/>
      <c r="DZ8" s="387"/>
      <c r="EA8" s="387"/>
      <c r="EB8" s="387"/>
      <c r="EC8" s="387"/>
      <c r="ED8" s="387"/>
      <c r="EE8" s="387"/>
      <c r="EF8" s="387"/>
      <c r="EG8" s="387"/>
      <c r="EH8" s="387"/>
      <c r="EI8" s="387"/>
      <c r="EJ8" s="387"/>
      <c r="EK8" s="387"/>
      <c r="EL8" s="415"/>
      <c r="EM8" s="387"/>
      <c r="ES8" s="413"/>
      <c r="FA8" s="388"/>
      <c r="FB8" s="387"/>
      <c r="FC8" s="387"/>
      <c r="FD8" s="387"/>
      <c r="FE8" s="387"/>
      <c r="FF8" s="387"/>
      <c r="FG8" s="387"/>
      <c r="FH8" s="387"/>
      <c r="FI8" s="387"/>
      <c r="FJ8" s="387"/>
      <c r="FK8" s="387"/>
      <c r="FL8" s="387"/>
      <c r="FM8" s="387"/>
      <c r="FN8" s="387"/>
      <c r="FO8" s="387"/>
      <c r="FP8" s="387"/>
      <c r="FQ8" s="387"/>
      <c r="FR8" s="387"/>
      <c r="FS8" s="387"/>
      <c r="FT8" s="387"/>
      <c r="FU8" s="387"/>
      <c r="FV8" s="387"/>
      <c r="FW8" s="387"/>
      <c r="FX8" s="387"/>
      <c r="FY8" s="387"/>
      <c r="FZ8" s="387"/>
      <c r="GA8" s="387"/>
      <c r="GB8" s="387"/>
      <c r="GC8" s="387"/>
      <c r="GD8" s="387"/>
      <c r="GE8" s="387"/>
      <c r="GF8" s="387"/>
      <c r="GG8" s="387"/>
      <c r="GH8" s="387"/>
      <c r="GI8" s="387"/>
      <c r="GJ8" s="387"/>
      <c r="GK8" s="387"/>
      <c r="GL8" s="415"/>
      <c r="GM8" s="387"/>
    </row>
    <row r="9" spans="1:200" ht="18" customHeight="1">
      <c r="A9" s="1639" t="s">
        <v>3097</v>
      </c>
      <c r="B9" s="1640"/>
      <c r="C9" s="1640"/>
      <c r="D9" s="1640"/>
      <c r="E9" s="1640"/>
      <c r="F9" s="1640"/>
      <c r="G9" s="1640"/>
      <c r="H9" s="1640"/>
      <c r="I9" s="1640"/>
      <c r="J9" s="1640"/>
      <c r="K9" s="1640"/>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7"/>
      <c r="AK9" s="387"/>
      <c r="AL9" s="415"/>
      <c r="AM9" s="387"/>
      <c r="AS9" s="413"/>
      <c r="BA9" s="1639" t="s">
        <v>3097</v>
      </c>
      <c r="BB9" s="1640"/>
      <c r="BC9" s="1640"/>
      <c r="BD9" s="1640"/>
      <c r="BE9" s="1640"/>
      <c r="BF9" s="1640"/>
      <c r="BG9" s="1640"/>
      <c r="BH9" s="1640"/>
      <c r="BI9" s="1640"/>
      <c r="BJ9" s="1640"/>
      <c r="BK9" s="1640"/>
      <c r="BL9" s="387"/>
      <c r="BM9" s="387"/>
      <c r="BN9" s="387"/>
      <c r="BO9" s="387"/>
      <c r="BP9" s="387"/>
      <c r="BQ9" s="387"/>
      <c r="BR9" s="387"/>
      <c r="BS9" s="387"/>
      <c r="BT9" s="387"/>
      <c r="BU9" s="387"/>
      <c r="BV9" s="387"/>
      <c r="BW9" s="387"/>
      <c r="BX9" s="387"/>
      <c r="BY9" s="387"/>
      <c r="BZ9" s="387"/>
      <c r="CA9" s="387"/>
      <c r="CB9" s="387"/>
      <c r="CC9" s="387"/>
      <c r="CD9" s="387"/>
      <c r="CE9" s="387"/>
      <c r="CF9" s="387"/>
      <c r="CG9" s="387"/>
      <c r="CH9" s="387"/>
      <c r="CI9" s="387"/>
      <c r="CJ9" s="387"/>
      <c r="CK9" s="387"/>
      <c r="CL9" s="415"/>
      <c r="CM9" s="387"/>
      <c r="CS9" s="413"/>
      <c r="DA9" s="1639" t="s">
        <v>3097</v>
      </c>
      <c r="DB9" s="1640"/>
      <c r="DC9" s="1640"/>
      <c r="DD9" s="1640"/>
      <c r="DE9" s="1640"/>
      <c r="DF9" s="1640"/>
      <c r="DG9" s="1640"/>
      <c r="DH9" s="1640"/>
      <c r="DI9" s="1640"/>
      <c r="DJ9" s="1640"/>
      <c r="DK9" s="1640"/>
      <c r="DL9" s="387"/>
      <c r="DM9" s="387"/>
      <c r="DN9" s="387"/>
      <c r="DO9" s="387"/>
      <c r="DP9" s="387"/>
      <c r="DQ9" s="387"/>
      <c r="DR9" s="387"/>
      <c r="DS9" s="387"/>
      <c r="DT9" s="387"/>
      <c r="DU9" s="387"/>
      <c r="DV9" s="387"/>
      <c r="DW9" s="387"/>
      <c r="DX9" s="387"/>
      <c r="DY9" s="387"/>
      <c r="DZ9" s="387"/>
      <c r="EA9" s="387"/>
      <c r="EB9" s="387"/>
      <c r="EC9" s="387"/>
      <c r="ED9" s="387"/>
      <c r="EE9" s="387"/>
      <c r="EF9" s="387"/>
      <c r="EG9" s="387"/>
      <c r="EH9" s="387"/>
      <c r="EI9" s="387"/>
      <c r="EJ9" s="387"/>
      <c r="EK9" s="387"/>
      <c r="EL9" s="415"/>
      <c r="EM9" s="387"/>
      <c r="ES9" s="413"/>
      <c r="FA9" s="1639" t="s">
        <v>3097</v>
      </c>
      <c r="FB9" s="1640"/>
      <c r="FC9" s="1640"/>
      <c r="FD9" s="1640"/>
      <c r="FE9" s="1640"/>
      <c r="FF9" s="1640"/>
      <c r="FG9" s="1640"/>
      <c r="FH9" s="1640"/>
      <c r="FI9" s="1640"/>
      <c r="FJ9" s="1640"/>
      <c r="FK9" s="1640"/>
      <c r="FL9" s="387"/>
      <c r="FM9" s="387"/>
      <c r="FN9" s="387"/>
      <c r="FO9" s="387"/>
      <c r="FP9" s="387"/>
      <c r="FQ9" s="387"/>
      <c r="FR9" s="387"/>
      <c r="FS9" s="387"/>
      <c r="FT9" s="387"/>
      <c r="FU9" s="387"/>
      <c r="FV9" s="387"/>
      <c r="FW9" s="387"/>
      <c r="FX9" s="387"/>
      <c r="FY9" s="387"/>
      <c r="FZ9" s="387"/>
      <c r="GA9" s="387"/>
      <c r="GB9" s="387"/>
      <c r="GC9" s="387"/>
      <c r="GD9" s="387"/>
      <c r="GE9" s="387"/>
      <c r="GF9" s="387"/>
      <c r="GG9" s="387"/>
      <c r="GH9" s="387"/>
      <c r="GI9" s="387"/>
      <c r="GJ9" s="387"/>
      <c r="GK9" s="387"/>
      <c r="GL9" s="415"/>
      <c r="GM9" s="387"/>
    </row>
    <row r="10" spans="1:200" ht="23.1" customHeight="1">
      <c r="A10" s="388"/>
      <c r="B10" s="1627" t="s">
        <v>3098</v>
      </c>
      <c r="C10" s="1628"/>
      <c r="D10" s="1628"/>
      <c r="E10" s="1628"/>
      <c r="F10" s="1628"/>
      <c r="G10" s="1628"/>
      <c r="H10" s="1628"/>
      <c r="I10" s="1628"/>
      <c r="J10" s="1622"/>
      <c r="K10" s="1623"/>
      <c r="L10" s="1623"/>
      <c r="M10" s="1623"/>
      <c r="N10" s="1623"/>
      <c r="O10" s="1623"/>
      <c r="P10" s="1623"/>
      <c r="Q10" s="1623"/>
      <c r="R10" s="1643"/>
      <c r="S10" s="1644"/>
      <c r="T10" s="1623"/>
      <c r="U10" s="1623"/>
      <c r="V10" s="1623"/>
      <c r="W10" s="1623"/>
      <c r="X10" s="1623"/>
      <c r="Y10" s="1623"/>
      <c r="Z10" s="1623"/>
      <c r="AA10" s="1643"/>
      <c r="AB10" s="1644"/>
      <c r="AC10" s="1623"/>
      <c r="AD10" s="1623"/>
      <c r="AE10" s="1623"/>
      <c r="AF10" s="1623"/>
      <c r="AG10" s="1623"/>
      <c r="AH10" s="1623"/>
      <c r="AI10" s="1623"/>
      <c r="AJ10" s="1624"/>
      <c r="AK10" s="392"/>
      <c r="AL10" s="419"/>
      <c r="AM10" s="387" t="str">
        <f>IF(COUNTA(J10,S10,AB10)=0,"未入力","")</f>
        <v>未入力</v>
      </c>
      <c r="AN10" s="386" t="str">
        <f>IF(T10&lt;&gt;"","1"&amp;TEXT(T10,"00"),IF(T11&lt;&gt;"","2"&amp;TEXT(T11,"00"),IF(T12&lt;&gt;"","3"&amp;TEXT(T12,"00"),"")))</f>
        <v/>
      </c>
      <c r="AS10" s="413"/>
      <c r="AT10" s="414" t="str">
        <f>IF(COUNTA(J10,S10,AB10)=0,"未入力です。","")</f>
        <v>未入力です。</v>
      </c>
      <c r="AU10" s="414"/>
      <c r="AV10" s="414"/>
      <c r="AW10" s="414"/>
      <c r="AX10" s="414"/>
      <c r="AY10" s="414"/>
      <c r="BA10" s="388"/>
      <c r="BB10" s="1627" t="s">
        <v>3098</v>
      </c>
      <c r="BC10" s="1628"/>
      <c r="BD10" s="1628"/>
      <c r="BE10" s="1628"/>
      <c r="BF10" s="1628"/>
      <c r="BG10" s="1628"/>
      <c r="BH10" s="1628"/>
      <c r="BI10" s="1628"/>
      <c r="BJ10" s="1622"/>
      <c r="BK10" s="1623"/>
      <c r="BL10" s="1623"/>
      <c r="BM10" s="1623"/>
      <c r="BN10" s="1623"/>
      <c r="BO10" s="1623"/>
      <c r="BP10" s="1623"/>
      <c r="BQ10" s="1623"/>
      <c r="BR10" s="1643"/>
      <c r="BS10" s="1644"/>
      <c r="BT10" s="1623"/>
      <c r="BU10" s="1623"/>
      <c r="BV10" s="1623"/>
      <c r="BW10" s="1623"/>
      <c r="BX10" s="1623"/>
      <c r="BY10" s="1623"/>
      <c r="BZ10" s="1623"/>
      <c r="CA10" s="1643"/>
      <c r="CB10" s="1644"/>
      <c r="CC10" s="1623"/>
      <c r="CD10" s="1623"/>
      <c r="CE10" s="1623"/>
      <c r="CF10" s="1623"/>
      <c r="CG10" s="1623"/>
      <c r="CH10" s="1623"/>
      <c r="CI10" s="1623"/>
      <c r="CJ10" s="1624"/>
      <c r="CK10" s="392"/>
      <c r="CL10" s="419"/>
      <c r="CM10" s="387" t="str">
        <f>IF(COUNTA(BJ10,BS10,CB10)=0,"未入力","")</f>
        <v>未入力</v>
      </c>
      <c r="CN10" s="386" t="str">
        <f>IF(BT10&lt;&gt;"","1"&amp;TEXT(BT10,"00"),IF(BT11&lt;&gt;"","2"&amp;TEXT(BT11,"00"),IF(BT12&lt;&gt;"","3"&amp;TEXT(BT12,"00"),"")))</f>
        <v/>
      </c>
      <c r="CS10" s="413"/>
      <c r="CT10" s="414" t="str">
        <f>IF(COUNTA(BJ10,BS10,CB10)=0,"未入力です。","")</f>
        <v>未入力です。</v>
      </c>
      <c r="CU10" s="414"/>
      <c r="CV10" s="414"/>
      <c r="CW10" s="414"/>
      <c r="CX10" s="414"/>
      <c r="CY10" s="414"/>
      <c r="DA10" s="388"/>
      <c r="DB10" s="1627" t="s">
        <v>3098</v>
      </c>
      <c r="DC10" s="1628"/>
      <c r="DD10" s="1628"/>
      <c r="DE10" s="1628"/>
      <c r="DF10" s="1628"/>
      <c r="DG10" s="1628"/>
      <c r="DH10" s="1628"/>
      <c r="DI10" s="1628"/>
      <c r="DJ10" s="1622"/>
      <c r="DK10" s="1623"/>
      <c r="DL10" s="1623"/>
      <c r="DM10" s="1623"/>
      <c r="DN10" s="1623"/>
      <c r="DO10" s="1623"/>
      <c r="DP10" s="1623"/>
      <c r="DQ10" s="1623"/>
      <c r="DR10" s="1643"/>
      <c r="DS10" s="1644"/>
      <c r="DT10" s="1623"/>
      <c r="DU10" s="1623"/>
      <c r="DV10" s="1623"/>
      <c r="DW10" s="1623"/>
      <c r="DX10" s="1623"/>
      <c r="DY10" s="1623"/>
      <c r="DZ10" s="1623"/>
      <c r="EA10" s="1643"/>
      <c r="EB10" s="1644"/>
      <c r="EC10" s="1623"/>
      <c r="ED10" s="1623"/>
      <c r="EE10" s="1623"/>
      <c r="EF10" s="1623"/>
      <c r="EG10" s="1623"/>
      <c r="EH10" s="1623"/>
      <c r="EI10" s="1623"/>
      <c r="EJ10" s="1624"/>
      <c r="EK10" s="392"/>
      <c r="EL10" s="419"/>
      <c r="EM10" s="387" t="str">
        <f>IF(COUNTA(DJ10,DS10,EB10)=0,"未入力","")</f>
        <v>未入力</v>
      </c>
      <c r="EN10" s="386" t="str">
        <f>IF(DT10&lt;&gt;"","1"&amp;TEXT(DT10,"00"),IF(DT11&lt;&gt;"","2"&amp;TEXT(DT11,"00"),IF(DT12&lt;&gt;"","3"&amp;TEXT(DT12,"00"),"")))</f>
        <v/>
      </c>
      <c r="ES10" s="413"/>
      <c r="ET10" s="414" t="str">
        <f>IF(COUNTA(DJ10,DS10,EB10)=0,"未入力です。","")</f>
        <v>未入力です。</v>
      </c>
      <c r="FA10" s="388"/>
      <c r="FB10" s="1627" t="s">
        <v>3098</v>
      </c>
      <c r="FC10" s="1628"/>
      <c r="FD10" s="1628"/>
      <c r="FE10" s="1628"/>
      <c r="FF10" s="1628"/>
      <c r="FG10" s="1628"/>
      <c r="FH10" s="1628"/>
      <c r="FI10" s="1628"/>
      <c r="FJ10" s="1622"/>
      <c r="FK10" s="1623"/>
      <c r="FL10" s="1623"/>
      <c r="FM10" s="1623"/>
      <c r="FN10" s="1623"/>
      <c r="FO10" s="1623"/>
      <c r="FP10" s="1623"/>
      <c r="FQ10" s="1623"/>
      <c r="FR10" s="1643"/>
      <c r="FS10" s="1644"/>
      <c r="FT10" s="1623"/>
      <c r="FU10" s="1623"/>
      <c r="FV10" s="1623"/>
      <c r="FW10" s="1623"/>
      <c r="FX10" s="1623"/>
      <c r="FY10" s="1623"/>
      <c r="FZ10" s="1623"/>
      <c r="GA10" s="1643"/>
      <c r="GB10" s="1644"/>
      <c r="GC10" s="1623"/>
      <c r="GD10" s="1623"/>
      <c r="GE10" s="1623"/>
      <c r="GF10" s="1623"/>
      <c r="GG10" s="1623"/>
      <c r="GH10" s="1623"/>
      <c r="GI10" s="1623"/>
      <c r="GJ10" s="1624"/>
      <c r="GK10" s="392"/>
      <c r="GL10" s="419"/>
      <c r="GM10" s="387" t="str">
        <f>IF(COUNTA(FJ10,FS10,GB10)=0,"未入力","")</f>
        <v>未入力</v>
      </c>
      <c r="GN10" s="386" t="str">
        <f>IF(FT10&lt;&gt;"","1"&amp;TEXT(FT10,"00"),IF(FT11&lt;&gt;"","2"&amp;TEXT(FT11,"00"),IF(FT12&lt;&gt;"","3"&amp;TEXT(FT12,"00"),"")))</f>
        <v/>
      </c>
    </row>
    <row r="11" spans="1:200" ht="39" customHeight="1">
      <c r="A11" s="388"/>
      <c r="B11" s="1619" t="s">
        <v>3099</v>
      </c>
      <c r="C11" s="1620"/>
      <c r="D11" s="1620"/>
      <c r="E11" s="1620"/>
      <c r="F11" s="1620"/>
      <c r="G11" s="1620"/>
      <c r="H11" s="1620"/>
      <c r="I11" s="1620"/>
      <c r="J11" s="1622"/>
      <c r="K11" s="1623"/>
      <c r="L11" s="1623"/>
      <c r="M11" s="1623"/>
      <c r="N11" s="1623"/>
      <c r="O11" s="1623"/>
      <c r="P11" s="1623"/>
      <c r="Q11" s="1623"/>
      <c r="R11" s="1643"/>
      <c r="S11" s="1644"/>
      <c r="T11" s="1623"/>
      <c r="U11" s="1623"/>
      <c r="V11" s="1623"/>
      <c r="W11" s="1623"/>
      <c r="X11" s="1623"/>
      <c r="Y11" s="1623"/>
      <c r="Z11" s="1623"/>
      <c r="AA11" s="1643"/>
      <c r="AB11" s="1644"/>
      <c r="AC11" s="1623"/>
      <c r="AD11" s="1623"/>
      <c r="AE11" s="1623"/>
      <c r="AF11" s="1623"/>
      <c r="AG11" s="1623"/>
      <c r="AH11" s="1623"/>
      <c r="AI11" s="1623"/>
      <c r="AJ11" s="1624"/>
      <c r="AK11" s="392"/>
      <c r="AL11" s="419"/>
      <c r="AM11" s="387"/>
      <c r="AN11" s="386" t="str">
        <f>IFERROR(IF(AND($J$10&lt;&gt;"",J11=""),"未入力があります（1列目）。",IF(AND($J$10="",J11&lt;&gt;""),"棟番号を入力してください（1列目）。","")),"")</f>
        <v/>
      </c>
      <c r="AO11" s="386" t="str">
        <f>IFERROR(IF(AND($S$10&lt;&gt;"",S11=""),"未入力があります（2列目）。",IF(AND($S$10="",S11&lt;&gt;""),"棟番号を入力してください（2列目）。","")),"")</f>
        <v/>
      </c>
      <c r="AP11" s="386" t="str">
        <f>IFERROR(IF(AND($AB$10&lt;&gt;"",AB11=""),"未入力があります（3列目）。",IF(AND($AB$10="",AB11&lt;&gt;""),"棟番号を入力してください（3列目）。","")),"")</f>
        <v/>
      </c>
      <c r="AS11" s="413"/>
      <c r="AT11" s="414" t="str">
        <f>IF(OR(AND(J$10&lt;&gt;"",COUNTA(J11)=0),AND(S$10&lt;&gt;"",COUNTA(S11)=0),AND(AB$10&lt;&gt;"",COUNTA(AB11)=0)),"未入力があります。",IF(OR(AND(J$10="",COUNTA(J11)=1),AND(S$10="",COUNTA(S11)=1),AND(AB$10="",COUNTA(AB11)=1)),"棟番号を入力してください。",""))</f>
        <v/>
      </c>
      <c r="AU11" s="414"/>
      <c r="AV11" s="414"/>
      <c r="AW11" s="414"/>
      <c r="AX11" s="414"/>
      <c r="AY11" s="414"/>
      <c r="BA11" s="388"/>
      <c r="BB11" s="1619" t="s">
        <v>3099</v>
      </c>
      <c r="BC11" s="1620"/>
      <c r="BD11" s="1620"/>
      <c r="BE11" s="1620"/>
      <c r="BF11" s="1620"/>
      <c r="BG11" s="1620"/>
      <c r="BH11" s="1620"/>
      <c r="BI11" s="1620"/>
      <c r="BJ11" s="1622"/>
      <c r="BK11" s="1623"/>
      <c r="BL11" s="1623"/>
      <c r="BM11" s="1623"/>
      <c r="BN11" s="1623"/>
      <c r="BO11" s="1623"/>
      <c r="BP11" s="1623"/>
      <c r="BQ11" s="1623"/>
      <c r="BR11" s="1643"/>
      <c r="BS11" s="1644"/>
      <c r="BT11" s="1623"/>
      <c r="BU11" s="1623"/>
      <c r="BV11" s="1623"/>
      <c r="BW11" s="1623"/>
      <c r="BX11" s="1623"/>
      <c r="BY11" s="1623"/>
      <c r="BZ11" s="1623"/>
      <c r="CA11" s="1643"/>
      <c r="CB11" s="1644"/>
      <c r="CC11" s="1623"/>
      <c r="CD11" s="1623"/>
      <c r="CE11" s="1623"/>
      <c r="CF11" s="1623"/>
      <c r="CG11" s="1623"/>
      <c r="CH11" s="1623"/>
      <c r="CI11" s="1623"/>
      <c r="CJ11" s="1624"/>
      <c r="CK11" s="392"/>
      <c r="CL11" s="419"/>
      <c r="CM11" s="387"/>
      <c r="CN11" s="386" t="str">
        <f>IFERROR(IF(AND($J$10&lt;&gt;"",BJ11=""),"未入力があります（1列目）。",IF(AND($J$10="",BJ11&lt;&gt;""),"棟番号を入力してください（1列目）。","")),"")</f>
        <v/>
      </c>
      <c r="CO11" s="386" t="str">
        <f>IFERROR(IF(AND($S$10&lt;&gt;"",BS11=""),"未入力があります（2列目）。",IF(AND($S$10="",BS11&lt;&gt;""),"棟番号を入力してください（2列目）。","")),"")</f>
        <v/>
      </c>
      <c r="CP11" s="386" t="str">
        <f>IFERROR(IF(AND($AB$10&lt;&gt;"",CB11=""),"未入力があります（3列目）。",IF(AND($AB$10="",CB11&lt;&gt;""),"棟番号を入力してください（3列目）。","")),"")</f>
        <v/>
      </c>
      <c r="CS11" s="413"/>
      <c r="CT11" s="414" t="str">
        <f>IF(OR(AND(BJ$10&lt;&gt;"",COUNTA(BJ11)=0),AND(BS$10&lt;&gt;"",COUNTA(BS11)=0),AND(CB$10&lt;&gt;"",COUNTA(CB11)=0)),"未入力があります。",IF(OR(AND(BJ$10="",COUNTA(BJ11)=1),AND(BS$10="",COUNTA(BS11)=1),AND(CB$10="",COUNTA(CB11)=1)),"棟番号を入力してください。",""))</f>
        <v/>
      </c>
      <c r="CU11" s="414"/>
      <c r="CV11" s="414"/>
      <c r="CW11" s="414"/>
      <c r="CX11" s="414"/>
      <c r="CY11" s="414"/>
      <c r="DA11" s="388"/>
      <c r="DB11" s="1619" t="s">
        <v>3099</v>
      </c>
      <c r="DC11" s="1620"/>
      <c r="DD11" s="1620"/>
      <c r="DE11" s="1620"/>
      <c r="DF11" s="1620"/>
      <c r="DG11" s="1620"/>
      <c r="DH11" s="1620"/>
      <c r="DI11" s="1620"/>
      <c r="DJ11" s="1622"/>
      <c r="DK11" s="1623"/>
      <c r="DL11" s="1623"/>
      <c r="DM11" s="1623"/>
      <c r="DN11" s="1623"/>
      <c r="DO11" s="1623"/>
      <c r="DP11" s="1623"/>
      <c r="DQ11" s="1623"/>
      <c r="DR11" s="1643"/>
      <c r="DS11" s="1644"/>
      <c r="DT11" s="1623"/>
      <c r="DU11" s="1623"/>
      <c r="DV11" s="1623"/>
      <c r="DW11" s="1623"/>
      <c r="DX11" s="1623"/>
      <c r="DY11" s="1623"/>
      <c r="DZ11" s="1623"/>
      <c r="EA11" s="1643"/>
      <c r="EB11" s="1644"/>
      <c r="EC11" s="1623"/>
      <c r="ED11" s="1623"/>
      <c r="EE11" s="1623"/>
      <c r="EF11" s="1623"/>
      <c r="EG11" s="1623"/>
      <c r="EH11" s="1623"/>
      <c r="EI11" s="1623"/>
      <c r="EJ11" s="1624"/>
      <c r="EK11" s="392"/>
      <c r="EL11" s="419"/>
      <c r="EM11" s="387"/>
      <c r="EN11" s="386" t="str">
        <f>IFERROR(IF(AND($J$10&lt;&gt;"",DJ11=""),"未入力があります（1列目）。",IF(AND($J$10="",DJ11&lt;&gt;""),"棟番号を入力してください（1列目）。","")),"")</f>
        <v/>
      </c>
      <c r="EO11" s="386" t="str">
        <f>IFERROR(IF(AND($S$10&lt;&gt;"",DS11=""),"未入力があります（2列目）。",IF(AND($S$10="",DS11&lt;&gt;""),"棟番号を入力してください（2列目）。","")),"")</f>
        <v/>
      </c>
      <c r="EP11" s="386" t="str">
        <f>IFERROR(IF(AND($AB$10&lt;&gt;"",EB11=""),"未入力があります（3列目）。",IF(AND($AB$10="",EB11&lt;&gt;""),"棟番号を入力してください（3列目）。","")),"")</f>
        <v/>
      </c>
      <c r="ES11" s="413"/>
      <c r="ET11" s="414" t="str">
        <f>IF(OR(AND(DJ$10&lt;&gt;"",COUNTA(DJ11)=0),AND(DS$10&lt;&gt;"",COUNTA(DS11)=0),AND(EB$10&lt;&gt;"",COUNTA(EB11)=0)),"未入力があります。",IF(OR(AND(DJ$10="",COUNTA(DJ11)=1),AND(DS$10="",COUNTA(DS11)=1),AND(EB$10="",COUNTA(EB11)=1)),"棟番号を入力してください。",""))</f>
        <v/>
      </c>
      <c r="FA11" s="388"/>
      <c r="FB11" s="1619" t="s">
        <v>3099</v>
      </c>
      <c r="FC11" s="1620"/>
      <c r="FD11" s="1620"/>
      <c r="FE11" s="1620"/>
      <c r="FF11" s="1620"/>
      <c r="FG11" s="1620"/>
      <c r="FH11" s="1620"/>
      <c r="FI11" s="1620"/>
      <c r="FJ11" s="1622"/>
      <c r="FK11" s="1623"/>
      <c r="FL11" s="1623"/>
      <c r="FM11" s="1623"/>
      <c r="FN11" s="1623"/>
      <c r="FO11" s="1623"/>
      <c r="FP11" s="1623"/>
      <c r="FQ11" s="1623"/>
      <c r="FR11" s="1643"/>
      <c r="FS11" s="1644"/>
      <c r="FT11" s="1623"/>
      <c r="FU11" s="1623"/>
      <c r="FV11" s="1623"/>
      <c r="FW11" s="1623"/>
      <c r="FX11" s="1623"/>
      <c r="FY11" s="1623"/>
      <c r="FZ11" s="1623"/>
      <c r="GA11" s="1643"/>
      <c r="GB11" s="1644"/>
      <c r="GC11" s="1623"/>
      <c r="GD11" s="1623"/>
      <c r="GE11" s="1623"/>
      <c r="GF11" s="1623"/>
      <c r="GG11" s="1623"/>
      <c r="GH11" s="1623"/>
      <c r="GI11" s="1623"/>
      <c r="GJ11" s="1624"/>
      <c r="GK11" s="392"/>
      <c r="GL11" s="419"/>
      <c r="GM11" s="387"/>
      <c r="GN11" s="386" t="str">
        <f>IFERROR(IF(AND($J$10&lt;&gt;"",FJ11=""),"未入力があります（1列目）。",IF(AND($J$10="",FJ11&lt;&gt;""),"棟番号を入力してください（1列目）。","")),"")</f>
        <v/>
      </c>
      <c r="GO11" s="386" t="str">
        <f>IFERROR(IF(AND($S$10&lt;&gt;"",FS11=""),"未入力があります（2列目）。",IF(AND($S$10="",FS11&lt;&gt;""),"棟番号を入力してください（2列目）。","")),"")</f>
        <v/>
      </c>
      <c r="GP11" s="386" t="str">
        <f>IFERROR(IF(AND($AB$10&lt;&gt;"",GB11=""),"未入力があります（3列目）。",IF(AND($AB$10="",GB11&lt;&gt;""),"棟番号を入力してください（3列目）。","")),"")</f>
        <v/>
      </c>
    </row>
    <row r="12" spans="1:200" ht="23.1" customHeight="1">
      <c r="A12" s="388"/>
      <c r="B12" s="1645" t="s">
        <v>3100</v>
      </c>
      <c r="C12" s="1646"/>
      <c r="D12" s="1646"/>
      <c r="E12" s="1646"/>
      <c r="F12" s="1646"/>
      <c r="G12" s="1646"/>
      <c r="H12" s="1646"/>
      <c r="I12" s="1646"/>
      <c r="J12" s="1622"/>
      <c r="K12" s="1623"/>
      <c r="L12" s="1623"/>
      <c r="M12" s="1623"/>
      <c r="N12" s="1623"/>
      <c r="O12" s="1623"/>
      <c r="P12" s="1623"/>
      <c r="Q12" s="1623"/>
      <c r="R12" s="1643"/>
      <c r="S12" s="1644"/>
      <c r="T12" s="1623"/>
      <c r="U12" s="1623"/>
      <c r="V12" s="1623"/>
      <c r="W12" s="1623"/>
      <c r="X12" s="1623"/>
      <c r="Y12" s="1623"/>
      <c r="Z12" s="1623"/>
      <c r="AA12" s="1643"/>
      <c r="AB12" s="1644"/>
      <c r="AC12" s="1623"/>
      <c r="AD12" s="1623"/>
      <c r="AE12" s="1623"/>
      <c r="AF12" s="1623"/>
      <c r="AG12" s="1623"/>
      <c r="AH12" s="1623"/>
      <c r="AI12" s="1623"/>
      <c r="AJ12" s="1624"/>
      <c r="AK12" s="392"/>
      <c r="AL12" s="419"/>
      <c r="AM12" s="387"/>
      <c r="AS12" s="413"/>
      <c r="AT12" s="414" t="str">
        <f>IF(OR(AND(J$10&lt;&gt;"",COUNTA(J12)=0),AND(S$10&lt;&gt;"",COUNTA(S12)=0),AND(AB$10&lt;&gt;"",COUNTA(AB12)=0)),"未入力があります。",IF(OR(AND(J$10="",COUNTA(J12)=1),AND(S$10="",COUNTA(S12)=1),AND(AB$10="",COUNTA(AB12)=1)),"棟番号を入力してください。",""))</f>
        <v/>
      </c>
      <c r="AU12" s="414"/>
      <c r="AV12" s="414"/>
      <c r="AW12" s="414"/>
      <c r="AX12" s="414"/>
      <c r="AY12" s="414"/>
      <c r="BA12" s="388"/>
      <c r="BB12" s="1645" t="s">
        <v>3100</v>
      </c>
      <c r="BC12" s="1646"/>
      <c r="BD12" s="1646"/>
      <c r="BE12" s="1646"/>
      <c r="BF12" s="1646"/>
      <c r="BG12" s="1646"/>
      <c r="BH12" s="1646"/>
      <c r="BI12" s="1646"/>
      <c r="BJ12" s="1622"/>
      <c r="BK12" s="1623"/>
      <c r="BL12" s="1623"/>
      <c r="BM12" s="1623"/>
      <c r="BN12" s="1623"/>
      <c r="BO12" s="1623"/>
      <c r="BP12" s="1623"/>
      <c r="BQ12" s="1623"/>
      <c r="BR12" s="1643"/>
      <c r="BS12" s="1644"/>
      <c r="BT12" s="1623"/>
      <c r="BU12" s="1623"/>
      <c r="BV12" s="1623"/>
      <c r="BW12" s="1623"/>
      <c r="BX12" s="1623"/>
      <c r="BY12" s="1623"/>
      <c r="BZ12" s="1623"/>
      <c r="CA12" s="1643"/>
      <c r="CB12" s="1644"/>
      <c r="CC12" s="1623"/>
      <c r="CD12" s="1623"/>
      <c r="CE12" s="1623"/>
      <c r="CF12" s="1623"/>
      <c r="CG12" s="1623"/>
      <c r="CH12" s="1623"/>
      <c r="CI12" s="1623"/>
      <c r="CJ12" s="1624"/>
      <c r="CK12" s="392"/>
      <c r="CL12" s="419"/>
      <c r="CM12" s="387"/>
      <c r="CS12" s="413"/>
      <c r="CT12" s="414" t="str">
        <f>IF(OR(AND(BJ$10&lt;&gt;"",COUNTA(BJ12)=0),AND(BS$10&lt;&gt;"",COUNTA(BS12)=0),AND(CB$10&lt;&gt;"",COUNTA(CB12)=0)),"未入力があります。",IF(OR(AND(BJ$10="",COUNTA(BJ12)=1),AND(BS$10="",COUNTA(BS12)=1),AND(CB$10="",COUNTA(CB12)=1)),"棟番号を入力してください。",""))</f>
        <v/>
      </c>
      <c r="CU12" s="414"/>
      <c r="CV12" s="414"/>
      <c r="CW12" s="414"/>
      <c r="CX12" s="414"/>
      <c r="CY12" s="414"/>
      <c r="DA12" s="388"/>
      <c r="DB12" s="1645" t="s">
        <v>3100</v>
      </c>
      <c r="DC12" s="1646"/>
      <c r="DD12" s="1646"/>
      <c r="DE12" s="1646"/>
      <c r="DF12" s="1646"/>
      <c r="DG12" s="1646"/>
      <c r="DH12" s="1646"/>
      <c r="DI12" s="1646"/>
      <c r="DJ12" s="1622"/>
      <c r="DK12" s="1623"/>
      <c r="DL12" s="1623"/>
      <c r="DM12" s="1623"/>
      <c r="DN12" s="1623"/>
      <c r="DO12" s="1623"/>
      <c r="DP12" s="1623"/>
      <c r="DQ12" s="1623"/>
      <c r="DR12" s="1643"/>
      <c r="DS12" s="1644"/>
      <c r="DT12" s="1623"/>
      <c r="DU12" s="1623"/>
      <c r="DV12" s="1623"/>
      <c r="DW12" s="1623"/>
      <c r="DX12" s="1623"/>
      <c r="DY12" s="1623"/>
      <c r="DZ12" s="1623"/>
      <c r="EA12" s="1643"/>
      <c r="EB12" s="1644"/>
      <c r="EC12" s="1623"/>
      <c r="ED12" s="1623"/>
      <c r="EE12" s="1623"/>
      <c r="EF12" s="1623"/>
      <c r="EG12" s="1623"/>
      <c r="EH12" s="1623"/>
      <c r="EI12" s="1623"/>
      <c r="EJ12" s="1624"/>
      <c r="EK12" s="392"/>
      <c r="EL12" s="419"/>
      <c r="EM12" s="387"/>
      <c r="ES12" s="413"/>
      <c r="ET12" s="414" t="str">
        <f>IF(OR(AND(DJ$10&lt;&gt;"",COUNTA(DJ12)=0),AND(DS$10&lt;&gt;"",COUNTA(DS12)=0),AND(EB$10&lt;&gt;"",COUNTA(EB12)=0)),"未入力があります。",IF(OR(AND(DJ$10="",COUNTA(DJ12)=1),AND(DS$10="",COUNTA(DS12)=1),AND(EB$10="",COUNTA(EB12)=1)),"棟番号を入力してください。",""))</f>
        <v/>
      </c>
      <c r="FA12" s="388"/>
      <c r="FB12" s="1645" t="s">
        <v>3100</v>
      </c>
      <c r="FC12" s="1646"/>
      <c r="FD12" s="1646"/>
      <c r="FE12" s="1646"/>
      <c r="FF12" s="1646"/>
      <c r="FG12" s="1646"/>
      <c r="FH12" s="1646"/>
      <c r="FI12" s="1646"/>
      <c r="FJ12" s="1622"/>
      <c r="FK12" s="1623"/>
      <c r="FL12" s="1623"/>
      <c r="FM12" s="1623"/>
      <c r="FN12" s="1623"/>
      <c r="FO12" s="1623"/>
      <c r="FP12" s="1623"/>
      <c r="FQ12" s="1623"/>
      <c r="FR12" s="1643"/>
      <c r="FS12" s="1644"/>
      <c r="FT12" s="1623"/>
      <c r="FU12" s="1623"/>
      <c r="FV12" s="1623"/>
      <c r="FW12" s="1623"/>
      <c r="FX12" s="1623"/>
      <c r="FY12" s="1623"/>
      <c r="FZ12" s="1623"/>
      <c r="GA12" s="1643"/>
      <c r="GB12" s="1644"/>
      <c r="GC12" s="1623"/>
      <c r="GD12" s="1623"/>
      <c r="GE12" s="1623"/>
      <c r="GF12" s="1623"/>
      <c r="GG12" s="1623"/>
      <c r="GH12" s="1623"/>
      <c r="GI12" s="1623"/>
      <c r="GJ12" s="1624"/>
      <c r="GK12" s="392"/>
      <c r="GL12" s="419"/>
      <c r="GM12" s="387"/>
    </row>
    <row r="13" spans="1:200" ht="17.100000000000001" customHeight="1">
      <c r="A13" s="388"/>
      <c r="B13" s="1647"/>
      <c r="C13" s="1648"/>
      <c r="D13" s="1648"/>
      <c r="E13" s="1648"/>
      <c r="F13" s="1648"/>
      <c r="G13" s="1648"/>
      <c r="H13" s="1648"/>
      <c r="I13" s="1648"/>
      <c r="J13" s="1622" t="s">
        <v>2824</v>
      </c>
      <c r="K13" s="1623"/>
      <c r="L13" s="1623"/>
      <c r="M13" s="1623"/>
      <c r="N13" s="1623"/>
      <c r="O13" s="1623"/>
      <c r="P13" s="1623"/>
      <c r="Q13" s="1623"/>
      <c r="R13" s="1643"/>
      <c r="S13" s="1644" t="s">
        <v>2824</v>
      </c>
      <c r="T13" s="1623"/>
      <c r="U13" s="1623"/>
      <c r="V13" s="1623"/>
      <c r="W13" s="1623"/>
      <c r="X13" s="1623"/>
      <c r="Y13" s="1623"/>
      <c r="Z13" s="1623"/>
      <c r="AA13" s="1643"/>
      <c r="AB13" s="1644" t="s">
        <v>2824</v>
      </c>
      <c r="AC13" s="1623"/>
      <c r="AD13" s="1623"/>
      <c r="AE13" s="1623"/>
      <c r="AF13" s="1623"/>
      <c r="AG13" s="1623"/>
      <c r="AH13" s="1623"/>
      <c r="AI13" s="1623"/>
      <c r="AJ13" s="1624"/>
      <c r="AK13" s="421"/>
      <c r="AL13" s="419"/>
      <c r="AM13" s="387"/>
      <c r="AN13" s="386" t="b">
        <v>0</v>
      </c>
      <c r="AO13" s="386" t="b">
        <v>0</v>
      </c>
      <c r="AP13" s="386" t="b">
        <v>0</v>
      </c>
      <c r="AS13" s="413"/>
      <c r="BA13" s="388"/>
      <c r="BB13" s="1647"/>
      <c r="BC13" s="1648"/>
      <c r="BD13" s="1648"/>
      <c r="BE13" s="1648"/>
      <c r="BF13" s="1648"/>
      <c r="BG13" s="1648"/>
      <c r="BH13" s="1648"/>
      <c r="BI13" s="1648"/>
      <c r="BJ13" s="1622" t="s">
        <v>2824</v>
      </c>
      <c r="BK13" s="1623"/>
      <c r="BL13" s="1623"/>
      <c r="BM13" s="1623"/>
      <c r="BN13" s="1623"/>
      <c r="BO13" s="1623"/>
      <c r="BP13" s="1623"/>
      <c r="BQ13" s="1623"/>
      <c r="BR13" s="1643"/>
      <c r="BS13" s="1644" t="s">
        <v>2824</v>
      </c>
      <c r="BT13" s="1623"/>
      <c r="BU13" s="1623"/>
      <c r="BV13" s="1623"/>
      <c r="BW13" s="1623"/>
      <c r="BX13" s="1623"/>
      <c r="BY13" s="1623"/>
      <c r="BZ13" s="1623"/>
      <c r="CA13" s="1643"/>
      <c r="CB13" s="1644" t="s">
        <v>2824</v>
      </c>
      <c r="CC13" s="1623"/>
      <c r="CD13" s="1623"/>
      <c r="CE13" s="1623"/>
      <c r="CF13" s="1623"/>
      <c r="CG13" s="1623"/>
      <c r="CH13" s="1623"/>
      <c r="CI13" s="1623"/>
      <c r="CJ13" s="1624"/>
      <c r="CK13" s="421"/>
      <c r="CL13" s="419"/>
      <c r="CM13" s="387"/>
      <c r="CN13" s="386" t="b">
        <v>0</v>
      </c>
      <c r="CO13" s="386" t="b">
        <v>0</v>
      </c>
      <c r="CP13" s="386" t="b">
        <v>0</v>
      </c>
      <c r="CS13" s="413"/>
      <c r="DA13" s="388"/>
      <c r="DB13" s="1647"/>
      <c r="DC13" s="1648"/>
      <c r="DD13" s="1648"/>
      <c r="DE13" s="1648"/>
      <c r="DF13" s="1648"/>
      <c r="DG13" s="1648"/>
      <c r="DH13" s="1648"/>
      <c r="DI13" s="1648"/>
      <c r="DJ13" s="1622" t="s">
        <v>2824</v>
      </c>
      <c r="DK13" s="1623"/>
      <c r="DL13" s="1623"/>
      <c r="DM13" s="1623"/>
      <c r="DN13" s="1623"/>
      <c r="DO13" s="1623"/>
      <c r="DP13" s="1623"/>
      <c r="DQ13" s="1623"/>
      <c r="DR13" s="1643"/>
      <c r="DS13" s="1644" t="s">
        <v>2824</v>
      </c>
      <c r="DT13" s="1623"/>
      <c r="DU13" s="1623"/>
      <c r="DV13" s="1623"/>
      <c r="DW13" s="1623"/>
      <c r="DX13" s="1623"/>
      <c r="DY13" s="1623"/>
      <c r="DZ13" s="1623"/>
      <c r="EA13" s="1643"/>
      <c r="EB13" s="1644" t="s">
        <v>2824</v>
      </c>
      <c r="EC13" s="1623"/>
      <c r="ED13" s="1623"/>
      <c r="EE13" s="1623"/>
      <c r="EF13" s="1623"/>
      <c r="EG13" s="1623"/>
      <c r="EH13" s="1623"/>
      <c r="EI13" s="1623"/>
      <c r="EJ13" s="1624"/>
      <c r="EK13" s="421"/>
      <c r="EL13" s="419"/>
      <c r="EM13" s="387"/>
      <c r="EN13" s="386" t="b">
        <v>0</v>
      </c>
      <c r="EO13" s="386" t="b">
        <v>0</v>
      </c>
      <c r="EP13" s="386" t="b">
        <v>0</v>
      </c>
      <c r="ES13" s="413"/>
      <c r="FA13" s="388"/>
      <c r="FB13" s="1647"/>
      <c r="FC13" s="1648"/>
      <c r="FD13" s="1648"/>
      <c r="FE13" s="1648"/>
      <c r="FF13" s="1648"/>
      <c r="FG13" s="1648"/>
      <c r="FH13" s="1648"/>
      <c r="FI13" s="1648"/>
      <c r="FJ13" s="1622" t="s">
        <v>2824</v>
      </c>
      <c r="FK13" s="1623"/>
      <c r="FL13" s="1623"/>
      <c r="FM13" s="1623"/>
      <c r="FN13" s="1623"/>
      <c r="FO13" s="1623"/>
      <c r="FP13" s="1623"/>
      <c r="FQ13" s="1623"/>
      <c r="FR13" s="1643"/>
      <c r="FS13" s="1644" t="s">
        <v>2824</v>
      </c>
      <c r="FT13" s="1623"/>
      <c r="FU13" s="1623"/>
      <c r="FV13" s="1623"/>
      <c r="FW13" s="1623"/>
      <c r="FX13" s="1623"/>
      <c r="FY13" s="1623"/>
      <c r="FZ13" s="1623"/>
      <c r="GA13" s="1643"/>
      <c r="GB13" s="1644" t="s">
        <v>2824</v>
      </c>
      <c r="GC13" s="1623"/>
      <c r="GD13" s="1623"/>
      <c r="GE13" s="1623"/>
      <c r="GF13" s="1623"/>
      <c r="GG13" s="1623"/>
      <c r="GH13" s="1623"/>
      <c r="GI13" s="1623"/>
      <c r="GJ13" s="1624"/>
      <c r="GK13" s="421"/>
      <c r="GL13" s="419"/>
      <c r="GM13" s="387"/>
      <c r="GN13" s="386" t="b">
        <v>0</v>
      </c>
      <c r="GO13" s="386" t="b">
        <v>0</v>
      </c>
      <c r="GP13" s="386" t="b">
        <v>0</v>
      </c>
    </row>
    <row r="14" spans="1:200" ht="20.100000000000001" customHeight="1">
      <c r="A14" s="388"/>
      <c r="B14" s="1649" t="s">
        <v>3101</v>
      </c>
      <c r="C14" s="1650"/>
      <c r="D14" s="1650"/>
      <c r="E14" s="1650"/>
      <c r="F14" s="1650"/>
      <c r="G14" s="1650"/>
      <c r="H14" s="1650"/>
      <c r="I14" s="1650"/>
      <c r="J14" s="1653"/>
      <c r="K14" s="1654"/>
      <c r="L14" s="1654"/>
      <c r="M14" s="1654"/>
      <c r="N14" s="1654"/>
      <c r="O14" s="1654"/>
      <c r="P14" s="1654"/>
      <c r="Q14" s="1654"/>
      <c r="R14" s="1655"/>
      <c r="S14" s="1659"/>
      <c r="T14" s="1654"/>
      <c r="U14" s="1654"/>
      <c r="V14" s="1654"/>
      <c r="W14" s="1654"/>
      <c r="X14" s="1654"/>
      <c r="Y14" s="1654"/>
      <c r="Z14" s="1654"/>
      <c r="AA14" s="1655"/>
      <c r="AB14" s="1659"/>
      <c r="AC14" s="1654"/>
      <c r="AD14" s="1654"/>
      <c r="AE14" s="1654"/>
      <c r="AF14" s="1654"/>
      <c r="AG14" s="1654"/>
      <c r="AH14" s="1654"/>
      <c r="AI14" s="1654"/>
      <c r="AJ14" s="1661"/>
      <c r="AK14" s="416"/>
      <c r="AL14" s="417"/>
      <c r="AM14" s="387"/>
      <c r="AS14" s="413"/>
      <c r="AT14" s="414" t="str">
        <f>IF(OR(AND(J$10&lt;&gt;"",COUNTA(J14)=0),AND(S$10&lt;&gt;"",COUNTA(S14)=0),AND(AB$10&lt;&gt;"",COUNTA(AB14)=0)),"未入力があります。",IF(OR(AND(J$10="",COUNTA(J14)=1),AND(S$10="",COUNTA(S14)=1),AND(AB$10="",COUNTA(AB14)=1)),"棟番号を入力してください。",""))</f>
        <v/>
      </c>
      <c r="AU14" s="414"/>
      <c r="AV14" s="414"/>
      <c r="AW14" s="414"/>
      <c r="AX14" s="414"/>
      <c r="AY14" s="414"/>
      <c r="BA14" s="388"/>
      <c r="BB14" s="1649" t="s">
        <v>3101</v>
      </c>
      <c r="BC14" s="1650"/>
      <c r="BD14" s="1650"/>
      <c r="BE14" s="1650"/>
      <c r="BF14" s="1650"/>
      <c r="BG14" s="1650"/>
      <c r="BH14" s="1650"/>
      <c r="BI14" s="1650"/>
      <c r="BJ14" s="1653"/>
      <c r="BK14" s="1654"/>
      <c r="BL14" s="1654"/>
      <c r="BM14" s="1654"/>
      <c r="BN14" s="1654"/>
      <c r="BO14" s="1654"/>
      <c r="BP14" s="1654"/>
      <c r="BQ14" s="1654"/>
      <c r="BR14" s="1655"/>
      <c r="BS14" s="1659"/>
      <c r="BT14" s="1654"/>
      <c r="BU14" s="1654"/>
      <c r="BV14" s="1654"/>
      <c r="BW14" s="1654"/>
      <c r="BX14" s="1654"/>
      <c r="BY14" s="1654"/>
      <c r="BZ14" s="1654"/>
      <c r="CA14" s="1655"/>
      <c r="CB14" s="1659"/>
      <c r="CC14" s="1654"/>
      <c r="CD14" s="1654"/>
      <c r="CE14" s="1654"/>
      <c r="CF14" s="1654"/>
      <c r="CG14" s="1654"/>
      <c r="CH14" s="1654"/>
      <c r="CI14" s="1654"/>
      <c r="CJ14" s="1661"/>
      <c r="CK14" s="416"/>
      <c r="CL14" s="417"/>
      <c r="CM14" s="387"/>
      <c r="CS14" s="413"/>
      <c r="CT14" s="414" t="str">
        <f>IF(OR(AND(BJ$10&lt;&gt;"",COUNTA(BJ14)=0),AND(BS$10&lt;&gt;"",COUNTA(BS14)=0),AND(CB$10&lt;&gt;"",COUNTA(CB14)=0)),"未入力があります。",IF(OR(AND(BJ$10="",COUNTA(BJ14)=1),AND(BS$10="",COUNTA(BS14)=1),AND(CB$10="",COUNTA(CB14)=1)),"棟番号を入力してください。",""))</f>
        <v/>
      </c>
      <c r="CU14" s="414"/>
      <c r="CV14" s="414"/>
      <c r="CW14" s="414"/>
      <c r="CX14" s="414"/>
      <c r="CY14" s="414"/>
      <c r="DA14" s="388"/>
      <c r="DB14" s="1649" t="s">
        <v>3101</v>
      </c>
      <c r="DC14" s="1650"/>
      <c r="DD14" s="1650"/>
      <c r="DE14" s="1650"/>
      <c r="DF14" s="1650"/>
      <c r="DG14" s="1650"/>
      <c r="DH14" s="1650"/>
      <c r="DI14" s="1650"/>
      <c r="DJ14" s="1653"/>
      <c r="DK14" s="1654"/>
      <c r="DL14" s="1654"/>
      <c r="DM14" s="1654"/>
      <c r="DN14" s="1654"/>
      <c r="DO14" s="1654"/>
      <c r="DP14" s="1654"/>
      <c r="DQ14" s="1654"/>
      <c r="DR14" s="1655"/>
      <c r="DS14" s="1659"/>
      <c r="DT14" s="1654"/>
      <c r="DU14" s="1654"/>
      <c r="DV14" s="1654"/>
      <c r="DW14" s="1654"/>
      <c r="DX14" s="1654"/>
      <c r="DY14" s="1654"/>
      <c r="DZ14" s="1654"/>
      <c r="EA14" s="1655"/>
      <c r="EB14" s="1659"/>
      <c r="EC14" s="1654"/>
      <c r="ED14" s="1654"/>
      <c r="EE14" s="1654"/>
      <c r="EF14" s="1654"/>
      <c r="EG14" s="1654"/>
      <c r="EH14" s="1654"/>
      <c r="EI14" s="1654"/>
      <c r="EJ14" s="1661"/>
      <c r="EK14" s="416"/>
      <c r="EL14" s="417"/>
      <c r="EM14" s="387"/>
      <c r="ES14" s="413"/>
      <c r="ET14" s="414" t="str">
        <f>IF(OR(AND(DJ$10&lt;&gt;"",COUNTA(DJ14)=0),AND(DS$10&lt;&gt;"",COUNTA(DS14)=0),AND(EB$10&lt;&gt;"",COUNTA(EB14)=0)),"未入力があります。",IF(OR(AND(DJ$10="",COUNTA(DJ14)=1),AND(DS$10="",COUNTA(DS14)=1),AND(EB$10="",COUNTA(EB14)=1)),"棟番号を入力してください。",""))</f>
        <v/>
      </c>
      <c r="FA14" s="388"/>
      <c r="FB14" s="1649" t="s">
        <v>3101</v>
      </c>
      <c r="FC14" s="1650"/>
      <c r="FD14" s="1650"/>
      <c r="FE14" s="1650"/>
      <c r="FF14" s="1650"/>
      <c r="FG14" s="1650"/>
      <c r="FH14" s="1650"/>
      <c r="FI14" s="1650"/>
      <c r="FJ14" s="1653"/>
      <c r="FK14" s="1654"/>
      <c r="FL14" s="1654"/>
      <c r="FM14" s="1654"/>
      <c r="FN14" s="1654"/>
      <c r="FO14" s="1654"/>
      <c r="FP14" s="1654"/>
      <c r="FQ14" s="1654"/>
      <c r="FR14" s="1655"/>
      <c r="FS14" s="1659"/>
      <c r="FT14" s="1654"/>
      <c r="FU14" s="1654"/>
      <c r="FV14" s="1654"/>
      <c r="FW14" s="1654"/>
      <c r="FX14" s="1654"/>
      <c r="FY14" s="1654"/>
      <c r="FZ14" s="1654"/>
      <c r="GA14" s="1655"/>
      <c r="GB14" s="1659"/>
      <c r="GC14" s="1654"/>
      <c r="GD14" s="1654"/>
      <c r="GE14" s="1654"/>
      <c r="GF14" s="1654"/>
      <c r="GG14" s="1654"/>
      <c r="GH14" s="1654"/>
      <c r="GI14" s="1654"/>
      <c r="GJ14" s="1661"/>
      <c r="GK14" s="416"/>
      <c r="GL14" s="417"/>
      <c r="GM14" s="387"/>
    </row>
    <row r="15" spans="1:200" ht="15.9" customHeight="1">
      <c r="A15" s="388"/>
      <c r="B15" s="1651"/>
      <c r="C15" s="1652"/>
      <c r="D15" s="1652"/>
      <c r="E15" s="1652"/>
      <c r="F15" s="1652"/>
      <c r="G15" s="1652"/>
      <c r="H15" s="1652"/>
      <c r="I15" s="1652"/>
      <c r="J15" s="1656"/>
      <c r="K15" s="1657"/>
      <c r="L15" s="1657"/>
      <c r="M15" s="1657"/>
      <c r="N15" s="1657"/>
      <c r="O15" s="1657"/>
      <c r="P15" s="1657"/>
      <c r="Q15" s="1657"/>
      <c r="R15" s="1658"/>
      <c r="S15" s="1660"/>
      <c r="T15" s="1657"/>
      <c r="U15" s="1657"/>
      <c r="V15" s="1657"/>
      <c r="W15" s="1657"/>
      <c r="X15" s="1657"/>
      <c r="Y15" s="1657"/>
      <c r="Z15" s="1657"/>
      <c r="AA15" s="1658"/>
      <c r="AB15" s="1660"/>
      <c r="AC15" s="1657"/>
      <c r="AD15" s="1657"/>
      <c r="AE15" s="1657"/>
      <c r="AF15" s="1657"/>
      <c r="AG15" s="1657"/>
      <c r="AH15" s="1657"/>
      <c r="AI15" s="1657"/>
      <c r="AJ15" s="1662"/>
      <c r="AK15" s="422"/>
      <c r="AL15" s="423"/>
      <c r="AM15" s="387"/>
      <c r="AS15" s="413"/>
      <c r="BA15" s="388"/>
      <c r="BB15" s="1651"/>
      <c r="BC15" s="1652"/>
      <c r="BD15" s="1652"/>
      <c r="BE15" s="1652"/>
      <c r="BF15" s="1652"/>
      <c r="BG15" s="1652"/>
      <c r="BH15" s="1652"/>
      <c r="BI15" s="1652"/>
      <c r="BJ15" s="1656"/>
      <c r="BK15" s="1657"/>
      <c r="BL15" s="1657"/>
      <c r="BM15" s="1657"/>
      <c r="BN15" s="1657"/>
      <c r="BO15" s="1657"/>
      <c r="BP15" s="1657"/>
      <c r="BQ15" s="1657"/>
      <c r="BR15" s="1658"/>
      <c r="BS15" s="1660"/>
      <c r="BT15" s="1657"/>
      <c r="BU15" s="1657"/>
      <c r="BV15" s="1657"/>
      <c r="BW15" s="1657"/>
      <c r="BX15" s="1657"/>
      <c r="BY15" s="1657"/>
      <c r="BZ15" s="1657"/>
      <c r="CA15" s="1658"/>
      <c r="CB15" s="1660"/>
      <c r="CC15" s="1657"/>
      <c r="CD15" s="1657"/>
      <c r="CE15" s="1657"/>
      <c r="CF15" s="1657"/>
      <c r="CG15" s="1657"/>
      <c r="CH15" s="1657"/>
      <c r="CI15" s="1657"/>
      <c r="CJ15" s="1662"/>
      <c r="CK15" s="422"/>
      <c r="CL15" s="423"/>
      <c r="CM15" s="387"/>
      <c r="CS15" s="413"/>
      <c r="DA15" s="388"/>
      <c r="DB15" s="1651"/>
      <c r="DC15" s="1652"/>
      <c r="DD15" s="1652"/>
      <c r="DE15" s="1652"/>
      <c r="DF15" s="1652"/>
      <c r="DG15" s="1652"/>
      <c r="DH15" s="1652"/>
      <c r="DI15" s="1652"/>
      <c r="DJ15" s="1656"/>
      <c r="DK15" s="1657"/>
      <c r="DL15" s="1657"/>
      <c r="DM15" s="1657"/>
      <c r="DN15" s="1657"/>
      <c r="DO15" s="1657"/>
      <c r="DP15" s="1657"/>
      <c r="DQ15" s="1657"/>
      <c r="DR15" s="1658"/>
      <c r="DS15" s="1660"/>
      <c r="DT15" s="1657"/>
      <c r="DU15" s="1657"/>
      <c r="DV15" s="1657"/>
      <c r="DW15" s="1657"/>
      <c r="DX15" s="1657"/>
      <c r="DY15" s="1657"/>
      <c r="DZ15" s="1657"/>
      <c r="EA15" s="1658"/>
      <c r="EB15" s="1660"/>
      <c r="EC15" s="1657"/>
      <c r="ED15" s="1657"/>
      <c r="EE15" s="1657"/>
      <c r="EF15" s="1657"/>
      <c r="EG15" s="1657"/>
      <c r="EH15" s="1657"/>
      <c r="EI15" s="1657"/>
      <c r="EJ15" s="1662"/>
      <c r="EK15" s="422"/>
      <c r="EL15" s="423"/>
      <c r="EM15" s="387"/>
      <c r="ES15" s="413"/>
      <c r="FA15" s="388"/>
      <c r="FB15" s="1651"/>
      <c r="FC15" s="1652"/>
      <c r="FD15" s="1652"/>
      <c r="FE15" s="1652"/>
      <c r="FF15" s="1652"/>
      <c r="FG15" s="1652"/>
      <c r="FH15" s="1652"/>
      <c r="FI15" s="1652"/>
      <c r="FJ15" s="1656"/>
      <c r="FK15" s="1657"/>
      <c r="FL15" s="1657"/>
      <c r="FM15" s="1657"/>
      <c r="FN15" s="1657"/>
      <c r="FO15" s="1657"/>
      <c r="FP15" s="1657"/>
      <c r="FQ15" s="1657"/>
      <c r="FR15" s="1658"/>
      <c r="FS15" s="1660"/>
      <c r="FT15" s="1657"/>
      <c r="FU15" s="1657"/>
      <c r="FV15" s="1657"/>
      <c r="FW15" s="1657"/>
      <c r="FX15" s="1657"/>
      <c r="FY15" s="1657"/>
      <c r="FZ15" s="1657"/>
      <c r="GA15" s="1658"/>
      <c r="GB15" s="1660"/>
      <c r="GC15" s="1657"/>
      <c r="GD15" s="1657"/>
      <c r="GE15" s="1657"/>
      <c r="GF15" s="1657"/>
      <c r="GG15" s="1657"/>
      <c r="GH15" s="1657"/>
      <c r="GI15" s="1657"/>
      <c r="GJ15" s="1662"/>
      <c r="GK15" s="422"/>
      <c r="GL15" s="423"/>
      <c r="GM15" s="387"/>
    </row>
    <row r="16" spans="1:200" ht="23.1" customHeight="1">
      <c r="A16" s="388"/>
      <c r="B16" s="1663" t="s">
        <v>3102</v>
      </c>
      <c r="C16" s="1664"/>
      <c r="D16" s="1664"/>
      <c r="E16" s="1664"/>
      <c r="F16" s="1664"/>
      <c r="G16" s="1664"/>
      <c r="H16" s="1664"/>
      <c r="I16" s="1664"/>
      <c r="J16" s="410"/>
      <c r="K16" s="1665"/>
      <c r="L16" s="1665"/>
      <c r="M16" s="1665"/>
      <c r="N16" s="1665"/>
      <c r="O16" s="1665"/>
      <c r="P16" s="1638" t="s">
        <v>3103</v>
      </c>
      <c r="Q16" s="1638"/>
      <c r="R16" s="424"/>
      <c r="S16" s="425"/>
      <c r="T16" s="1665"/>
      <c r="U16" s="1665"/>
      <c r="V16" s="1665"/>
      <c r="W16" s="1665"/>
      <c r="X16" s="1665"/>
      <c r="Y16" s="1638" t="s">
        <v>3103</v>
      </c>
      <c r="Z16" s="1638"/>
      <c r="AA16" s="424"/>
      <c r="AB16" s="425"/>
      <c r="AC16" s="1665"/>
      <c r="AD16" s="1665"/>
      <c r="AE16" s="1665"/>
      <c r="AF16" s="1665"/>
      <c r="AG16" s="1665"/>
      <c r="AH16" s="1638" t="s">
        <v>3103</v>
      </c>
      <c r="AI16" s="1638"/>
      <c r="AJ16" s="412"/>
      <c r="AK16" s="387"/>
      <c r="AL16" s="415"/>
      <c r="AM16" s="387" t="str">
        <f>IF(COUNTA(K16,T16,AC16)=0,"未入力","")</f>
        <v>未入力</v>
      </c>
      <c r="AN16" s="387"/>
      <c r="AS16" s="413"/>
      <c r="AT16" s="414" t="str">
        <f>IF(OR(AND(J$10&lt;&gt;"",COUNTA(K16)=0),AND(S$10&lt;&gt;"",COUNTA(T16)=0),AND(AB$10&lt;&gt;"",COUNTA(AC16)=0)),"未入力があります。",IF(OR(AND(J$10="",COUNTA(K16)=1),AND(S$10="",COUNTA(T16)=1),AND(AB$10="",COUNTA(AC16)=1)),"棟番号を入力してください。",""))</f>
        <v/>
      </c>
      <c r="AU16" s="414"/>
      <c r="AV16" s="414"/>
      <c r="AW16" s="414"/>
      <c r="AX16" s="414"/>
      <c r="AY16" s="414"/>
      <c r="BA16" s="388"/>
      <c r="BB16" s="1663" t="s">
        <v>3102</v>
      </c>
      <c r="BC16" s="1664"/>
      <c r="BD16" s="1664"/>
      <c r="BE16" s="1664"/>
      <c r="BF16" s="1664"/>
      <c r="BG16" s="1664"/>
      <c r="BH16" s="1664"/>
      <c r="BI16" s="1664"/>
      <c r="BJ16" s="410"/>
      <c r="BK16" s="1665"/>
      <c r="BL16" s="1665"/>
      <c r="BM16" s="1665"/>
      <c r="BN16" s="1665"/>
      <c r="BO16" s="1665"/>
      <c r="BP16" s="1638" t="s">
        <v>3103</v>
      </c>
      <c r="BQ16" s="1638"/>
      <c r="BR16" s="424"/>
      <c r="BS16" s="425"/>
      <c r="BT16" s="1665"/>
      <c r="BU16" s="1665"/>
      <c r="BV16" s="1665"/>
      <c r="BW16" s="1665"/>
      <c r="BX16" s="1665"/>
      <c r="BY16" s="1638" t="s">
        <v>3103</v>
      </c>
      <c r="BZ16" s="1638"/>
      <c r="CA16" s="424"/>
      <c r="CB16" s="425"/>
      <c r="CC16" s="1665"/>
      <c r="CD16" s="1665"/>
      <c r="CE16" s="1665"/>
      <c r="CF16" s="1665"/>
      <c r="CG16" s="1665"/>
      <c r="CH16" s="1638" t="s">
        <v>3103</v>
      </c>
      <c r="CI16" s="1638"/>
      <c r="CJ16" s="412"/>
      <c r="CK16" s="387"/>
      <c r="CL16" s="415"/>
      <c r="CM16" s="387" t="str">
        <f>IF(COUNTA(BK16,BT16,CC16)=0,"未入力","")</f>
        <v>未入力</v>
      </c>
      <c r="CN16" s="387"/>
      <c r="CS16" s="413"/>
      <c r="CT16" s="414" t="str">
        <f>IF(OR(AND(BJ$10&lt;&gt;"",COUNTA(BK16)=0),AND(BS$10&lt;&gt;"",COUNTA(BT16)=0),AND(CB$10&lt;&gt;"",COUNTA(CC16)=0)),"未入力があります。",IF(OR(AND(BJ$10="",COUNTA(BK16)=1),AND(BS$10="",COUNTA(BT16)=1),AND(CB$10="",COUNTA(CC16)=1)),"棟番号を入力してください。",""))</f>
        <v/>
      </c>
      <c r="CU16" s="414"/>
      <c r="CV16" s="414"/>
      <c r="CW16" s="414"/>
      <c r="CX16" s="414"/>
      <c r="CY16" s="414"/>
      <c r="DA16" s="388"/>
      <c r="DB16" s="1663" t="s">
        <v>3102</v>
      </c>
      <c r="DC16" s="1664"/>
      <c r="DD16" s="1664"/>
      <c r="DE16" s="1664"/>
      <c r="DF16" s="1664"/>
      <c r="DG16" s="1664"/>
      <c r="DH16" s="1664"/>
      <c r="DI16" s="1664"/>
      <c r="DJ16" s="410"/>
      <c r="DK16" s="1665"/>
      <c r="DL16" s="1665"/>
      <c r="DM16" s="1665"/>
      <c r="DN16" s="1665"/>
      <c r="DO16" s="1665"/>
      <c r="DP16" s="1638" t="s">
        <v>3103</v>
      </c>
      <c r="DQ16" s="1638"/>
      <c r="DR16" s="424"/>
      <c r="DS16" s="425"/>
      <c r="DT16" s="1665"/>
      <c r="DU16" s="1665"/>
      <c r="DV16" s="1665"/>
      <c r="DW16" s="1665"/>
      <c r="DX16" s="1665"/>
      <c r="DY16" s="1638" t="s">
        <v>3103</v>
      </c>
      <c r="DZ16" s="1638"/>
      <c r="EA16" s="424"/>
      <c r="EB16" s="425"/>
      <c r="EC16" s="1665"/>
      <c r="ED16" s="1665"/>
      <c r="EE16" s="1665"/>
      <c r="EF16" s="1665"/>
      <c r="EG16" s="1665"/>
      <c r="EH16" s="1638" t="s">
        <v>3103</v>
      </c>
      <c r="EI16" s="1638"/>
      <c r="EJ16" s="412"/>
      <c r="EK16" s="387"/>
      <c r="EL16" s="415"/>
      <c r="EM16" s="387" t="str">
        <f>IF(COUNTA(DK16,DT16,EC16)=0,"未入力","")</f>
        <v>未入力</v>
      </c>
      <c r="EN16" s="387"/>
      <c r="ES16" s="413"/>
      <c r="ET16" s="414" t="str">
        <f>IF(OR(AND(DJ$10&lt;&gt;"",COUNTA(DK16)=0),AND(DS$10&lt;&gt;"",COUNTA(DT16)=0),AND(EB$10&lt;&gt;"",COUNTA(EC16)=0)),"未入力があります。",IF(OR(AND(DJ$10="",COUNTA(DK16)=1),AND(DS$10="",COUNTA(DT16)=1),AND(EB$10="",COUNTA(EC16)=1)),"棟番号を入力してください。",""))</f>
        <v/>
      </c>
      <c r="FA16" s="388"/>
      <c r="FB16" s="1663" t="s">
        <v>3102</v>
      </c>
      <c r="FC16" s="1664"/>
      <c r="FD16" s="1664"/>
      <c r="FE16" s="1664"/>
      <c r="FF16" s="1664"/>
      <c r="FG16" s="1664"/>
      <c r="FH16" s="1664"/>
      <c r="FI16" s="1664"/>
      <c r="FJ16" s="410"/>
      <c r="FK16" s="1665"/>
      <c r="FL16" s="1665"/>
      <c r="FM16" s="1665"/>
      <c r="FN16" s="1665"/>
      <c r="FO16" s="1665"/>
      <c r="FP16" s="1638" t="s">
        <v>3103</v>
      </c>
      <c r="FQ16" s="1638"/>
      <c r="FR16" s="424"/>
      <c r="FS16" s="425"/>
      <c r="FT16" s="1665"/>
      <c r="FU16" s="1665"/>
      <c r="FV16" s="1665"/>
      <c r="FW16" s="1665"/>
      <c r="FX16" s="1665"/>
      <c r="FY16" s="1638" t="s">
        <v>3103</v>
      </c>
      <c r="FZ16" s="1638"/>
      <c r="GA16" s="424"/>
      <c r="GB16" s="425"/>
      <c r="GC16" s="1665"/>
      <c r="GD16" s="1665"/>
      <c r="GE16" s="1665"/>
      <c r="GF16" s="1665"/>
      <c r="GG16" s="1665"/>
      <c r="GH16" s="1638" t="s">
        <v>3103</v>
      </c>
      <c r="GI16" s="1638"/>
      <c r="GJ16" s="412"/>
      <c r="GK16" s="387"/>
      <c r="GL16" s="415"/>
      <c r="GM16" s="387" t="str">
        <f>IF(COUNTA(FK16,FT16,GC16)=0,"未入力","")</f>
        <v>未入力</v>
      </c>
      <c r="GN16" s="387"/>
    </row>
    <row r="17" spans="1:198" ht="12" customHeight="1">
      <c r="A17" s="388"/>
      <c r="B17" s="1645" t="s">
        <v>3104</v>
      </c>
      <c r="C17" s="1666"/>
      <c r="D17" s="1666"/>
      <c r="E17" s="1666"/>
      <c r="F17" s="1666"/>
      <c r="G17" s="1666"/>
      <c r="H17" s="1666"/>
      <c r="I17" s="1666"/>
      <c r="J17" s="426"/>
      <c r="K17" s="427"/>
      <c r="L17" s="427"/>
      <c r="M17" s="427"/>
      <c r="N17" s="427"/>
      <c r="O17" s="427"/>
      <c r="P17" s="427"/>
      <c r="Q17" s="427"/>
      <c r="R17" s="428"/>
      <c r="S17" s="429"/>
      <c r="T17" s="1669"/>
      <c r="U17" s="1669"/>
      <c r="V17" s="1669"/>
      <c r="W17" s="1669"/>
      <c r="X17" s="1669"/>
      <c r="Y17" s="427"/>
      <c r="Z17" s="427"/>
      <c r="AA17" s="428"/>
      <c r="AB17" s="429"/>
      <c r="AC17" s="427"/>
      <c r="AD17" s="427"/>
      <c r="AE17" s="427"/>
      <c r="AF17" s="427"/>
      <c r="AG17" s="427"/>
      <c r="AH17" s="427"/>
      <c r="AI17" s="427"/>
      <c r="AJ17" s="431"/>
      <c r="AK17" s="387"/>
      <c r="AL17" s="415"/>
      <c r="AM17" s="387"/>
      <c r="AN17" s="418"/>
      <c r="AO17" s="418"/>
      <c r="AP17" s="418"/>
      <c r="AS17" s="413">
        <f>COUNTIF(AN17:AN23, TRUE)</f>
        <v>0</v>
      </c>
      <c r="BA17" s="388"/>
      <c r="BB17" s="1645" t="s">
        <v>3104</v>
      </c>
      <c r="BC17" s="1666"/>
      <c r="BD17" s="1666"/>
      <c r="BE17" s="1666"/>
      <c r="BF17" s="1666"/>
      <c r="BG17" s="1666"/>
      <c r="BH17" s="1666"/>
      <c r="BI17" s="1666"/>
      <c r="BJ17" s="426"/>
      <c r="BK17" s="427"/>
      <c r="BL17" s="427"/>
      <c r="BM17" s="427"/>
      <c r="BN17" s="427"/>
      <c r="BO17" s="427"/>
      <c r="BP17" s="427"/>
      <c r="BQ17" s="427"/>
      <c r="BR17" s="428"/>
      <c r="BS17" s="429"/>
      <c r="BT17" s="1669"/>
      <c r="BU17" s="1669"/>
      <c r="BV17" s="1669"/>
      <c r="BW17" s="1669"/>
      <c r="BX17" s="1669"/>
      <c r="BY17" s="427"/>
      <c r="BZ17" s="427"/>
      <c r="CA17" s="428"/>
      <c r="CB17" s="429"/>
      <c r="CC17" s="427"/>
      <c r="CD17" s="427"/>
      <c r="CE17" s="427"/>
      <c r="CF17" s="427"/>
      <c r="CG17" s="427"/>
      <c r="CH17" s="427"/>
      <c r="CI17" s="427"/>
      <c r="CJ17" s="431"/>
      <c r="CK17" s="387"/>
      <c r="CL17" s="415"/>
      <c r="CM17" s="387"/>
      <c r="CN17" s="418"/>
      <c r="CO17" s="418"/>
      <c r="CP17" s="418"/>
      <c r="CS17" s="413">
        <f>COUNTIF(CN17:CN23, TRUE)</f>
        <v>0</v>
      </c>
      <c r="DA17" s="388"/>
      <c r="DB17" s="1645" t="s">
        <v>3104</v>
      </c>
      <c r="DC17" s="1666"/>
      <c r="DD17" s="1666"/>
      <c r="DE17" s="1666"/>
      <c r="DF17" s="1666"/>
      <c r="DG17" s="1666"/>
      <c r="DH17" s="1666"/>
      <c r="DI17" s="1666"/>
      <c r="DJ17" s="426"/>
      <c r="DK17" s="427"/>
      <c r="DL17" s="427"/>
      <c r="DM17" s="427"/>
      <c r="DN17" s="427"/>
      <c r="DO17" s="427"/>
      <c r="DP17" s="427"/>
      <c r="DQ17" s="427"/>
      <c r="DR17" s="428"/>
      <c r="DS17" s="429"/>
      <c r="DT17" s="1669"/>
      <c r="DU17" s="1669"/>
      <c r="DV17" s="1669"/>
      <c r="DW17" s="1669"/>
      <c r="DX17" s="1669"/>
      <c r="DY17" s="427"/>
      <c r="DZ17" s="427"/>
      <c r="EA17" s="428"/>
      <c r="EB17" s="429"/>
      <c r="EC17" s="427"/>
      <c r="ED17" s="427"/>
      <c r="EE17" s="427"/>
      <c r="EF17" s="427"/>
      <c r="EG17" s="427"/>
      <c r="EH17" s="427"/>
      <c r="EI17" s="427"/>
      <c r="EJ17" s="431"/>
      <c r="EK17" s="387"/>
      <c r="EL17" s="415"/>
      <c r="EM17" s="387"/>
      <c r="EN17" s="418"/>
      <c r="EO17" s="418"/>
      <c r="EP17" s="418"/>
      <c r="ES17" s="413">
        <f>COUNTIF(EN17:EN23, TRUE)</f>
        <v>0</v>
      </c>
      <c r="FA17" s="388"/>
      <c r="FB17" s="1645" t="s">
        <v>3104</v>
      </c>
      <c r="FC17" s="1666"/>
      <c r="FD17" s="1666"/>
      <c r="FE17" s="1666"/>
      <c r="FF17" s="1666"/>
      <c r="FG17" s="1666"/>
      <c r="FH17" s="1666"/>
      <c r="FI17" s="1666"/>
      <c r="FJ17" s="426"/>
      <c r="FK17" s="427"/>
      <c r="FL17" s="427"/>
      <c r="FM17" s="427"/>
      <c r="FN17" s="427"/>
      <c r="FO17" s="427"/>
      <c r="FP17" s="427"/>
      <c r="FQ17" s="427"/>
      <c r="FR17" s="428"/>
      <c r="FS17" s="429"/>
      <c r="FT17" s="1669"/>
      <c r="FU17" s="1669"/>
      <c r="FV17" s="1669"/>
      <c r="FW17" s="1669"/>
      <c r="FX17" s="1669"/>
      <c r="FY17" s="427"/>
      <c r="FZ17" s="427"/>
      <c r="GA17" s="428"/>
      <c r="GB17" s="429"/>
      <c r="GC17" s="427"/>
      <c r="GD17" s="427"/>
      <c r="GE17" s="427"/>
      <c r="GF17" s="427"/>
      <c r="GG17" s="427"/>
      <c r="GH17" s="427"/>
      <c r="GI17" s="427"/>
      <c r="GJ17" s="431"/>
      <c r="GK17" s="387"/>
      <c r="GL17" s="415"/>
      <c r="GM17" s="387"/>
      <c r="GN17" s="418"/>
      <c r="GO17" s="418"/>
      <c r="GP17" s="418"/>
    </row>
    <row r="18" spans="1:198" ht="18.899999999999999" customHeight="1">
      <c r="A18" s="388"/>
      <c r="B18" s="1667"/>
      <c r="C18" s="1668"/>
      <c r="D18" s="1668"/>
      <c r="E18" s="1668"/>
      <c r="F18" s="1668"/>
      <c r="G18" s="1668"/>
      <c r="H18" s="1668"/>
      <c r="I18" s="1668"/>
      <c r="J18" s="433"/>
      <c r="K18" s="1670"/>
      <c r="L18" s="1670"/>
      <c r="M18" s="1670"/>
      <c r="N18" s="1670"/>
      <c r="O18" s="1670"/>
      <c r="P18" s="1657" t="s">
        <v>24</v>
      </c>
      <c r="Q18" s="1657"/>
      <c r="R18" s="435"/>
      <c r="S18" s="436"/>
      <c r="T18" s="1671"/>
      <c r="U18" s="1671"/>
      <c r="V18" s="1671"/>
      <c r="W18" s="1671"/>
      <c r="X18" s="1671"/>
      <c r="Y18" s="1657" t="s">
        <v>24</v>
      </c>
      <c r="Z18" s="1657"/>
      <c r="AA18" s="435"/>
      <c r="AB18" s="436"/>
      <c r="AC18" s="1670"/>
      <c r="AD18" s="1670"/>
      <c r="AE18" s="1670"/>
      <c r="AF18" s="1670"/>
      <c r="AG18" s="1670"/>
      <c r="AH18" s="1657" t="s">
        <v>24</v>
      </c>
      <c r="AI18" s="1657"/>
      <c r="AJ18" s="437"/>
      <c r="AK18" s="387"/>
      <c r="AL18" s="415"/>
      <c r="AM18" s="392"/>
      <c r="AN18" s="418"/>
      <c r="AO18" s="418"/>
      <c r="AP18" s="418"/>
      <c r="AS18" s="413">
        <f>COUNTIF(AO17:AO23, TRUE)</f>
        <v>0</v>
      </c>
      <c r="AT18" s="414" t="str">
        <f>IF(OR(AND(J$10&lt;&gt;"",COUNTA(K18)=0),AND(S$10&lt;&gt;"",COUNTA(T18)=0),AND(AB$10&lt;&gt;"",COUNTA(AC18)=0)),"未入力があります。",IF(OR(AND(J$10="",COUNTA(K18)=1),AND(S$10="",COUNTA(T18)=1),AND(AB$10="",COUNTA(AC18)=1)),"棟番号を入力してください。",IF(AND(K18&lt;&gt;"",K18&lt;10),"10㎡未満の場合は届出不要です。",IF(AND(T18&lt;&gt;"",T18&lt;10),"10㎡未満の場合は届出不要です。",IF(AND(AC18&lt;&gt;"",AC18&lt;10),"10㎡以下の場合は届出不要です。","")))))</f>
        <v/>
      </c>
      <c r="AU18" s="414"/>
      <c r="AV18" s="414"/>
      <c r="AW18" s="414"/>
      <c r="AX18" s="414"/>
      <c r="AY18" s="414"/>
      <c r="BA18" s="388"/>
      <c r="BB18" s="1667"/>
      <c r="BC18" s="1668"/>
      <c r="BD18" s="1668"/>
      <c r="BE18" s="1668"/>
      <c r="BF18" s="1668"/>
      <c r="BG18" s="1668"/>
      <c r="BH18" s="1668"/>
      <c r="BI18" s="1668"/>
      <c r="BJ18" s="433"/>
      <c r="BK18" s="1670"/>
      <c r="BL18" s="1670"/>
      <c r="BM18" s="1670"/>
      <c r="BN18" s="1670"/>
      <c r="BO18" s="1670"/>
      <c r="BP18" s="1657" t="s">
        <v>24</v>
      </c>
      <c r="BQ18" s="1657"/>
      <c r="BR18" s="435"/>
      <c r="BS18" s="436"/>
      <c r="BT18" s="1671"/>
      <c r="BU18" s="1671"/>
      <c r="BV18" s="1671"/>
      <c r="BW18" s="1671"/>
      <c r="BX18" s="1671"/>
      <c r="BY18" s="1657" t="s">
        <v>24</v>
      </c>
      <c r="BZ18" s="1657"/>
      <c r="CA18" s="435"/>
      <c r="CB18" s="436"/>
      <c r="CC18" s="1670"/>
      <c r="CD18" s="1670"/>
      <c r="CE18" s="1670"/>
      <c r="CF18" s="1670"/>
      <c r="CG18" s="1670"/>
      <c r="CH18" s="1657" t="s">
        <v>24</v>
      </c>
      <c r="CI18" s="1657"/>
      <c r="CJ18" s="437"/>
      <c r="CK18" s="387"/>
      <c r="CL18" s="415"/>
      <c r="CM18" s="392"/>
      <c r="CN18" s="418"/>
      <c r="CO18" s="418"/>
      <c r="CP18" s="418"/>
      <c r="CS18" s="413">
        <f>COUNTIF(CO17:CO23, TRUE)</f>
        <v>0</v>
      </c>
      <c r="CT18" s="414" t="str">
        <f>IF(OR(AND(BJ$10&lt;&gt;"",COUNTA(BK18)=0),AND(BS$10&lt;&gt;"",COUNTA(BT18)=0),AND(CB$10&lt;&gt;"",COUNTA(CC18)=0)),"未入力があります。",IF(OR(AND(BJ$10="",COUNTA(BK18)=1),AND(BS$10="",COUNTA(BT18)=1),AND(CB$10="",COUNTA(CC18)=1)),"棟番号を入力してください。",IF(AND(BK18&lt;&gt;"",BK18&lt;10),"10㎡未満の場合は届出不要です。",IF(AND(BT18&lt;&gt;"",BT18&lt;10),"10㎡未満の場合は届出不要です。",IF(AND(CC18&lt;&gt;"",CC18&lt;10),"10㎡以下の場合は届出不要です。","")))))</f>
        <v/>
      </c>
      <c r="CU18" s="414"/>
      <c r="CV18" s="414"/>
      <c r="CW18" s="414"/>
      <c r="CX18" s="414"/>
      <c r="CY18" s="414"/>
      <c r="DA18" s="388"/>
      <c r="DB18" s="1667"/>
      <c r="DC18" s="1668"/>
      <c r="DD18" s="1668"/>
      <c r="DE18" s="1668"/>
      <c r="DF18" s="1668"/>
      <c r="DG18" s="1668"/>
      <c r="DH18" s="1668"/>
      <c r="DI18" s="1668"/>
      <c r="DJ18" s="433"/>
      <c r="DK18" s="1670"/>
      <c r="DL18" s="1670"/>
      <c r="DM18" s="1670"/>
      <c r="DN18" s="1670"/>
      <c r="DO18" s="1670"/>
      <c r="DP18" s="1657" t="s">
        <v>24</v>
      </c>
      <c r="DQ18" s="1657"/>
      <c r="DR18" s="435"/>
      <c r="DS18" s="436"/>
      <c r="DT18" s="1671"/>
      <c r="DU18" s="1671"/>
      <c r="DV18" s="1671"/>
      <c r="DW18" s="1671"/>
      <c r="DX18" s="1671"/>
      <c r="DY18" s="1657" t="s">
        <v>24</v>
      </c>
      <c r="DZ18" s="1657"/>
      <c r="EA18" s="435"/>
      <c r="EB18" s="436"/>
      <c r="EC18" s="1670"/>
      <c r="ED18" s="1670"/>
      <c r="EE18" s="1670"/>
      <c r="EF18" s="1670"/>
      <c r="EG18" s="1670"/>
      <c r="EH18" s="1657" t="s">
        <v>24</v>
      </c>
      <c r="EI18" s="1657"/>
      <c r="EJ18" s="437"/>
      <c r="EK18" s="387"/>
      <c r="EL18" s="415"/>
      <c r="EM18" s="392"/>
      <c r="EN18" s="418"/>
      <c r="EO18" s="418"/>
      <c r="EP18" s="418"/>
      <c r="ES18" s="413">
        <f>COUNTIF(EO17:EO23, TRUE)</f>
        <v>0</v>
      </c>
      <c r="ET18" s="414" t="str">
        <f>IF(OR(AND(DJ$10&lt;&gt;"",COUNTA(DK18)=0),AND(DS$10&lt;&gt;"",COUNTA(DT18)=0),AND(EB$10&lt;&gt;"",COUNTA(EC18)=0)),"未入力があります。",IF(OR(AND(DJ$10="",COUNTA(DK18)=1),AND(DS$10="",COUNTA(DT18)=1),AND(EB$10="",COUNTA(EC18)=1)),"棟番号を入力してください。",IF(AND(DK18&lt;&gt;"",DK18&lt;10),"10㎡未満の場合は届出不要です。",IF(AND(DT18&lt;&gt;"",DT18&lt;10),"10㎡未満の場合は届出不要です。",IF(AND(EC18&lt;&gt;"",EC18&lt;10),"10㎡以下の場合は届出不要です。","")))))</f>
        <v/>
      </c>
      <c r="FA18" s="388"/>
      <c r="FB18" s="1667"/>
      <c r="FC18" s="1668"/>
      <c r="FD18" s="1668"/>
      <c r="FE18" s="1668"/>
      <c r="FF18" s="1668"/>
      <c r="FG18" s="1668"/>
      <c r="FH18" s="1668"/>
      <c r="FI18" s="1668"/>
      <c r="FJ18" s="433"/>
      <c r="FK18" s="1670"/>
      <c r="FL18" s="1670"/>
      <c r="FM18" s="1670"/>
      <c r="FN18" s="1670"/>
      <c r="FO18" s="1670"/>
      <c r="FP18" s="1657" t="s">
        <v>24</v>
      </c>
      <c r="FQ18" s="1657"/>
      <c r="FR18" s="435"/>
      <c r="FS18" s="436"/>
      <c r="FT18" s="1671"/>
      <c r="FU18" s="1671"/>
      <c r="FV18" s="1671"/>
      <c r="FW18" s="1671"/>
      <c r="FX18" s="1671"/>
      <c r="FY18" s="1657" t="s">
        <v>24</v>
      </c>
      <c r="FZ18" s="1657"/>
      <c r="GA18" s="435"/>
      <c r="GB18" s="436"/>
      <c r="GC18" s="1670"/>
      <c r="GD18" s="1670"/>
      <c r="GE18" s="1670"/>
      <c r="GF18" s="1670"/>
      <c r="GG18" s="1670"/>
      <c r="GH18" s="1657" t="s">
        <v>24</v>
      </c>
      <c r="GI18" s="1657"/>
      <c r="GJ18" s="437"/>
      <c r="GK18" s="387"/>
      <c r="GL18" s="415"/>
      <c r="GM18" s="392"/>
      <c r="GN18" s="418"/>
      <c r="GO18" s="418"/>
      <c r="GP18" s="418"/>
    </row>
    <row r="19" spans="1:198" ht="8.4" hidden="1" customHeight="1">
      <c r="A19" s="388"/>
      <c r="B19" s="389"/>
      <c r="C19" s="389"/>
      <c r="D19" s="389"/>
      <c r="E19" s="389"/>
      <c r="F19" s="389"/>
      <c r="G19" s="389"/>
      <c r="H19" s="389"/>
      <c r="I19" s="391"/>
      <c r="J19" s="388"/>
      <c r="K19" s="438"/>
      <c r="L19" s="438"/>
      <c r="M19" s="438"/>
      <c r="N19" s="438"/>
      <c r="O19" s="404"/>
      <c r="P19" s="404"/>
      <c r="Q19" s="387"/>
      <c r="R19" s="439"/>
      <c r="S19" s="440"/>
      <c r="T19" s="438"/>
      <c r="U19" s="438"/>
      <c r="V19" s="438"/>
      <c r="W19" s="438"/>
      <c r="X19" s="404"/>
      <c r="Y19" s="404"/>
      <c r="Z19" s="387"/>
      <c r="AA19" s="439"/>
      <c r="AB19" s="440"/>
      <c r="AC19" s="438"/>
      <c r="AD19" s="438"/>
      <c r="AE19" s="438"/>
      <c r="AF19" s="438"/>
      <c r="AG19" s="404"/>
      <c r="AH19" s="404"/>
      <c r="AI19" s="387"/>
      <c r="AJ19" s="415"/>
      <c r="AK19" s="387"/>
      <c r="AL19" s="415"/>
      <c r="AM19" s="416"/>
      <c r="AN19" s="418" t="b">
        <v>0</v>
      </c>
      <c r="AO19" s="418" t="b">
        <v>0</v>
      </c>
      <c r="AP19" s="418" t="b">
        <v>0</v>
      </c>
      <c r="AS19" s="413">
        <f>COUNTIF(AP17:AP23, TRUE)</f>
        <v>0</v>
      </c>
      <c r="AT19" s="414" t="str">
        <f>IF(OR(AND(J$10&lt;&gt;"",COUNTA(K19)=0),AND(S$10&lt;&gt;"",COUNTA(T19)=0),AND(AB$10&lt;&gt;"",COUNTA(AC19)=0)),"未入力があります。",IF(OR(AND(J$10="",COUNTA(K19)=1),AND(S$10="",COUNTA(T19)=1),AND(AB$10="",COUNTA(AC19)=1)),"棟番号を入力してください。",""))</f>
        <v/>
      </c>
      <c r="AU19" s="414"/>
      <c r="AV19" s="414"/>
      <c r="AW19" s="414"/>
      <c r="AX19" s="414"/>
      <c r="AY19" s="414"/>
      <c r="BA19" s="388"/>
      <c r="BB19" s="389"/>
      <c r="BC19" s="389"/>
      <c r="BD19" s="389"/>
      <c r="BE19" s="389"/>
      <c r="BF19" s="389"/>
      <c r="BG19" s="389"/>
      <c r="BH19" s="389"/>
      <c r="BI19" s="391"/>
      <c r="BJ19" s="388"/>
      <c r="BK19" s="438"/>
      <c r="BL19" s="438"/>
      <c r="BM19" s="438"/>
      <c r="BN19" s="438"/>
      <c r="BO19" s="404"/>
      <c r="BP19" s="404"/>
      <c r="BQ19" s="387"/>
      <c r="BR19" s="439"/>
      <c r="BS19" s="440"/>
      <c r="BT19" s="438"/>
      <c r="BU19" s="438"/>
      <c r="BV19" s="438"/>
      <c r="BW19" s="438"/>
      <c r="BX19" s="404"/>
      <c r="BY19" s="404"/>
      <c r="BZ19" s="387"/>
      <c r="CA19" s="439"/>
      <c r="CB19" s="440"/>
      <c r="CC19" s="438"/>
      <c r="CD19" s="438"/>
      <c r="CE19" s="438"/>
      <c r="CF19" s="438"/>
      <c r="CG19" s="404"/>
      <c r="CH19" s="404"/>
      <c r="CI19" s="387"/>
      <c r="CJ19" s="415"/>
      <c r="CK19" s="387"/>
      <c r="CL19" s="415"/>
      <c r="CM19" s="416"/>
      <c r="CN19" s="418" t="b">
        <v>0</v>
      </c>
      <c r="CO19" s="418" t="b">
        <v>0</v>
      </c>
      <c r="CP19" s="418" t="b">
        <v>0</v>
      </c>
      <c r="CS19" s="413">
        <f>COUNTIF(CP17:CP23, TRUE)</f>
        <v>0</v>
      </c>
      <c r="CT19" s="414" t="str">
        <f>IF(OR(AND(BJ$10&lt;&gt;"",COUNTA(BK19)=0),AND(BS$10&lt;&gt;"",COUNTA(BT19)=0),AND(CB$10&lt;&gt;"",COUNTA(CC19)=0)),"未入力があります。",IF(OR(AND(BJ$10="",COUNTA(BK19)=1),AND(BS$10="",COUNTA(BT19)=1),AND(CB$10="",COUNTA(CC19)=1)),"棟番号を入力してください。",""))</f>
        <v/>
      </c>
      <c r="CU19" s="414"/>
      <c r="CV19" s="414"/>
      <c r="CW19" s="414"/>
      <c r="CX19" s="414"/>
      <c r="CY19" s="414"/>
      <c r="DA19" s="388"/>
      <c r="DB19" s="389"/>
      <c r="DC19" s="389"/>
      <c r="DD19" s="389"/>
      <c r="DE19" s="389"/>
      <c r="DF19" s="389"/>
      <c r="DG19" s="389"/>
      <c r="DH19" s="389"/>
      <c r="DI19" s="391"/>
      <c r="DJ19" s="388"/>
      <c r="DK19" s="438"/>
      <c r="DL19" s="438"/>
      <c r="DM19" s="438"/>
      <c r="DN19" s="438"/>
      <c r="DO19" s="404"/>
      <c r="DP19" s="404"/>
      <c r="DQ19" s="387"/>
      <c r="DR19" s="439"/>
      <c r="DS19" s="440"/>
      <c r="DT19" s="438"/>
      <c r="DU19" s="438"/>
      <c r="DV19" s="438"/>
      <c r="DW19" s="438"/>
      <c r="DX19" s="404"/>
      <c r="DY19" s="404"/>
      <c r="DZ19" s="387"/>
      <c r="EA19" s="439"/>
      <c r="EB19" s="440"/>
      <c r="EC19" s="438"/>
      <c r="ED19" s="438"/>
      <c r="EE19" s="438"/>
      <c r="EF19" s="438"/>
      <c r="EG19" s="404"/>
      <c r="EH19" s="404"/>
      <c r="EI19" s="387"/>
      <c r="EJ19" s="415"/>
      <c r="EK19" s="387"/>
      <c r="EL19" s="415"/>
      <c r="EM19" s="416"/>
      <c r="EN19" s="418" t="b">
        <v>0</v>
      </c>
      <c r="EO19" s="418" t="b">
        <v>0</v>
      </c>
      <c r="EP19" s="418" t="b">
        <v>0</v>
      </c>
      <c r="ES19" s="413">
        <f>COUNTIF(EP17:EP23, TRUE)</f>
        <v>0</v>
      </c>
      <c r="ET19" s="414" t="str">
        <f>IF(OR(AND(DJ$10&lt;&gt;"",COUNTA(DK19)=0),AND(DS$10&lt;&gt;"",COUNTA(DT19)=0),AND(EB$10&lt;&gt;"",COUNTA(EC19)=0)),"未入力があります。",IF(OR(AND(DJ$10="",COUNTA(DK19)=1),AND(DS$10="",COUNTA(DT19)=1),AND(EB$10="",COUNTA(EC19)=1)),"棟番号を入力してください。",""))</f>
        <v/>
      </c>
      <c r="FA19" s="388"/>
      <c r="FB19" s="389"/>
      <c r="FC19" s="389"/>
      <c r="FD19" s="389"/>
      <c r="FE19" s="389"/>
      <c r="FF19" s="389"/>
      <c r="FG19" s="389"/>
      <c r="FH19" s="389"/>
      <c r="FI19" s="391"/>
      <c r="FJ19" s="388"/>
      <c r="FK19" s="438"/>
      <c r="FL19" s="438"/>
      <c r="FM19" s="438"/>
      <c r="FN19" s="438"/>
      <c r="FO19" s="404"/>
      <c r="FP19" s="404"/>
      <c r="FQ19" s="387"/>
      <c r="FR19" s="439"/>
      <c r="FS19" s="440"/>
      <c r="FT19" s="438"/>
      <c r="FU19" s="438"/>
      <c r="FV19" s="438"/>
      <c r="FW19" s="438"/>
      <c r="FX19" s="404"/>
      <c r="FY19" s="404"/>
      <c r="FZ19" s="387"/>
      <c r="GA19" s="439"/>
      <c r="GB19" s="440"/>
      <c r="GC19" s="438"/>
      <c r="GD19" s="438"/>
      <c r="GE19" s="438"/>
      <c r="GF19" s="438"/>
      <c r="GG19" s="404"/>
      <c r="GH19" s="404"/>
      <c r="GI19" s="387"/>
      <c r="GJ19" s="415"/>
      <c r="GK19" s="387"/>
      <c r="GL19" s="415"/>
      <c r="GM19" s="416"/>
      <c r="GN19" s="418" t="b">
        <v>0</v>
      </c>
      <c r="GO19" s="418" t="b">
        <v>0</v>
      </c>
      <c r="GP19" s="418" t="b">
        <v>0</v>
      </c>
    </row>
    <row r="20" spans="1:198" ht="23.1" customHeight="1">
      <c r="A20" s="388"/>
      <c r="B20" s="1645" t="s">
        <v>3105</v>
      </c>
      <c r="C20" s="1666"/>
      <c r="D20" s="1666"/>
      <c r="E20" s="1666"/>
      <c r="F20" s="1666"/>
      <c r="G20" s="1666"/>
      <c r="H20" s="1666"/>
      <c r="I20" s="1672"/>
      <c r="J20" s="441" t="s">
        <v>2677</v>
      </c>
      <c r="K20" s="1676" t="s">
        <v>2438</v>
      </c>
      <c r="L20" s="1677"/>
      <c r="M20" s="1678"/>
      <c r="N20" s="1679"/>
      <c r="O20" s="1679"/>
      <c r="P20" s="1679"/>
      <c r="Q20" s="1679"/>
      <c r="R20" s="1680"/>
      <c r="S20" s="431" t="s">
        <v>2677</v>
      </c>
      <c r="T20" s="1676" t="s">
        <v>2438</v>
      </c>
      <c r="U20" s="1677"/>
      <c r="V20" s="1678"/>
      <c r="W20" s="1681"/>
      <c r="X20" s="1679"/>
      <c r="Y20" s="1679"/>
      <c r="Z20" s="1679"/>
      <c r="AA20" s="1680"/>
      <c r="AB20" s="431" t="s">
        <v>2677</v>
      </c>
      <c r="AC20" s="1676" t="s">
        <v>2438</v>
      </c>
      <c r="AD20" s="1677"/>
      <c r="AE20" s="1678"/>
      <c r="AF20" s="1681"/>
      <c r="AG20" s="1679"/>
      <c r="AH20" s="1679"/>
      <c r="AI20" s="1679"/>
      <c r="AJ20" s="1682"/>
      <c r="AK20" s="387"/>
      <c r="AL20" s="415"/>
      <c r="AM20" s="416" t="str">
        <f>AT20&amp;AT21&amp;AT22&amp;AT23&amp;AT24&amp;AT25</f>
        <v/>
      </c>
      <c r="AN20" s="418"/>
      <c r="AO20" s="418"/>
      <c r="AP20" s="418"/>
      <c r="AS20" s="413"/>
      <c r="AT20" s="414" t="str">
        <f>IF(OR(AND(N20="",COUNTA(N21)=1),AND(W20="",COUNTA(W21)=1),AND(AF20="",COUNTA(AF21)=1)),"未入力です。",IF(OR(AND(J$10="",COUNTA(N20)=1),AND(S$10="",COUNTA(W20)=1),AND(AB$10="",COUNTA(AF20)=1)),"棟番号を入力してください。",""))</f>
        <v/>
      </c>
      <c r="AU20" s="414"/>
      <c r="AV20" s="414"/>
      <c r="AW20" s="414"/>
      <c r="AX20" s="414"/>
      <c r="AY20" s="414"/>
      <c r="BA20" s="388"/>
      <c r="BB20" s="1645" t="s">
        <v>3105</v>
      </c>
      <c r="BC20" s="1666"/>
      <c r="BD20" s="1666"/>
      <c r="BE20" s="1666"/>
      <c r="BF20" s="1666"/>
      <c r="BG20" s="1666"/>
      <c r="BH20" s="1666"/>
      <c r="BI20" s="1672"/>
      <c r="BJ20" s="441" t="s">
        <v>2677</v>
      </c>
      <c r="BK20" s="1676" t="s">
        <v>2438</v>
      </c>
      <c r="BL20" s="1677"/>
      <c r="BM20" s="1678"/>
      <c r="BN20" s="1679"/>
      <c r="BO20" s="1679"/>
      <c r="BP20" s="1679"/>
      <c r="BQ20" s="1679"/>
      <c r="BR20" s="1680"/>
      <c r="BS20" s="431" t="s">
        <v>2677</v>
      </c>
      <c r="BT20" s="1676" t="s">
        <v>2438</v>
      </c>
      <c r="BU20" s="1677"/>
      <c r="BV20" s="1678"/>
      <c r="BW20" s="1681"/>
      <c r="BX20" s="1679"/>
      <c r="BY20" s="1679"/>
      <c r="BZ20" s="1679"/>
      <c r="CA20" s="1680"/>
      <c r="CB20" s="431" t="s">
        <v>2677</v>
      </c>
      <c r="CC20" s="1676" t="s">
        <v>2438</v>
      </c>
      <c r="CD20" s="1677"/>
      <c r="CE20" s="1678"/>
      <c r="CF20" s="1681"/>
      <c r="CG20" s="1679"/>
      <c r="CH20" s="1679"/>
      <c r="CI20" s="1679"/>
      <c r="CJ20" s="1682"/>
      <c r="CK20" s="387"/>
      <c r="CL20" s="415"/>
      <c r="CM20" s="416" t="str">
        <f>CT20&amp;CT21&amp;CT22&amp;CT23&amp;CT24&amp;CT25</f>
        <v/>
      </c>
      <c r="CN20" s="418"/>
      <c r="CO20" s="418"/>
      <c r="CP20" s="418"/>
      <c r="CS20" s="413"/>
      <c r="CT20" s="414" t="str">
        <f>IF(OR(AND(BN20="",COUNTA(BN21)=1),AND(BW20="",COUNTA(BW21)=1),AND(CF20="",COUNTA(CF21)=1)),"未入力です。",IF(OR(AND(BJ$10="",COUNTA(BN20)=1),AND(BS$10="",COUNTA(BW20)=1),AND(CB$10="",COUNTA(CF20)=1)),"棟番号を入力してください。",""))</f>
        <v/>
      </c>
      <c r="CU20" s="414"/>
      <c r="CV20" s="414"/>
      <c r="CW20" s="414"/>
      <c r="CX20" s="414"/>
      <c r="CY20" s="414"/>
      <c r="DA20" s="388"/>
      <c r="DB20" s="1645" t="s">
        <v>3105</v>
      </c>
      <c r="DC20" s="1666"/>
      <c r="DD20" s="1666"/>
      <c r="DE20" s="1666"/>
      <c r="DF20" s="1666"/>
      <c r="DG20" s="1666"/>
      <c r="DH20" s="1666"/>
      <c r="DI20" s="1672"/>
      <c r="DJ20" s="441" t="s">
        <v>2677</v>
      </c>
      <c r="DK20" s="1676" t="s">
        <v>2438</v>
      </c>
      <c r="DL20" s="1677"/>
      <c r="DM20" s="1678"/>
      <c r="DN20" s="1679"/>
      <c r="DO20" s="1679"/>
      <c r="DP20" s="1679"/>
      <c r="DQ20" s="1679"/>
      <c r="DR20" s="1680"/>
      <c r="DS20" s="431" t="s">
        <v>2677</v>
      </c>
      <c r="DT20" s="1676" t="s">
        <v>2438</v>
      </c>
      <c r="DU20" s="1677"/>
      <c r="DV20" s="1678"/>
      <c r="DW20" s="1681"/>
      <c r="DX20" s="1679"/>
      <c r="DY20" s="1679"/>
      <c r="DZ20" s="1679"/>
      <c r="EA20" s="1680"/>
      <c r="EB20" s="431" t="s">
        <v>2677</v>
      </c>
      <c r="EC20" s="1676" t="s">
        <v>2438</v>
      </c>
      <c r="ED20" s="1677"/>
      <c r="EE20" s="1678"/>
      <c r="EF20" s="1681"/>
      <c r="EG20" s="1679"/>
      <c r="EH20" s="1679"/>
      <c r="EI20" s="1679"/>
      <c r="EJ20" s="1682"/>
      <c r="EK20" s="387"/>
      <c r="EL20" s="415"/>
      <c r="EM20" s="416" t="str">
        <f>ET20&amp;ET21&amp;ET22&amp;ET23&amp;ET24&amp;ET25</f>
        <v/>
      </c>
      <c r="EN20" s="418"/>
      <c r="EO20" s="418"/>
      <c r="EP20" s="418"/>
      <c r="ES20" s="413"/>
      <c r="ET20" s="414" t="str">
        <f>IF(OR(AND(DN20="",COUNTA(DN21)=1),AND(DW20="",COUNTA(DW21)=1),AND(EF20="",COUNTA(EF21)=1)),"未入力です。",IF(OR(AND(DJ$10="",COUNTA(DN20)=1),AND(DS$10="",COUNTA(DW20)=1),AND(EB$10="",COUNTA(EF20)=1)),"棟番号を入力してください。",""))</f>
        <v/>
      </c>
      <c r="FA20" s="388"/>
      <c r="FB20" s="1645" t="s">
        <v>3105</v>
      </c>
      <c r="FC20" s="1666"/>
      <c r="FD20" s="1666"/>
      <c r="FE20" s="1666"/>
      <c r="FF20" s="1666"/>
      <c r="FG20" s="1666"/>
      <c r="FH20" s="1666"/>
      <c r="FI20" s="1672"/>
      <c r="FJ20" s="441" t="s">
        <v>2677</v>
      </c>
      <c r="FK20" s="1676" t="s">
        <v>2438</v>
      </c>
      <c r="FL20" s="1677"/>
      <c r="FM20" s="1678"/>
      <c r="FN20" s="1679"/>
      <c r="FO20" s="1679"/>
      <c r="FP20" s="1679"/>
      <c r="FQ20" s="1679"/>
      <c r="FR20" s="1680"/>
      <c r="FS20" s="431" t="s">
        <v>2677</v>
      </c>
      <c r="FT20" s="1676" t="s">
        <v>2438</v>
      </c>
      <c r="FU20" s="1677"/>
      <c r="FV20" s="1678"/>
      <c r="FW20" s="1681"/>
      <c r="FX20" s="1679"/>
      <c r="FY20" s="1679"/>
      <c r="FZ20" s="1679"/>
      <c r="GA20" s="1680"/>
      <c r="GB20" s="431" t="s">
        <v>2677</v>
      </c>
      <c r="GC20" s="1676" t="s">
        <v>2438</v>
      </c>
      <c r="GD20" s="1677"/>
      <c r="GE20" s="1678"/>
      <c r="GF20" s="1681"/>
      <c r="GG20" s="1679"/>
      <c r="GH20" s="1679"/>
      <c r="GI20" s="1679"/>
      <c r="GJ20" s="1682"/>
      <c r="GK20" s="387"/>
      <c r="GL20" s="415"/>
      <c r="GM20" s="416" t="str">
        <f>GT20&amp;GT21&amp;GT22&amp;GT23&amp;GT24&amp;GT25</f>
        <v/>
      </c>
      <c r="GN20" s="418"/>
      <c r="GO20" s="418"/>
      <c r="GP20" s="418"/>
    </row>
    <row r="21" spans="1:198" ht="23.1" customHeight="1">
      <c r="A21" s="388"/>
      <c r="B21" s="1673"/>
      <c r="C21" s="1630"/>
      <c r="D21" s="1630"/>
      <c r="E21" s="1630"/>
      <c r="F21" s="1630"/>
      <c r="G21" s="1630"/>
      <c r="H21" s="1630"/>
      <c r="I21" s="1674"/>
      <c r="J21" s="442"/>
      <c r="K21" s="1676" t="s">
        <v>3106</v>
      </c>
      <c r="L21" s="1677"/>
      <c r="M21" s="1678"/>
      <c r="N21" s="1683"/>
      <c r="O21" s="1683"/>
      <c r="P21" s="1683"/>
      <c r="Q21" s="1683"/>
      <c r="R21" s="424" t="s">
        <v>24</v>
      </c>
      <c r="S21" s="437"/>
      <c r="T21" s="1676" t="s">
        <v>3106</v>
      </c>
      <c r="U21" s="1677"/>
      <c r="V21" s="1677"/>
      <c r="W21" s="1637"/>
      <c r="X21" s="1638"/>
      <c r="Y21" s="1638"/>
      <c r="Z21" s="1638"/>
      <c r="AA21" s="424" t="s">
        <v>24</v>
      </c>
      <c r="AB21" s="437"/>
      <c r="AC21" s="1676" t="s">
        <v>3106</v>
      </c>
      <c r="AD21" s="1677"/>
      <c r="AE21" s="1677"/>
      <c r="AF21" s="1637"/>
      <c r="AG21" s="1638"/>
      <c r="AH21" s="1638"/>
      <c r="AI21" s="1638"/>
      <c r="AJ21" s="412" t="s">
        <v>24</v>
      </c>
      <c r="AK21" s="387"/>
      <c r="AL21" s="415"/>
      <c r="AM21" s="416"/>
      <c r="AN21" s="418"/>
      <c r="AO21" s="418"/>
      <c r="AP21" s="418"/>
      <c r="AS21" s="413"/>
      <c r="AT21" s="414" t="str">
        <f>IF(OR(AND(N$20&lt;&gt;"",COUNTA(N21)=0),AND(W$20&lt;&gt;"",COUNTA(W21)=0),AND(AF$20&lt;&gt;"",COUNTA(AF21)=0)),"未入力があります。",IF(OR(AND(J$10="",N20="",COUNTA(N21)=1),AND(S$10="",W20="",COUNTA(W21)=1),AND(AB$10="",AF20="",COUNTA(AF21)=1)),"棟番号及び用途を入力してください。",IF(OR(AND(J$10&lt;&gt;"",N20="",COUNTA(N21)=1),AND(S$10&lt;&gt;"",W20="",COUNTA(W21)=1),AND(AB$10&lt;&gt;"",AF20="",COUNTA(AF21)=1)),"用途を入力してください。",IF(OR(AND(J$10="",COUNTA(N21)=1),AND(S$10="",COUNTA(W21)=1),AND(AB$10="",COUNTA(AF21)=1)),"棟番号を入力してください。",""))))</f>
        <v/>
      </c>
      <c r="AU21" s="414"/>
      <c r="AV21" s="414"/>
      <c r="AW21" s="414"/>
      <c r="AX21" s="414"/>
      <c r="AY21" s="414"/>
      <c r="BA21" s="388"/>
      <c r="BB21" s="1673"/>
      <c r="BC21" s="1630"/>
      <c r="BD21" s="1630"/>
      <c r="BE21" s="1630"/>
      <c r="BF21" s="1630"/>
      <c r="BG21" s="1630"/>
      <c r="BH21" s="1630"/>
      <c r="BI21" s="1674"/>
      <c r="BJ21" s="442"/>
      <c r="BK21" s="1676" t="s">
        <v>3106</v>
      </c>
      <c r="BL21" s="1677"/>
      <c r="BM21" s="1678"/>
      <c r="BN21" s="1683"/>
      <c r="BO21" s="1683"/>
      <c r="BP21" s="1683"/>
      <c r="BQ21" s="1683"/>
      <c r="BR21" s="424" t="s">
        <v>24</v>
      </c>
      <c r="BS21" s="437"/>
      <c r="BT21" s="1676" t="s">
        <v>3106</v>
      </c>
      <c r="BU21" s="1677"/>
      <c r="BV21" s="1677"/>
      <c r="BW21" s="1637"/>
      <c r="BX21" s="1638"/>
      <c r="BY21" s="1638"/>
      <c r="BZ21" s="1638"/>
      <c r="CA21" s="424" t="s">
        <v>24</v>
      </c>
      <c r="CB21" s="437"/>
      <c r="CC21" s="1676" t="s">
        <v>3106</v>
      </c>
      <c r="CD21" s="1677"/>
      <c r="CE21" s="1677"/>
      <c r="CF21" s="1637"/>
      <c r="CG21" s="1638"/>
      <c r="CH21" s="1638"/>
      <c r="CI21" s="1638"/>
      <c r="CJ21" s="412" t="s">
        <v>24</v>
      </c>
      <c r="CK21" s="387"/>
      <c r="CL21" s="415"/>
      <c r="CM21" s="416"/>
      <c r="CN21" s="418"/>
      <c r="CO21" s="418"/>
      <c r="CP21" s="418"/>
      <c r="CS21" s="413"/>
      <c r="CT21" s="414" t="str">
        <f>IF(OR(AND(BN$20&lt;&gt;"",COUNTA(BN21)=0),AND(BW$20&lt;&gt;"",COUNTA(BW21)=0),AND(CF$20&lt;&gt;"",COUNTA(CF21)=0)),"未入力があります。",IF(OR(AND(BJ$10="",BN20="",COUNTA(BN21)=1),AND(BS$10="",BW20="",COUNTA(BW21)=1),AND(CB$10="",CF20="",COUNTA(CF21)=1)),"棟番号及び用途を入力してください。",IF(OR(AND(BJ$10&lt;&gt;"",BN20="",COUNTA(BN21)=1),AND(BS$10&lt;&gt;"",BW20="",COUNTA(BW21)=1),AND(CB$10&lt;&gt;"",CF20="",COUNTA(CF21)=1)),"用途を入力してください。",IF(OR(AND(BJ$10="",COUNTA(BN21)=1),AND(BS$10="",COUNTA(BW21)=1),AND(CB$10="",COUNTA(CF21)=1)),"棟番号を入力してください。",""))))</f>
        <v/>
      </c>
      <c r="CU21" s="414"/>
      <c r="CV21" s="414"/>
      <c r="CW21" s="414"/>
      <c r="CX21" s="414"/>
      <c r="CY21" s="414"/>
      <c r="DA21" s="388"/>
      <c r="DB21" s="1673"/>
      <c r="DC21" s="1630"/>
      <c r="DD21" s="1630"/>
      <c r="DE21" s="1630"/>
      <c r="DF21" s="1630"/>
      <c r="DG21" s="1630"/>
      <c r="DH21" s="1630"/>
      <c r="DI21" s="1674"/>
      <c r="DJ21" s="442"/>
      <c r="DK21" s="1676" t="s">
        <v>3106</v>
      </c>
      <c r="DL21" s="1677"/>
      <c r="DM21" s="1678"/>
      <c r="DN21" s="1683"/>
      <c r="DO21" s="1683"/>
      <c r="DP21" s="1683"/>
      <c r="DQ21" s="1683"/>
      <c r="DR21" s="424" t="s">
        <v>24</v>
      </c>
      <c r="DS21" s="437"/>
      <c r="DT21" s="1676" t="s">
        <v>3106</v>
      </c>
      <c r="DU21" s="1677"/>
      <c r="DV21" s="1677"/>
      <c r="DW21" s="1637"/>
      <c r="DX21" s="1638"/>
      <c r="DY21" s="1638"/>
      <c r="DZ21" s="1638"/>
      <c r="EA21" s="424" t="s">
        <v>24</v>
      </c>
      <c r="EB21" s="437"/>
      <c r="EC21" s="1676" t="s">
        <v>3106</v>
      </c>
      <c r="ED21" s="1677"/>
      <c r="EE21" s="1677"/>
      <c r="EF21" s="1637"/>
      <c r="EG21" s="1638"/>
      <c r="EH21" s="1638"/>
      <c r="EI21" s="1638"/>
      <c r="EJ21" s="412" t="s">
        <v>24</v>
      </c>
      <c r="EK21" s="387"/>
      <c r="EL21" s="415"/>
      <c r="EM21" s="416"/>
      <c r="EN21" s="418"/>
      <c r="EO21" s="418"/>
      <c r="EP21" s="418"/>
      <c r="ES21" s="413"/>
      <c r="ET21" s="414" t="str">
        <f>IF(OR(AND(DN$20&lt;&gt;"",COUNTA(DN21)=0),AND(DW$20&lt;&gt;"",COUNTA(DW21)=0),AND(EF$20&lt;&gt;"",COUNTA(EF21)=0)),"未入力があります。",IF(OR(AND(DJ$10="",DN20="",COUNTA(DN21)=1),AND(DS$10="",DW20="",COUNTA(DW21)=1),AND(EB$10="",EF20="",COUNTA(EF21)=1)),"棟番号及び用途を入力してください。",IF(OR(AND(DJ$10&lt;&gt;"",DN20="",COUNTA(DN21)=1),AND(DS$10&lt;&gt;"",DW20="",COUNTA(DW21)=1),AND(EB$10&lt;&gt;"",EF20="",COUNTA(EF21)=1)),"用途を入力してください。",IF(OR(AND(DJ$10="",COUNTA(DN21)=1),AND(DS$10="",COUNTA(DW21)=1),AND(EB$10="",COUNTA(EF21)=1)),"棟番号を入力してください。",""))))</f>
        <v/>
      </c>
      <c r="FA21" s="388"/>
      <c r="FB21" s="1673"/>
      <c r="FC21" s="1630"/>
      <c r="FD21" s="1630"/>
      <c r="FE21" s="1630"/>
      <c r="FF21" s="1630"/>
      <c r="FG21" s="1630"/>
      <c r="FH21" s="1630"/>
      <c r="FI21" s="1674"/>
      <c r="FJ21" s="442"/>
      <c r="FK21" s="1676" t="s">
        <v>3106</v>
      </c>
      <c r="FL21" s="1677"/>
      <c r="FM21" s="1678"/>
      <c r="FN21" s="1683"/>
      <c r="FO21" s="1683"/>
      <c r="FP21" s="1683"/>
      <c r="FQ21" s="1683"/>
      <c r="FR21" s="424" t="s">
        <v>24</v>
      </c>
      <c r="FS21" s="437"/>
      <c r="FT21" s="1676" t="s">
        <v>3106</v>
      </c>
      <c r="FU21" s="1677"/>
      <c r="FV21" s="1677"/>
      <c r="FW21" s="1637"/>
      <c r="FX21" s="1638"/>
      <c r="FY21" s="1638"/>
      <c r="FZ21" s="1638"/>
      <c r="GA21" s="424" t="s">
        <v>24</v>
      </c>
      <c r="GB21" s="437"/>
      <c r="GC21" s="1676" t="s">
        <v>3106</v>
      </c>
      <c r="GD21" s="1677"/>
      <c r="GE21" s="1677"/>
      <c r="GF21" s="1637"/>
      <c r="GG21" s="1638"/>
      <c r="GH21" s="1638"/>
      <c r="GI21" s="1638"/>
      <c r="GJ21" s="412" t="s">
        <v>24</v>
      </c>
      <c r="GK21" s="387"/>
      <c r="GL21" s="415"/>
      <c r="GM21" s="416"/>
      <c r="GN21" s="418"/>
      <c r="GO21" s="418"/>
      <c r="GP21" s="418"/>
    </row>
    <row r="22" spans="1:198" ht="23.1" customHeight="1">
      <c r="A22" s="388"/>
      <c r="B22" s="1673"/>
      <c r="C22" s="1630"/>
      <c r="D22" s="1630"/>
      <c r="E22" s="1630"/>
      <c r="F22" s="1630"/>
      <c r="G22" s="1630"/>
      <c r="H22" s="1630"/>
      <c r="I22" s="1674"/>
      <c r="J22" s="441" t="s">
        <v>2678</v>
      </c>
      <c r="K22" s="1676" t="s">
        <v>2438</v>
      </c>
      <c r="L22" s="1677"/>
      <c r="M22" s="1678"/>
      <c r="N22" s="1679"/>
      <c r="O22" s="1679"/>
      <c r="P22" s="1679"/>
      <c r="Q22" s="1679"/>
      <c r="R22" s="1680"/>
      <c r="S22" s="431" t="s">
        <v>2678</v>
      </c>
      <c r="T22" s="1676" t="s">
        <v>2438</v>
      </c>
      <c r="U22" s="1677"/>
      <c r="V22" s="1678"/>
      <c r="W22" s="1681"/>
      <c r="X22" s="1679"/>
      <c r="Y22" s="1679"/>
      <c r="Z22" s="1679"/>
      <c r="AA22" s="1680"/>
      <c r="AB22" s="431" t="s">
        <v>2678</v>
      </c>
      <c r="AC22" s="1676" t="s">
        <v>2438</v>
      </c>
      <c r="AD22" s="1677"/>
      <c r="AE22" s="1678"/>
      <c r="AF22" s="1681"/>
      <c r="AG22" s="1679"/>
      <c r="AH22" s="1679"/>
      <c r="AI22" s="1679"/>
      <c r="AJ22" s="1682"/>
      <c r="AK22" s="387"/>
      <c r="AL22" s="415"/>
      <c r="AM22" s="416"/>
      <c r="AN22" s="418"/>
      <c r="AO22" s="418"/>
      <c r="AP22" s="418"/>
      <c r="AS22" s="413"/>
      <c r="AT22" s="414" t="str">
        <f>IF(OR(AND(N22="",COUNTA(N23)=1),AND(W22="",COUNTA(W23)=1),AND(AF22="",COUNTA(AF23)=1)),"未入力です。",IF(OR(AND(J$10="",COUNTA(N22)=1),AND(S$10="",COUNTA(W22)=1),AND(AB$10="",COUNTA(AF22)=1)),"棟番号を入力してください。",""))</f>
        <v/>
      </c>
      <c r="AU22" s="414"/>
      <c r="AV22" s="414"/>
      <c r="AW22" s="414"/>
      <c r="AX22" s="414"/>
      <c r="AY22" s="414"/>
      <c r="BA22" s="388"/>
      <c r="BB22" s="1673"/>
      <c r="BC22" s="1630"/>
      <c r="BD22" s="1630"/>
      <c r="BE22" s="1630"/>
      <c r="BF22" s="1630"/>
      <c r="BG22" s="1630"/>
      <c r="BH22" s="1630"/>
      <c r="BI22" s="1674"/>
      <c r="BJ22" s="441" t="s">
        <v>2678</v>
      </c>
      <c r="BK22" s="1676" t="s">
        <v>2438</v>
      </c>
      <c r="BL22" s="1677"/>
      <c r="BM22" s="1678"/>
      <c r="BN22" s="1679"/>
      <c r="BO22" s="1679"/>
      <c r="BP22" s="1679"/>
      <c r="BQ22" s="1679"/>
      <c r="BR22" s="1680"/>
      <c r="BS22" s="431" t="s">
        <v>2678</v>
      </c>
      <c r="BT22" s="1676" t="s">
        <v>2438</v>
      </c>
      <c r="BU22" s="1677"/>
      <c r="BV22" s="1678"/>
      <c r="BW22" s="1681"/>
      <c r="BX22" s="1679"/>
      <c r="BY22" s="1679"/>
      <c r="BZ22" s="1679"/>
      <c r="CA22" s="1680"/>
      <c r="CB22" s="431" t="s">
        <v>2678</v>
      </c>
      <c r="CC22" s="1676" t="s">
        <v>2438</v>
      </c>
      <c r="CD22" s="1677"/>
      <c r="CE22" s="1678"/>
      <c r="CF22" s="1681"/>
      <c r="CG22" s="1679"/>
      <c r="CH22" s="1679"/>
      <c r="CI22" s="1679"/>
      <c r="CJ22" s="1682"/>
      <c r="CK22" s="387"/>
      <c r="CL22" s="415"/>
      <c r="CM22" s="416"/>
      <c r="CN22" s="418"/>
      <c r="CO22" s="418"/>
      <c r="CP22" s="418"/>
      <c r="CS22" s="413"/>
      <c r="CT22" s="414" t="str">
        <f>IF(OR(AND(BN22="",COUNTA(BN23)=1),AND(BW22="",COUNTA(BW23)=1),AND(CF22="",COUNTA(CF23)=1)),"未入力です。",IF(OR(AND(BJ$10="",COUNTA(BN22)=1),AND(BS$10="",COUNTA(BW22)=1),AND(CB$10="",COUNTA(CF22)=1)),"棟番号を入力してください。",""))</f>
        <v/>
      </c>
      <c r="CU22" s="414"/>
      <c r="CV22" s="414"/>
      <c r="CW22" s="414"/>
      <c r="CX22" s="414"/>
      <c r="CY22" s="414"/>
      <c r="DA22" s="388"/>
      <c r="DB22" s="1673"/>
      <c r="DC22" s="1630"/>
      <c r="DD22" s="1630"/>
      <c r="DE22" s="1630"/>
      <c r="DF22" s="1630"/>
      <c r="DG22" s="1630"/>
      <c r="DH22" s="1630"/>
      <c r="DI22" s="1674"/>
      <c r="DJ22" s="441" t="s">
        <v>2678</v>
      </c>
      <c r="DK22" s="1676" t="s">
        <v>2438</v>
      </c>
      <c r="DL22" s="1677"/>
      <c r="DM22" s="1678"/>
      <c r="DN22" s="1679"/>
      <c r="DO22" s="1679"/>
      <c r="DP22" s="1679"/>
      <c r="DQ22" s="1679"/>
      <c r="DR22" s="1680"/>
      <c r="DS22" s="431" t="s">
        <v>2678</v>
      </c>
      <c r="DT22" s="1676" t="s">
        <v>2438</v>
      </c>
      <c r="DU22" s="1677"/>
      <c r="DV22" s="1678"/>
      <c r="DW22" s="1681"/>
      <c r="DX22" s="1679"/>
      <c r="DY22" s="1679"/>
      <c r="DZ22" s="1679"/>
      <c r="EA22" s="1680"/>
      <c r="EB22" s="431" t="s">
        <v>2678</v>
      </c>
      <c r="EC22" s="1676" t="s">
        <v>2438</v>
      </c>
      <c r="ED22" s="1677"/>
      <c r="EE22" s="1678"/>
      <c r="EF22" s="1681"/>
      <c r="EG22" s="1679"/>
      <c r="EH22" s="1679"/>
      <c r="EI22" s="1679"/>
      <c r="EJ22" s="1682"/>
      <c r="EK22" s="387"/>
      <c r="EL22" s="415"/>
      <c r="EM22" s="416"/>
      <c r="EN22" s="418"/>
      <c r="EO22" s="418"/>
      <c r="EP22" s="418"/>
      <c r="ES22" s="413"/>
      <c r="ET22" s="414" t="str">
        <f>IF(OR(AND(DN22="",COUNTA(DN23)=1),AND(DW22="",COUNTA(DW23)=1),AND(EF22="",COUNTA(EF23)=1)),"未入力です。",IF(OR(AND(DJ$10="",COUNTA(DN22)=1),AND(DS$10="",COUNTA(DW22)=1),AND(EB$10="",COUNTA(EF22)=1)),"棟番号を入力してください。",""))</f>
        <v/>
      </c>
      <c r="FA22" s="388"/>
      <c r="FB22" s="1673"/>
      <c r="FC22" s="1630"/>
      <c r="FD22" s="1630"/>
      <c r="FE22" s="1630"/>
      <c r="FF22" s="1630"/>
      <c r="FG22" s="1630"/>
      <c r="FH22" s="1630"/>
      <c r="FI22" s="1674"/>
      <c r="FJ22" s="441" t="s">
        <v>2678</v>
      </c>
      <c r="FK22" s="1676" t="s">
        <v>2438</v>
      </c>
      <c r="FL22" s="1677"/>
      <c r="FM22" s="1678"/>
      <c r="FN22" s="1679"/>
      <c r="FO22" s="1679"/>
      <c r="FP22" s="1679"/>
      <c r="FQ22" s="1679"/>
      <c r="FR22" s="1680"/>
      <c r="FS22" s="431" t="s">
        <v>2678</v>
      </c>
      <c r="FT22" s="1676" t="s">
        <v>2438</v>
      </c>
      <c r="FU22" s="1677"/>
      <c r="FV22" s="1678"/>
      <c r="FW22" s="1681"/>
      <c r="FX22" s="1679"/>
      <c r="FY22" s="1679"/>
      <c r="FZ22" s="1679"/>
      <c r="GA22" s="1680"/>
      <c r="GB22" s="431" t="s">
        <v>2678</v>
      </c>
      <c r="GC22" s="1676" t="s">
        <v>2438</v>
      </c>
      <c r="GD22" s="1677"/>
      <c r="GE22" s="1678"/>
      <c r="GF22" s="1681"/>
      <c r="GG22" s="1679"/>
      <c r="GH22" s="1679"/>
      <c r="GI22" s="1679"/>
      <c r="GJ22" s="1682"/>
      <c r="GK22" s="387"/>
      <c r="GL22" s="415"/>
      <c r="GM22" s="416"/>
      <c r="GN22" s="418"/>
      <c r="GO22" s="418"/>
      <c r="GP22" s="418"/>
    </row>
    <row r="23" spans="1:198" ht="23.1" customHeight="1">
      <c r="A23" s="388"/>
      <c r="B23" s="1673"/>
      <c r="C23" s="1630"/>
      <c r="D23" s="1630"/>
      <c r="E23" s="1630"/>
      <c r="F23" s="1630"/>
      <c r="G23" s="1630"/>
      <c r="H23" s="1630"/>
      <c r="I23" s="1674"/>
      <c r="J23" s="442"/>
      <c r="K23" s="1676" t="s">
        <v>3106</v>
      </c>
      <c r="L23" s="1677"/>
      <c r="M23" s="1678"/>
      <c r="N23" s="1683"/>
      <c r="O23" s="1683"/>
      <c r="P23" s="1683"/>
      <c r="Q23" s="1683"/>
      <c r="R23" s="424" t="s">
        <v>24</v>
      </c>
      <c r="S23" s="437"/>
      <c r="T23" s="1676" t="s">
        <v>3106</v>
      </c>
      <c r="U23" s="1677"/>
      <c r="V23" s="1677"/>
      <c r="W23" s="1637"/>
      <c r="X23" s="1638"/>
      <c r="Y23" s="1638"/>
      <c r="Z23" s="1638"/>
      <c r="AA23" s="424" t="s">
        <v>24</v>
      </c>
      <c r="AB23" s="437"/>
      <c r="AC23" s="1676" t="s">
        <v>3106</v>
      </c>
      <c r="AD23" s="1677"/>
      <c r="AE23" s="1677"/>
      <c r="AF23" s="1637"/>
      <c r="AG23" s="1638"/>
      <c r="AH23" s="1638"/>
      <c r="AI23" s="1638"/>
      <c r="AJ23" s="412" t="s">
        <v>24</v>
      </c>
      <c r="AK23" s="387"/>
      <c r="AL23" s="415"/>
      <c r="AM23" s="416"/>
      <c r="AN23" s="418"/>
      <c r="AO23" s="418"/>
      <c r="AP23" s="418"/>
      <c r="AS23" s="413"/>
      <c r="AT23" s="414" t="str">
        <f>IF(OR(AND(N$22&lt;&gt;"",COUNTA(N23)=0),AND(W$22&lt;&gt;"",COUNTA(W23)=0),AND(AF$22&lt;&gt;"",COUNTA(AF23)=0)),"未入力があります。",IF(OR(AND(J$10="",N22="",COUNTA(N23)=1),AND(S$10="",W22="",COUNTA(W23)=1),AND(AB$10="",AF22="",COUNTA(AF23)=1)),"棟番号及び用途を入力してください。",IF(OR(AND(J$10&lt;&gt;"",N22="",COUNTA(N23)=1),AND(S$10&lt;&gt;"",W22="",COUNTA(W23)=1),AND(AB$10&lt;&gt;"",AF22="",COUNTA(AF23)=1)),"用途を入力してください。",IF(OR(AND(J$10="",COUNTA(N23)=1),AND(S$10="",COUNTA(W23)=1),AND(AB$10="",COUNTA(AF23)=1)),"棟番号を入力してください。",""))))</f>
        <v/>
      </c>
      <c r="AU23" s="414"/>
      <c r="AV23" s="414"/>
      <c r="AW23" s="414"/>
      <c r="AX23" s="414"/>
      <c r="AY23" s="414"/>
      <c r="BA23" s="388"/>
      <c r="BB23" s="1673"/>
      <c r="BC23" s="1630"/>
      <c r="BD23" s="1630"/>
      <c r="BE23" s="1630"/>
      <c r="BF23" s="1630"/>
      <c r="BG23" s="1630"/>
      <c r="BH23" s="1630"/>
      <c r="BI23" s="1674"/>
      <c r="BJ23" s="442"/>
      <c r="BK23" s="1676" t="s">
        <v>3106</v>
      </c>
      <c r="BL23" s="1677"/>
      <c r="BM23" s="1678"/>
      <c r="BN23" s="1683"/>
      <c r="BO23" s="1683"/>
      <c r="BP23" s="1683"/>
      <c r="BQ23" s="1683"/>
      <c r="BR23" s="424" t="s">
        <v>24</v>
      </c>
      <c r="BS23" s="437"/>
      <c r="BT23" s="1676" t="s">
        <v>3106</v>
      </c>
      <c r="BU23" s="1677"/>
      <c r="BV23" s="1677"/>
      <c r="BW23" s="1637"/>
      <c r="BX23" s="1638"/>
      <c r="BY23" s="1638"/>
      <c r="BZ23" s="1638"/>
      <c r="CA23" s="424" t="s">
        <v>24</v>
      </c>
      <c r="CB23" s="437"/>
      <c r="CC23" s="1676" t="s">
        <v>3106</v>
      </c>
      <c r="CD23" s="1677"/>
      <c r="CE23" s="1677"/>
      <c r="CF23" s="1637"/>
      <c r="CG23" s="1638"/>
      <c r="CH23" s="1638"/>
      <c r="CI23" s="1638"/>
      <c r="CJ23" s="412" t="s">
        <v>24</v>
      </c>
      <c r="CK23" s="387"/>
      <c r="CL23" s="415"/>
      <c r="CM23" s="416"/>
      <c r="CN23" s="418"/>
      <c r="CO23" s="418"/>
      <c r="CP23" s="418"/>
      <c r="CS23" s="413"/>
      <c r="CT23" s="414" t="str">
        <f>IF(OR(AND(BN$22&lt;&gt;"",COUNTA(BN23)=0),AND(BW$22&lt;&gt;"",COUNTA(BW23)=0),AND(CF$22&lt;&gt;"",COUNTA(CF23)=0)),"未入力があります。",IF(OR(AND(BJ$10="",BN22="",COUNTA(BN23)=1),AND(BS$10="",BW22="",COUNTA(BW23)=1),AND(CB$10="",CF22="",COUNTA(CF23)=1)),"棟番号及び用途を入力してください。",IF(OR(AND(BJ$10&lt;&gt;"",BN22="",COUNTA(BN23)=1),AND(BS$10&lt;&gt;"",BW22="",COUNTA(BW23)=1),AND(CB$10&lt;&gt;"",CF22="",COUNTA(CF23)=1)),"用途を入力してください。",IF(OR(AND(BJ$10="",COUNTA(BN23)=1),AND(BS$10="",COUNTA(BW23)=1),AND(CB$10="",COUNTA(CF23)=1)),"棟番号を入力してください。",""))))</f>
        <v/>
      </c>
      <c r="CU23" s="414"/>
      <c r="CV23" s="414"/>
      <c r="CW23" s="414"/>
      <c r="CX23" s="414"/>
      <c r="CY23" s="414"/>
      <c r="DA23" s="388"/>
      <c r="DB23" s="1673"/>
      <c r="DC23" s="1630"/>
      <c r="DD23" s="1630"/>
      <c r="DE23" s="1630"/>
      <c r="DF23" s="1630"/>
      <c r="DG23" s="1630"/>
      <c r="DH23" s="1630"/>
      <c r="DI23" s="1674"/>
      <c r="DJ23" s="442"/>
      <c r="DK23" s="1676" t="s">
        <v>3106</v>
      </c>
      <c r="DL23" s="1677"/>
      <c r="DM23" s="1678"/>
      <c r="DN23" s="1683"/>
      <c r="DO23" s="1683"/>
      <c r="DP23" s="1683"/>
      <c r="DQ23" s="1683"/>
      <c r="DR23" s="424" t="s">
        <v>24</v>
      </c>
      <c r="DS23" s="437"/>
      <c r="DT23" s="1676" t="s">
        <v>3106</v>
      </c>
      <c r="DU23" s="1677"/>
      <c r="DV23" s="1677"/>
      <c r="DW23" s="1637"/>
      <c r="DX23" s="1638"/>
      <c r="DY23" s="1638"/>
      <c r="DZ23" s="1638"/>
      <c r="EA23" s="424" t="s">
        <v>24</v>
      </c>
      <c r="EB23" s="437"/>
      <c r="EC23" s="1676" t="s">
        <v>3106</v>
      </c>
      <c r="ED23" s="1677"/>
      <c r="EE23" s="1677"/>
      <c r="EF23" s="1637"/>
      <c r="EG23" s="1638"/>
      <c r="EH23" s="1638"/>
      <c r="EI23" s="1638"/>
      <c r="EJ23" s="412" t="s">
        <v>24</v>
      </c>
      <c r="EK23" s="387"/>
      <c r="EL23" s="415"/>
      <c r="EM23" s="416"/>
      <c r="EN23" s="418"/>
      <c r="EO23" s="418"/>
      <c r="EP23" s="418"/>
      <c r="ES23" s="413"/>
      <c r="ET23" s="414" t="str">
        <f>IF(OR(AND(DN$22&lt;&gt;"",COUNTA(DN23)=0),AND(DW$22&lt;&gt;"",COUNTA(DW23)=0),AND(EF$22&lt;&gt;"",COUNTA(EF23)=0)),"未入力があります。",IF(OR(AND(DJ$10="",DN22="",COUNTA(DN23)=1),AND(DS$10="",DW22="",COUNTA(DW23)=1),AND(EB$10="",EF22="",COUNTA(EF23)=1)),"棟番号及び用途を入力してください。",IF(OR(AND(DJ$10&lt;&gt;"",DN22="",COUNTA(DN23)=1),AND(DS$10&lt;&gt;"",DW22="",COUNTA(DW23)=1),AND(EB$10&lt;&gt;"",EF22="",COUNTA(EF23)=1)),"用途を入力してください。",IF(OR(AND(DJ$10="",COUNTA(DN23)=1),AND(DS$10="",COUNTA(DW23)=1),AND(EB$10="",COUNTA(EF23)=1)),"棟番号を入力してください。",""))))</f>
        <v/>
      </c>
      <c r="FA23" s="388"/>
      <c r="FB23" s="1673"/>
      <c r="FC23" s="1630"/>
      <c r="FD23" s="1630"/>
      <c r="FE23" s="1630"/>
      <c r="FF23" s="1630"/>
      <c r="FG23" s="1630"/>
      <c r="FH23" s="1630"/>
      <c r="FI23" s="1674"/>
      <c r="FJ23" s="442"/>
      <c r="FK23" s="1676" t="s">
        <v>3106</v>
      </c>
      <c r="FL23" s="1677"/>
      <c r="FM23" s="1678"/>
      <c r="FN23" s="1683"/>
      <c r="FO23" s="1683"/>
      <c r="FP23" s="1683"/>
      <c r="FQ23" s="1683"/>
      <c r="FR23" s="424" t="s">
        <v>24</v>
      </c>
      <c r="FS23" s="437"/>
      <c r="FT23" s="1676" t="s">
        <v>3106</v>
      </c>
      <c r="FU23" s="1677"/>
      <c r="FV23" s="1677"/>
      <c r="FW23" s="1637"/>
      <c r="FX23" s="1638"/>
      <c r="FY23" s="1638"/>
      <c r="FZ23" s="1638"/>
      <c r="GA23" s="424" t="s">
        <v>24</v>
      </c>
      <c r="GB23" s="437"/>
      <c r="GC23" s="1676" t="s">
        <v>3106</v>
      </c>
      <c r="GD23" s="1677"/>
      <c r="GE23" s="1677"/>
      <c r="GF23" s="1637"/>
      <c r="GG23" s="1638"/>
      <c r="GH23" s="1638"/>
      <c r="GI23" s="1638"/>
      <c r="GJ23" s="412" t="s">
        <v>24</v>
      </c>
      <c r="GK23" s="387"/>
      <c r="GL23" s="415"/>
      <c r="GM23" s="416"/>
      <c r="GN23" s="418"/>
      <c r="GO23" s="418"/>
      <c r="GP23" s="418"/>
    </row>
    <row r="24" spans="1:198" ht="23.1" customHeight="1">
      <c r="A24" s="388"/>
      <c r="B24" s="1673"/>
      <c r="C24" s="1630"/>
      <c r="D24" s="1630"/>
      <c r="E24" s="1630"/>
      <c r="F24" s="1630"/>
      <c r="G24" s="1630"/>
      <c r="H24" s="1630"/>
      <c r="I24" s="1674"/>
      <c r="J24" s="426" t="s">
        <v>3107</v>
      </c>
      <c r="K24" s="1676" t="s">
        <v>2438</v>
      </c>
      <c r="L24" s="1677"/>
      <c r="M24" s="1678"/>
      <c r="N24" s="1679"/>
      <c r="O24" s="1679"/>
      <c r="P24" s="1679"/>
      <c r="Q24" s="1679"/>
      <c r="R24" s="1680"/>
      <c r="S24" s="427" t="s">
        <v>3107</v>
      </c>
      <c r="T24" s="1676" t="s">
        <v>2438</v>
      </c>
      <c r="U24" s="1677"/>
      <c r="V24" s="1678"/>
      <c r="W24" s="1681"/>
      <c r="X24" s="1679"/>
      <c r="Y24" s="1679"/>
      <c r="Z24" s="1679"/>
      <c r="AA24" s="1680"/>
      <c r="AB24" s="427" t="s">
        <v>3107</v>
      </c>
      <c r="AC24" s="1676" t="s">
        <v>2438</v>
      </c>
      <c r="AD24" s="1677"/>
      <c r="AE24" s="1678"/>
      <c r="AF24" s="1681"/>
      <c r="AG24" s="1679"/>
      <c r="AH24" s="1679"/>
      <c r="AI24" s="1679"/>
      <c r="AJ24" s="1682"/>
      <c r="AK24" s="387"/>
      <c r="AL24" s="415"/>
      <c r="AM24" s="416"/>
      <c r="AN24" s="418"/>
      <c r="AO24" s="418"/>
      <c r="AP24" s="418"/>
      <c r="AS24" s="413"/>
      <c r="AT24" s="414" t="str">
        <f>IF(OR(AND(N24="",COUNTA(N25)=1),AND(W24="",COUNTA(W25)=1),AND(AF24="",COUNTA(AF25)=1)),"未入力です。",IF(OR(AND(J$10="",COUNTA(N24)=1),AND(S$10="",COUNTA(W24)=1),AND(AB$10="",COUNTA(AF24)=1)),"棟番号を入力してください。",""))</f>
        <v/>
      </c>
      <c r="AU24" s="414"/>
      <c r="AV24" s="414"/>
      <c r="AW24" s="414"/>
      <c r="AX24" s="414"/>
      <c r="AY24" s="414"/>
      <c r="BA24" s="388"/>
      <c r="BB24" s="1673"/>
      <c r="BC24" s="1630"/>
      <c r="BD24" s="1630"/>
      <c r="BE24" s="1630"/>
      <c r="BF24" s="1630"/>
      <c r="BG24" s="1630"/>
      <c r="BH24" s="1630"/>
      <c r="BI24" s="1674"/>
      <c r="BJ24" s="426" t="s">
        <v>3107</v>
      </c>
      <c r="BK24" s="1676" t="s">
        <v>2438</v>
      </c>
      <c r="BL24" s="1677"/>
      <c r="BM24" s="1678"/>
      <c r="BN24" s="1679"/>
      <c r="BO24" s="1679"/>
      <c r="BP24" s="1679"/>
      <c r="BQ24" s="1679"/>
      <c r="BR24" s="1680"/>
      <c r="BS24" s="427" t="s">
        <v>3107</v>
      </c>
      <c r="BT24" s="1676" t="s">
        <v>2438</v>
      </c>
      <c r="BU24" s="1677"/>
      <c r="BV24" s="1678"/>
      <c r="BW24" s="1681"/>
      <c r="BX24" s="1679"/>
      <c r="BY24" s="1679"/>
      <c r="BZ24" s="1679"/>
      <c r="CA24" s="1680"/>
      <c r="CB24" s="427" t="s">
        <v>3107</v>
      </c>
      <c r="CC24" s="1676" t="s">
        <v>2438</v>
      </c>
      <c r="CD24" s="1677"/>
      <c r="CE24" s="1678"/>
      <c r="CF24" s="1681"/>
      <c r="CG24" s="1679"/>
      <c r="CH24" s="1679"/>
      <c r="CI24" s="1679"/>
      <c r="CJ24" s="1682"/>
      <c r="CK24" s="387"/>
      <c r="CL24" s="415"/>
      <c r="CM24" s="416"/>
      <c r="CN24" s="418"/>
      <c r="CO24" s="418"/>
      <c r="CP24" s="418"/>
      <c r="CS24" s="413"/>
      <c r="CT24" s="414" t="str">
        <f>IF(OR(AND(BN24="",COUNTA(BN25)=1),AND(BW24="",COUNTA(BW25)=1),AND(CF24="",COUNTA(CF25)=1)),"未入力です。",IF(OR(AND(BJ$10="",COUNTA(BN24)=1),AND(BS$10="",COUNTA(BW24)=1),AND(CB$10="",COUNTA(CF24)=1)),"棟番号を入力してください。",""))</f>
        <v/>
      </c>
      <c r="CU24" s="414"/>
      <c r="CV24" s="414"/>
      <c r="CW24" s="414"/>
      <c r="CX24" s="414"/>
      <c r="CY24" s="414"/>
      <c r="DA24" s="388"/>
      <c r="DB24" s="1673"/>
      <c r="DC24" s="1630"/>
      <c r="DD24" s="1630"/>
      <c r="DE24" s="1630"/>
      <c r="DF24" s="1630"/>
      <c r="DG24" s="1630"/>
      <c r="DH24" s="1630"/>
      <c r="DI24" s="1674"/>
      <c r="DJ24" s="426" t="s">
        <v>3107</v>
      </c>
      <c r="DK24" s="1676" t="s">
        <v>2438</v>
      </c>
      <c r="DL24" s="1677"/>
      <c r="DM24" s="1678"/>
      <c r="DN24" s="1679"/>
      <c r="DO24" s="1679"/>
      <c r="DP24" s="1679"/>
      <c r="DQ24" s="1679"/>
      <c r="DR24" s="1680"/>
      <c r="DS24" s="427" t="s">
        <v>3107</v>
      </c>
      <c r="DT24" s="1676" t="s">
        <v>2438</v>
      </c>
      <c r="DU24" s="1677"/>
      <c r="DV24" s="1678"/>
      <c r="DW24" s="1681"/>
      <c r="DX24" s="1679"/>
      <c r="DY24" s="1679"/>
      <c r="DZ24" s="1679"/>
      <c r="EA24" s="1680"/>
      <c r="EB24" s="427" t="s">
        <v>3107</v>
      </c>
      <c r="EC24" s="1676" t="s">
        <v>2438</v>
      </c>
      <c r="ED24" s="1677"/>
      <c r="EE24" s="1678"/>
      <c r="EF24" s="1681"/>
      <c r="EG24" s="1679"/>
      <c r="EH24" s="1679"/>
      <c r="EI24" s="1679"/>
      <c r="EJ24" s="1682"/>
      <c r="EK24" s="387"/>
      <c r="EL24" s="415"/>
      <c r="EM24" s="416"/>
      <c r="EN24" s="418"/>
      <c r="EO24" s="418"/>
      <c r="EP24" s="418"/>
      <c r="ES24" s="413"/>
      <c r="ET24" s="414" t="str">
        <f>IF(OR(AND(DN24="",COUNTA(DN25)=1),AND(DW24="",COUNTA(DW25)=1),AND(EF24="",COUNTA(EF25)=1)),"未入力です。",IF(OR(AND(DJ$10="",COUNTA(DN24)=1),AND(DS$10="",COUNTA(DW24)=1),AND(EB$10="",COUNTA(EF24)=1)),"棟番号を入力してください。",""))</f>
        <v/>
      </c>
      <c r="FA24" s="388"/>
      <c r="FB24" s="1673"/>
      <c r="FC24" s="1630"/>
      <c r="FD24" s="1630"/>
      <c r="FE24" s="1630"/>
      <c r="FF24" s="1630"/>
      <c r="FG24" s="1630"/>
      <c r="FH24" s="1630"/>
      <c r="FI24" s="1674"/>
      <c r="FJ24" s="426" t="s">
        <v>3107</v>
      </c>
      <c r="FK24" s="1676" t="s">
        <v>2438</v>
      </c>
      <c r="FL24" s="1677"/>
      <c r="FM24" s="1678"/>
      <c r="FN24" s="1679"/>
      <c r="FO24" s="1679"/>
      <c r="FP24" s="1679"/>
      <c r="FQ24" s="1679"/>
      <c r="FR24" s="1680"/>
      <c r="FS24" s="427" t="s">
        <v>3107</v>
      </c>
      <c r="FT24" s="1676" t="s">
        <v>2438</v>
      </c>
      <c r="FU24" s="1677"/>
      <c r="FV24" s="1678"/>
      <c r="FW24" s="1681"/>
      <c r="FX24" s="1679"/>
      <c r="FY24" s="1679"/>
      <c r="FZ24" s="1679"/>
      <c r="GA24" s="1680"/>
      <c r="GB24" s="427" t="s">
        <v>3107</v>
      </c>
      <c r="GC24" s="1676" t="s">
        <v>2438</v>
      </c>
      <c r="GD24" s="1677"/>
      <c r="GE24" s="1678"/>
      <c r="GF24" s="1681"/>
      <c r="GG24" s="1679"/>
      <c r="GH24" s="1679"/>
      <c r="GI24" s="1679"/>
      <c r="GJ24" s="1682"/>
      <c r="GK24" s="387"/>
      <c r="GL24" s="415"/>
      <c r="GM24" s="416"/>
      <c r="GN24" s="418"/>
      <c r="GO24" s="418"/>
      <c r="GP24" s="418"/>
    </row>
    <row r="25" spans="1:198" ht="23.1" customHeight="1">
      <c r="A25" s="388"/>
      <c r="B25" s="1667"/>
      <c r="C25" s="1668"/>
      <c r="D25" s="1668"/>
      <c r="E25" s="1668"/>
      <c r="F25" s="1668"/>
      <c r="G25" s="1668"/>
      <c r="H25" s="1668"/>
      <c r="I25" s="1675"/>
      <c r="J25" s="433"/>
      <c r="K25" s="1676" t="s">
        <v>3106</v>
      </c>
      <c r="L25" s="1677"/>
      <c r="M25" s="1678"/>
      <c r="N25" s="1638"/>
      <c r="O25" s="1638"/>
      <c r="P25" s="1638"/>
      <c r="Q25" s="1638"/>
      <c r="R25" s="424" t="s">
        <v>24</v>
      </c>
      <c r="S25" s="443"/>
      <c r="T25" s="1676" t="s">
        <v>3106</v>
      </c>
      <c r="U25" s="1677"/>
      <c r="V25" s="1677"/>
      <c r="W25" s="1637"/>
      <c r="X25" s="1638"/>
      <c r="Y25" s="1638"/>
      <c r="Z25" s="1638"/>
      <c r="AA25" s="424" t="s">
        <v>24</v>
      </c>
      <c r="AB25" s="443"/>
      <c r="AC25" s="1676" t="s">
        <v>3106</v>
      </c>
      <c r="AD25" s="1677"/>
      <c r="AE25" s="1677"/>
      <c r="AF25" s="1637"/>
      <c r="AG25" s="1638"/>
      <c r="AH25" s="1638"/>
      <c r="AI25" s="1638"/>
      <c r="AJ25" s="412" t="s">
        <v>24</v>
      </c>
      <c r="AK25" s="387"/>
      <c r="AL25" s="415"/>
      <c r="AM25" s="387"/>
      <c r="AN25" s="418"/>
      <c r="AO25" s="418"/>
      <c r="AP25" s="418"/>
      <c r="AS25" s="413"/>
      <c r="AT25" s="414" t="str">
        <f>IF(OR(AND(N$24&lt;&gt;"",COUNTA(N25)=0),AND(W$24&lt;&gt;"",COUNTA(W25)=0),AND(AF$24&lt;&gt;"",COUNTA(AF25)=0)),"未入力があります。",IF(OR(AND(J$10="",N24="",COUNTA(N25)=1),AND(S$10="",W24="",COUNTA(W25)=1),AND(AB$10="",AF24="",COUNTA(AF25)=1)),"棟番号及び用途を入力してください。",IF(OR(AND(J$10&lt;&gt;"",N24="",COUNTA(N25)=1),AND(S$10&lt;&gt;"",W24="",COUNTA(W25)=1),AND(AB$10&lt;&gt;"",AF24="",COUNTA(AF25)=1)),"用途を入力してください。",IF(OR(AND(J$10="",COUNTA(N25)=1),AND(S$10="",COUNTA(W25)=1),AND(AB$10="",COUNTA(AF25)=1)),"棟番号を入力してください。",""))))</f>
        <v/>
      </c>
      <c r="AU25" s="414"/>
      <c r="AV25" s="414"/>
      <c r="AW25" s="414"/>
      <c r="AX25" s="414"/>
      <c r="AY25" s="414"/>
      <c r="BA25" s="388"/>
      <c r="BB25" s="1667"/>
      <c r="BC25" s="1668"/>
      <c r="BD25" s="1668"/>
      <c r="BE25" s="1668"/>
      <c r="BF25" s="1668"/>
      <c r="BG25" s="1668"/>
      <c r="BH25" s="1668"/>
      <c r="BI25" s="1675"/>
      <c r="BJ25" s="433"/>
      <c r="BK25" s="1676" t="s">
        <v>3106</v>
      </c>
      <c r="BL25" s="1677"/>
      <c r="BM25" s="1678"/>
      <c r="BN25" s="1638"/>
      <c r="BO25" s="1638"/>
      <c r="BP25" s="1638"/>
      <c r="BQ25" s="1638"/>
      <c r="BR25" s="424" t="s">
        <v>24</v>
      </c>
      <c r="BS25" s="443"/>
      <c r="BT25" s="1676" t="s">
        <v>3106</v>
      </c>
      <c r="BU25" s="1677"/>
      <c r="BV25" s="1677"/>
      <c r="BW25" s="1637"/>
      <c r="BX25" s="1638"/>
      <c r="BY25" s="1638"/>
      <c r="BZ25" s="1638"/>
      <c r="CA25" s="424" t="s">
        <v>24</v>
      </c>
      <c r="CB25" s="443"/>
      <c r="CC25" s="1676" t="s">
        <v>3106</v>
      </c>
      <c r="CD25" s="1677"/>
      <c r="CE25" s="1677"/>
      <c r="CF25" s="1637"/>
      <c r="CG25" s="1638"/>
      <c r="CH25" s="1638"/>
      <c r="CI25" s="1638"/>
      <c r="CJ25" s="412" t="s">
        <v>24</v>
      </c>
      <c r="CK25" s="387"/>
      <c r="CL25" s="415"/>
      <c r="CM25" s="387"/>
      <c r="CN25" s="418"/>
      <c r="CO25" s="418"/>
      <c r="CP25" s="418"/>
      <c r="CS25" s="413"/>
      <c r="CT25" s="414" t="str">
        <f>IF(OR(AND(BN$24&lt;&gt;"",COUNTA(BN25)=0),AND(BW$24&lt;&gt;"",COUNTA(BW25)=0),AND(CF$24&lt;&gt;"",COUNTA(CF25)=0)),"未入力があります。",IF(OR(AND(BJ$10="",BN24="",COUNTA(BN25)=1),AND(BS$10="",BW24="",COUNTA(BW25)=1),AND(CB$10="",CF24="",COUNTA(CF25)=1)),"棟番号及び用途を入力してください。",IF(OR(AND(BJ$10&lt;&gt;"",BN24="",COUNTA(BN25)=1),AND(BS$10&lt;&gt;"",BW24="",COUNTA(BW25)=1),AND(CB$10&lt;&gt;"",CF24="",COUNTA(CF25)=1)),"用途を入力してください。",IF(OR(AND(BJ$10="",COUNTA(BN25)=1),AND(BS$10="",COUNTA(BW25)=1),AND(CB$10="",COUNTA(CF25)=1)),"棟番号を入力してください。",""))))</f>
        <v/>
      </c>
      <c r="CU25" s="414"/>
      <c r="CV25" s="414"/>
      <c r="CW25" s="414"/>
      <c r="CX25" s="414"/>
      <c r="CY25" s="414"/>
      <c r="DA25" s="388"/>
      <c r="DB25" s="1667"/>
      <c r="DC25" s="1668"/>
      <c r="DD25" s="1668"/>
      <c r="DE25" s="1668"/>
      <c r="DF25" s="1668"/>
      <c r="DG25" s="1668"/>
      <c r="DH25" s="1668"/>
      <c r="DI25" s="1675"/>
      <c r="DJ25" s="433"/>
      <c r="DK25" s="1676" t="s">
        <v>3106</v>
      </c>
      <c r="DL25" s="1677"/>
      <c r="DM25" s="1678"/>
      <c r="DN25" s="1638"/>
      <c r="DO25" s="1638"/>
      <c r="DP25" s="1638"/>
      <c r="DQ25" s="1638"/>
      <c r="DR25" s="424" t="s">
        <v>24</v>
      </c>
      <c r="DS25" s="443"/>
      <c r="DT25" s="1676" t="s">
        <v>3106</v>
      </c>
      <c r="DU25" s="1677"/>
      <c r="DV25" s="1677"/>
      <c r="DW25" s="1637"/>
      <c r="DX25" s="1638"/>
      <c r="DY25" s="1638"/>
      <c r="DZ25" s="1638"/>
      <c r="EA25" s="424" t="s">
        <v>24</v>
      </c>
      <c r="EB25" s="443"/>
      <c r="EC25" s="1676" t="s">
        <v>3106</v>
      </c>
      <c r="ED25" s="1677"/>
      <c r="EE25" s="1677"/>
      <c r="EF25" s="1637"/>
      <c r="EG25" s="1638"/>
      <c r="EH25" s="1638"/>
      <c r="EI25" s="1638"/>
      <c r="EJ25" s="412" t="s">
        <v>24</v>
      </c>
      <c r="EK25" s="387"/>
      <c r="EL25" s="415"/>
      <c r="EM25" s="387"/>
      <c r="EN25" s="418"/>
      <c r="EO25" s="418"/>
      <c r="EP25" s="418"/>
      <c r="ES25" s="413"/>
      <c r="ET25" s="414" t="str">
        <f>IF(OR(AND(DN$24&lt;&gt;"",COUNTA(DN25)=0),AND(DW$24&lt;&gt;"",COUNTA(DW25)=0),AND(EF$24&lt;&gt;"",COUNTA(EF25)=0)),"未入力があります。",IF(OR(AND(DJ$10="",DN24="",COUNTA(DN25)=1),AND(DS$10="",DW24="",COUNTA(DW25)=1),AND(EB$10="",EF24="",COUNTA(EF25)=1)),"棟番号及び用途を入力してください。",IF(OR(AND(DJ$10&lt;&gt;"",DN24="",COUNTA(DN25)=1),AND(DS$10&lt;&gt;"",DW24="",COUNTA(DW25)=1),AND(EB$10&lt;&gt;"",EF24="",COUNTA(EF25)=1)),"用途を入力してください。",IF(OR(AND(DJ$10="",COUNTA(DN25)=1),AND(DS$10="",COUNTA(DW25)=1),AND(EB$10="",COUNTA(EF25)=1)),"棟番号を入力してください。",""))))</f>
        <v/>
      </c>
      <c r="FA25" s="388"/>
      <c r="FB25" s="1667"/>
      <c r="FC25" s="1668"/>
      <c r="FD25" s="1668"/>
      <c r="FE25" s="1668"/>
      <c r="FF25" s="1668"/>
      <c r="FG25" s="1668"/>
      <c r="FH25" s="1668"/>
      <c r="FI25" s="1675"/>
      <c r="FJ25" s="433"/>
      <c r="FK25" s="1676" t="s">
        <v>3106</v>
      </c>
      <c r="FL25" s="1677"/>
      <c r="FM25" s="1678"/>
      <c r="FN25" s="1638"/>
      <c r="FO25" s="1638"/>
      <c r="FP25" s="1638"/>
      <c r="FQ25" s="1638"/>
      <c r="FR25" s="424" t="s">
        <v>24</v>
      </c>
      <c r="FS25" s="443"/>
      <c r="FT25" s="1676" t="s">
        <v>3106</v>
      </c>
      <c r="FU25" s="1677"/>
      <c r="FV25" s="1677"/>
      <c r="FW25" s="1637"/>
      <c r="FX25" s="1638"/>
      <c r="FY25" s="1638"/>
      <c r="FZ25" s="1638"/>
      <c r="GA25" s="424" t="s">
        <v>24</v>
      </c>
      <c r="GB25" s="443"/>
      <c r="GC25" s="1676" t="s">
        <v>3106</v>
      </c>
      <c r="GD25" s="1677"/>
      <c r="GE25" s="1677"/>
      <c r="GF25" s="1637"/>
      <c r="GG25" s="1638"/>
      <c r="GH25" s="1638"/>
      <c r="GI25" s="1638"/>
      <c r="GJ25" s="412" t="s">
        <v>24</v>
      </c>
      <c r="GK25" s="387"/>
      <c r="GL25" s="415"/>
      <c r="GM25" s="387"/>
      <c r="GN25" s="418"/>
      <c r="GO25" s="418"/>
      <c r="GP25" s="418"/>
    </row>
    <row r="26" spans="1:198" ht="23.1" customHeight="1">
      <c r="A26" s="388"/>
      <c r="B26" s="1684" t="s">
        <v>3108</v>
      </c>
      <c r="C26" s="1650"/>
      <c r="D26" s="1650"/>
      <c r="E26" s="1650"/>
      <c r="F26" s="1650"/>
      <c r="G26" s="1650"/>
      <c r="H26" s="1650"/>
      <c r="I26" s="1650"/>
      <c r="J26" s="410"/>
      <c r="K26" s="1665"/>
      <c r="L26" s="1665"/>
      <c r="M26" s="1665"/>
      <c r="N26" s="1665"/>
      <c r="O26" s="1665"/>
      <c r="P26" s="1638" t="s">
        <v>3109</v>
      </c>
      <c r="Q26" s="1638"/>
      <c r="R26" s="424"/>
      <c r="S26" s="425"/>
      <c r="T26" s="1665"/>
      <c r="U26" s="1665"/>
      <c r="V26" s="1665"/>
      <c r="W26" s="1665"/>
      <c r="X26" s="1665"/>
      <c r="Y26" s="1638" t="s">
        <v>3109</v>
      </c>
      <c r="Z26" s="1638"/>
      <c r="AA26" s="424"/>
      <c r="AB26" s="425"/>
      <c r="AC26" s="1665"/>
      <c r="AD26" s="1665"/>
      <c r="AE26" s="1665"/>
      <c r="AF26" s="1665"/>
      <c r="AG26" s="1665"/>
      <c r="AH26" s="1638" t="s">
        <v>3109</v>
      </c>
      <c r="AI26" s="1638"/>
      <c r="AJ26" s="412"/>
      <c r="AK26" s="387"/>
      <c r="AL26" s="415"/>
      <c r="AM26" s="416"/>
      <c r="AN26" s="418"/>
      <c r="AO26" s="418"/>
      <c r="AP26" s="418"/>
      <c r="AS26" s="413">
        <f>COUNTIF(AN25:AN30, TRUE)</f>
        <v>0</v>
      </c>
      <c r="AT26" s="414" t="str">
        <f>IF(OR(AND(J$10&lt;&gt;"",COUNTA(K26)=0),AND(S$10&lt;&gt;"",COUNTA(T26)=0),AND(AB$10&lt;&gt;"",COUNTA(AC26)=0)),"未入力があります。",IF(OR(AND(J$10="",COUNTA(K26)=1),AND(S$10="",COUNTA(T26)=1),AND(AB$10="",COUNTA(AC26)=1)),"棟番号を入力してください。",""))</f>
        <v/>
      </c>
      <c r="AU26" s="414"/>
      <c r="AV26" s="414"/>
      <c r="AW26" s="414"/>
      <c r="AX26" s="414"/>
      <c r="AY26" s="414"/>
      <c r="BA26" s="388"/>
      <c r="BB26" s="1684" t="s">
        <v>3108</v>
      </c>
      <c r="BC26" s="1650"/>
      <c r="BD26" s="1650"/>
      <c r="BE26" s="1650"/>
      <c r="BF26" s="1650"/>
      <c r="BG26" s="1650"/>
      <c r="BH26" s="1650"/>
      <c r="BI26" s="1650"/>
      <c r="BJ26" s="410"/>
      <c r="BK26" s="1665"/>
      <c r="BL26" s="1665"/>
      <c r="BM26" s="1665"/>
      <c r="BN26" s="1665"/>
      <c r="BO26" s="1665"/>
      <c r="BP26" s="1638" t="s">
        <v>3109</v>
      </c>
      <c r="BQ26" s="1638"/>
      <c r="BR26" s="424"/>
      <c r="BS26" s="425"/>
      <c r="BT26" s="1665"/>
      <c r="BU26" s="1665"/>
      <c r="BV26" s="1665"/>
      <c r="BW26" s="1665"/>
      <c r="BX26" s="1665"/>
      <c r="BY26" s="1638" t="s">
        <v>3109</v>
      </c>
      <c r="BZ26" s="1638"/>
      <c r="CA26" s="424"/>
      <c r="CB26" s="425"/>
      <c r="CC26" s="1665"/>
      <c r="CD26" s="1665"/>
      <c r="CE26" s="1665"/>
      <c r="CF26" s="1665"/>
      <c r="CG26" s="1665"/>
      <c r="CH26" s="1638" t="s">
        <v>3109</v>
      </c>
      <c r="CI26" s="1638"/>
      <c r="CJ26" s="412"/>
      <c r="CK26" s="387"/>
      <c r="CL26" s="415"/>
      <c r="CM26" s="416"/>
      <c r="CN26" s="418"/>
      <c r="CO26" s="418"/>
      <c r="CP26" s="418"/>
      <c r="CS26" s="413">
        <f>COUNTIF(CN25:CN30, TRUE)</f>
        <v>0</v>
      </c>
      <c r="CT26" s="414" t="str">
        <f>IF(OR(AND(BJ$10&lt;&gt;"",COUNTA(BK26)=0),AND(BS$10&lt;&gt;"",COUNTA(BT26)=0),AND(CB$10&lt;&gt;"",COUNTA(CC26)=0)),"未入力があります。",IF(OR(AND(BJ$10="",COUNTA(BK26)=1),AND(BS$10="",COUNTA(BT26)=1),AND(CB$10="",COUNTA(CC26)=1)),"棟番号を入力してください。",""))</f>
        <v/>
      </c>
      <c r="CU26" s="414"/>
      <c r="CV26" s="414"/>
      <c r="CW26" s="414"/>
      <c r="CX26" s="414"/>
      <c r="CY26" s="414"/>
      <c r="DA26" s="388"/>
      <c r="DB26" s="1684" t="s">
        <v>3108</v>
      </c>
      <c r="DC26" s="1650"/>
      <c r="DD26" s="1650"/>
      <c r="DE26" s="1650"/>
      <c r="DF26" s="1650"/>
      <c r="DG26" s="1650"/>
      <c r="DH26" s="1650"/>
      <c r="DI26" s="1650"/>
      <c r="DJ26" s="410"/>
      <c r="DK26" s="1665"/>
      <c r="DL26" s="1665"/>
      <c r="DM26" s="1665"/>
      <c r="DN26" s="1665"/>
      <c r="DO26" s="1665"/>
      <c r="DP26" s="1638" t="s">
        <v>3109</v>
      </c>
      <c r="DQ26" s="1638"/>
      <c r="DR26" s="424"/>
      <c r="DS26" s="425"/>
      <c r="DT26" s="1665"/>
      <c r="DU26" s="1665"/>
      <c r="DV26" s="1665"/>
      <c r="DW26" s="1665"/>
      <c r="DX26" s="1665"/>
      <c r="DY26" s="1638" t="s">
        <v>3109</v>
      </c>
      <c r="DZ26" s="1638"/>
      <c r="EA26" s="424"/>
      <c r="EB26" s="425"/>
      <c r="EC26" s="1665"/>
      <c r="ED26" s="1665"/>
      <c r="EE26" s="1665"/>
      <c r="EF26" s="1665"/>
      <c r="EG26" s="1665"/>
      <c r="EH26" s="1638" t="s">
        <v>3109</v>
      </c>
      <c r="EI26" s="1638"/>
      <c r="EJ26" s="412"/>
      <c r="EK26" s="387"/>
      <c r="EL26" s="415"/>
      <c r="EM26" s="416"/>
      <c r="EN26" s="418"/>
      <c r="EO26" s="418"/>
      <c r="EP26" s="418"/>
      <c r="ES26" s="413">
        <f>COUNTIF(EN25:EN30, TRUE)</f>
        <v>0</v>
      </c>
      <c r="ET26" s="414" t="str">
        <f>IF(OR(AND(DJ$10&lt;&gt;"",COUNTA(DK26)=0),AND(DS$10&lt;&gt;"",COUNTA(DT26)=0),AND(EB$10&lt;&gt;"",COUNTA(EC26)=0)),"未入力があります。",IF(OR(AND(DJ$10="",COUNTA(DK26)=1),AND(DS$10="",COUNTA(DT26)=1),AND(EB$10="",COUNTA(EC26)=1)),"棟番号を入力してください。",""))</f>
        <v/>
      </c>
      <c r="FA26" s="388"/>
      <c r="FB26" s="1684" t="s">
        <v>3108</v>
      </c>
      <c r="FC26" s="1650"/>
      <c r="FD26" s="1650"/>
      <c r="FE26" s="1650"/>
      <c r="FF26" s="1650"/>
      <c r="FG26" s="1650"/>
      <c r="FH26" s="1650"/>
      <c r="FI26" s="1650"/>
      <c r="FJ26" s="410"/>
      <c r="FK26" s="1665"/>
      <c r="FL26" s="1665"/>
      <c r="FM26" s="1665"/>
      <c r="FN26" s="1665"/>
      <c r="FO26" s="1665"/>
      <c r="FP26" s="1638" t="s">
        <v>3109</v>
      </c>
      <c r="FQ26" s="1638"/>
      <c r="FR26" s="424"/>
      <c r="FS26" s="425"/>
      <c r="FT26" s="1665"/>
      <c r="FU26" s="1665"/>
      <c r="FV26" s="1665"/>
      <c r="FW26" s="1665"/>
      <c r="FX26" s="1665"/>
      <c r="FY26" s="1638" t="s">
        <v>3109</v>
      </c>
      <c r="FZ26" s="1638"/>
      <c r="GA26" s="424"/>
      <c r="GB26" s="425"/>
      <c r="GC26" s="1665"/>
      <c r="GD26" s="1665"/>
      <c r="GE26" s="1665"/>
      <c r="GF26" s="1665"/>
      <c r="GG26" s="1665"/>
      <c r="GH26" s="1638" t="s">
        <v>3109</v>
      </c>
      <c r="GI26" s="1638"/>
      <c r="GJ26" s="412"/>
      <c r="GK26" s="387"/>
      <c r="GL26" s="415"/>
      <c r="GM26" s="416"/>
      <c r="GN26" s="418"/>
      <c r="GO26" s="418"/>
      <c r="GP26" s="418"/>
    </row>
    <row r="27" spans="1:198" ht="8.4" hidden="1" customHeight="1">
      <c r="A27" s="388"/>
      <c r="B27" s="1651"/>
      <c r="C27" s="1652"/>
      <c r="D27" s="1652"/>
      <c r="E27" s="1652"/>
      <c r="F27" s="1652"/>
      <c r="G27" s="1652"/>
      <c r="H27" s="1652"/>
      <c r="I27" s="1652"/>
      <c r="J27" s="388"/>
      <c r="K27" s="430"/>
      <c r="L27" s="430"/>
      <c r="M27" s="430"/>
      <c r="N27" s="430"/>
      <c r="O27" s="404"/>
      <c r="P27" s="404"/>
      <c r="Q27" s="387"/>
      <c r="R27" s="439"/>
      <c r="S27" s="440"/>
      <c r="T27" s="430"/>
      <c r="U27" s="430"/>
      <c r="V27" s="430"/>
      <c r="W27" s="430"/>
      <c r="X27" s="404"/>
      <c r="Y27" s="404"/>
      <c r="Z27" s="387"/>
      <c r="AA27" s="439"/>
      <c r="AB27" s="440"/>
      <c r="AC27" s="430"/>
      <c r="AD27" s="430"/>
      <c r="AE27" s="430"/>
      <c r="AF27" s="430"/>
      <c r="AG27" s="404"/>
      <c r="AH27" s="404"/>
      <c r="AI27" s="387"/>
      <c r="AJ27" s="415"/>
      <c r="AK27" s="387"/>
      <c r="AL27" s="415"/>
      <c r="AM27" s="416"/>
      <c r="AN27" s="418"/>
      <c r="AO27" s="418"/>
      <c r="AP27" s="418"/>
      <c r="AS27" s="413">
        <f>COUNTIF(AO25:AO30, TRUE)</f>
        <v>0</v>
      </c>
      <c r="AT27" s="414" t="str">
        <f>IFERROR(IF(AND($T$22&lt;&gt;"",AS27&gt;=2),"選択は1つまでです（2列目）。",IF(AND($T$22&lt;&gt;"",AS27=0),"未入力があります（2列目）。",IF(AND($T$22="",AS27&gt;0),"棟番号を入力してください（2列目）。",""))),"")</f>
        <v>未入力があります（2列目）。</v>
      </c>
      <c r="AU27" s="414"/>
      <c r="AV27" s="414"/>
      <c r="AW27" s="414"/>
      <c r="AX27" s="414"/>
      <c r="AY27" s="414"/>
      <c r="BA27" s="388"/>
      <c r="BB27" s="1651"/>
      <c r="BC27" s="1652"/>
      <c r="BD27" s="1652"/>
      <c r="BE27" s="1652"/>
      <c r="BF27" s="1652"/>
      <c r="BG27" s="1652"/>
      <c r="BH27" s="1652"/>
      <c r="BI27" s="1652"/>
      <c r="BJ27" s="388"/>
      <c r="BK27" s="430"/>
      <c r="BL27" s="430"/>
      <c r="BM27" s="430"/>
      <c r="BN27" s="430"/>
      <c r="BO27" s="404"/>
      <c r="BP27" s="404"/>
      <c r="BQ27" s="387"/>
      <c r="BR27" s="439"/>
      <c r="BS27" s="440"/>
      <c r="BT27" s="430"/>
      <c r="BU27" s="430"/>
      <c r="BV27" s="430"/>
      <c r="BW27" s="430"/>
      <c r="BX27" s="404"/>
      <c r="BY27" s="404"/>
      <c r="BZ27" s="387"/>
      <c r="CA27" s="439"/>
      <c r="CB27" s="440"/>
      <c r="CC27" s="430"/>
      <c r="CD27" s="430"/>
      <c r="CE27" s="430"/>
      <c r="CF27" s="430"/>
      <c r="CG27" s="404"/>
      <c r="CH27" s="404"/>
      <c r="CI27" s="387"/>
      <c r="CJ27" s="415"/>
      <c r="CK27" s="387"/>
      <c r="CL27" s="415"/>
      <c r="CM27" s="416"/>
      <c r="CN27" s="418"/>
      <c r="CO27" s="418"/>
      <c r="CP27" s="418"/>
      <c r="CS27" s="413">
        <f>COUNTIF(CO25:CO30, TRUE)</f>
        <v>0</v>
      </c>
      <c r="CT27" s="414" t="str">
        <f>IFERROR(IF(AND($T$22&lt;&gt;"",CS27&gt;=2),"選択は1つまでです（2列目）。",IF(AND($T$22&lt;&gt;"",CS27=0),"未入力があります（2列目）。",IF(AND($T$22="",CS27&gt;0),"棟番号を入力してください（2列目）。",""))),"")</f>
        <v>未入力があります（2列目）。</v>
      </c>
      <c r="CU27" s="414"/>
      <c r="CV27" s="414"/>
      <c r="CW27" s="414"/>
      <c r="CX27" s="414"/>
      <c r="CY27" s="414"/>
      <c r="DA27" s="388"/>
      <c r="DB27" s="1651"/>
      <c r="DC27" s="1652"/>
      <c r="DD27" s="1652"/>
      <c r="DE27" s="1652"/>
      <c r="DF27" s="1652"/>
      <c r="DG27" s="1652"/>
      <c r="DH27" s="1652"/>
      <c r="DI27" s="1652"/>
      <c r="DJ27" s="388"/>
      <c r="DK27" s="430"/>
      <c r="DL27" s="430"/>
      <c r="DM27" s="430"/>
      <c r="DN27" s="430"/>
      <c r="DO27" s="404"/>
      <c r="DP27" s="404"/>
      <c r="DQ27" s="387"/>
      <c r="DR27" s="439"/>
      <c r="DS27" s="440"/>
      <c r="DT27" s="430"/>
      <c r="DU27" s="430"/>
      <c r="DV27" s="430"/>
      <c r="DW27" s="430"/>
      <c r="DX27" s="404"/>
      <c r="DY27" s="404"/>
      <c r="DZ27" s="387"/>
      <c r="EA27" s="439"/>
      <c r="EB27" s="440"/>
      <c r="EC27" s="430"/>
      <c r="ED27" s="430"/>
      <c r="EE27" s="430"/>
      <c r="EF27" s="430"/>
      <c r="EG27" s="404"/>
      <c r="EH27" s="404"/>
      <c r="EI27" s="387"/>
      <c r="EJ27" s="415"/>
      <c r="EK27" s="387"/>
      <c r="EL27" s="415"/>
      <c r="EM27" s="416"/>
      <c r="EN27" s="418"/>
      <c r="EO27" s="418"/>
      <c r="EP27" s="418"/>
      <c r="ES27" s="413">
        <f>COUNTIF(EO25:EO30, TRUE)</f>
        <v>0</v>
      </c>
      <c r="ET27" s="414" t="str">
        <f>IFERROR(IF(AND($T$22&lt;&gt;"",ES27&gt;=2),"選択は1つまでです（2列目）。",IF(AND($T$22&lt;&gt;"",ES27=0),"未入力があります（2列目）。",IF(AND($T$22="",ES27&gt;0),"棟番号を入力してください（2列目）。",""))),"")</f>
        <v>未入力があります（2列目）。</v>
      </c>
      <c r="FA27" s="388"/>
      <c r="FB27" s="1651"/>
      <c r="FC27" s="1652"/>
      <c r="FD27" s="1652"/>
      <c r="FE27" s="1652"/>
      <c r="FF27" s="1652"/>
      <c r="FG27" s="1652"/>
      <c r="FH27" s="1652"/>
      <c r="FI27" s="1652"/>
      <c r="FJ27" s="388"/>
      <c r="FK27" s="430"/>
      <c r="FL27" s="430"/>
      <c r="FM27" s="430"/>
      <c r="FN27" s="430"/>
      <c r="FO27" s="404"/>
      <c r="FP27" s="404"/>
      <c r="FQ27" s="387"/>
      <c r="FR27" s="439"/>
      <c r="FS27" s="440"/>
      <c r="FT27" s="430"/>
      <c r="FU27" s="430"/>
      <c r="FV27" s="430"/>
      <c r="FW27" s="430"/>
      <c r="FX27" s="404"/>
      <c r="FY27" s="404"/>
      <c r="FZ27" s="387"/>
      <c r="GA27" s="439"/>
      <c r="GB27" s="440"/>
      <c r="GC27" s="430"/>
      <c r="GD27" s="430"/>
      <c r="GE27" s="430"/>
      <c r="GF27" s="430"/>
      <c r="GG27" s="404"/>
      <c r="GH27" s="404"/>
      <c r="GI27" s="387"/>
      <c r="GJ27" s="415"/>
      <c r="GK27" s="387"/>
      <c r="GL27" s="415"/>
      <c r="GM27" s="416"/>
      <c r="GN27" s="418"/>
      <c r="GO27" s="418"/>
      <c r="GP27" s="418"/>
    </row>
    <row r="28" spans="1:198" ht="17.399999999999999" customHeight="1">
      <c r="A28" s="388"/>
      <c r="B28" s="1685"/>
      <c r="C28" s="1686"/>
      <c r="D28" s="1686"/>
      <c r="E28" s="1686"/>
      <c r="F28" s="1686"/>
      <c r="G28" s="1686"/>
      <c r="H28" s="1686"/>
      <c r="I28" s="1686"/>
      <c r="J28" s="433"/>
      <c r="K28" s="434"/>
      <c r="M28" s="434"/>
      <c r="N28" s="444" t="s">
        <v>3110</v>
      </c>
      <c r="O28" s="405"/>
      <c r="P28" s="405"/>
      <c r="Q28" s="443"/>
      <c r="R28" s="435"/>
      <c r="S28" s="436"/>
      <c r="T28" s="434"/>
      <c r="V28" s="434"/>
      <c r="W28" s="444" t="s">
        <v>3110</v>
      </c>
      <c r="X28" s="405"/>
      <c r="Y28" s="405"/>
      <c r="Z28" s="443"/>
      <c r="AA28" s="435"/>
      <c r="AB28" s="436"/>
      <c r="AC28" s="434"/>
      <c r="AE28" s="434"/>
      <c r="AF28" s="444" t="s">
        <v>3110</v>
      </c>
      <c r="AG28" s="405"/>
      <c r="AH28" s="405"/>
      <c r="AI28" s="443"/>
      <c r="AJ28" s="437"/>
      <c r="AK28" s="387"/>
      <c r="AL28" s="415"/>
      <c r="AM28" s="416"/>
      <c r="AN28" s="418" t="b">
        <v>0</v>
      </c>
      <c r="AO28" s="418" t="b">
        <v>0</v>
      </c>
      <c r="AP28" s="418" t="b">
        <v>0</v>
      </c>
      <c r="AS28" s="413"/>
      <c r="BA28" s="388"/>
      <c r="BB28" s="1685"/>
      <c r="BC28" s="1686"/>
      <c r="BD28" s="1686"/>
      <c r="BE28" s="1686"/>
      <c r="BF28" s="1686"/>
      <c r="BG28" s="1686"/>
      <c r="BH28" s="1686"/>
      <c r="BI28" s="1686"/>
      <c r="BJ28" s="433"/>
      <c r="BK28" s="434"/>
      <c r="BM28" s="434"/>
      <c r="BN28" s="444" t="s">
        <v>3110</v>
      </c>
      <c r="BO28" s="405"/>
      <c r="BP28" s="405"/>
      <c r="BQ28" s="443"/>
      <c r="BR28" s="435"/>
      <c r="BS28" s="436"/>
      <c r="BT28" s="434"/>
      <c r="BV28" s="434"/>
      <c r="BW28" s="444" t="s">
        <v>3110</v>
      </c>
      <c r="BX28" s="405"/>
      <c r="BY28" s="405"/>
      <c r="BZ28" s="443"/>
      <c r="CA28" s="435"/>
      <c r="CB28" s="436"/>
      <c r="CC28" s="434"/>
      <c r="CE28" s="434"/>
      <c r="CF28" s="444" t="s">
        <v>3110</v>
      </c>
      <c r="CG28" s="405"/>
      <c r="CH28" s="405"/>
      <c r="CI28" s="443"/>
      <c r="CJ28" s="437"/>
      <c r="CK28" s="387"/>
      <c r="CL28" s="415"/>
      <c r="CM28" s="416"/>
      <c r="CN28" s="418" t="b">
        <v>0</v>
      </c>
      <c r="CO28" s="418" t="b">
        <v>0</v>
      </c>
      <c r="CP28" s="418" t="b">
        <v>0</v>
      </c>
      <c r="CS28" s="413"/>
      <c r="DA28" s="388"/>
      <c r="DB28" s="1685"/>
      <c r="DC28" s="1686"/>
      <c r="DD28" s="1686"/>
      <c r="DE28" s="1686"/>
      <c r="DF28" s="1686"/>
      <c r="DG28" s="1686"/>
      <c r="DH28" s="1686"/>
      <c r="DI28" s="1686"/>
      <c r="DJ28" s="433"/>
      <c r="DK28" s="434"/>
      <c r="DM28" s="434"/>
      <c r="DN28" s="444" t="s">
        <v>3110</v>
      </c>
      <c r="DO28" s="405"/>
      <c r="DP28" s="405"/>
      <c r="DQ28" s="443"/>
      <c r="DR28" s="435"/>
      <c r="DS28" s="436"/>
      <c r="DT28" s="434"/>
      <c r="DV28" s="434"/>
      <c r="DW28" s="444" t="s">
        <v>3110</v>
      </c>
      <c r="DX28" s="405"/>
      <c r="DY28" s="405"/>
      <c r="DZ28" s="443"/>
      <c r="EA28" s="435"/>
      <c r="EB28" s="436"/>
      <c r="EC28" s="434"/>
      <c r="EE28" s="434"/>
      <c r="EF28" s="444" t="s">
        <v>3110</v>
      </c>
      <c r="EG28" s="405"/>
      <c r="EH28" s="405"/>
      <c r="EI28" s="443"/>
      <c r="EJ28" s="437"/>
      <c r="EK28" s="387"/>
      <c r="EL28" s="415"/>
      <c r="EM28" s="416"/>
      <c r="EN28" s="418" t="b">
        <v>0</v>
      </c>
      <c r="EO28" s="418" t="b">
        <v>0</v>
      </c>
      <c r="EP28" s="418" t="b">
        <v>0</v>
      </c>
      <c r="ES28" s="413"/>
      <c r="FA28" s="388"/>
      <c r="FB28" s="1685"/>
      <c r="FC28" s="1686"/>
      <c r="FD28" s="1686"/>
      <c r="FE28" s="1686"/>
      <c r="FF28" s="1686"/>
      <c r="FG28" s="1686"/>
      <c r="FH28" s="1686"/>
      <c r="FI28" s="1686"/>
      <c r="FJ28" s="433"/>
      <c r="FK28" s="434"/>
      <c r="FM28" s="434"/>
      <c r="FN28" s="444" t="s">
        <v>3110</v>
      </c>
      <c r="FO28" s="405"/>
      <c r="FP28" s="405"/>
      <c r="FQ28" s="443"/>
      <c r="FR28" s="435"/>
      <c r="FS28" s="436"/>
      <c r="FT28" s="434"/>
      <c r="FV28" s="434"/>
      <c r="FW28" s="444" t="s">
        <v>3110</v>
      </c>
      <c r="FX28" s="405"/>
      <c r="FY28" s="405"/>
      <c r="FZ28" s="443"/>
      <c r="GA28" s="435"/>
      <c r="GB28" s="436"/>
      <c r="GC28" s="434"/>
      <c r="GE28" s="434"/>
      <c r="GF28" s="444" t="s">
        <v>3110</v>
      </c>
      <c r="GG28" s="405"/>
      <c r="GH28" s="405"/>
      <c r="GI28" s="443"/>
      <c r="GJ28" s="437"/>
      <c r="GK28" s="387"/>
      <c r="GL28" s="415"/>
      <c r="GM28" s="416"/>
      <c r="GN28" s="418" t="b">
        <v>0</v>
      </c>
      <c r="GO28" s="418" t="b">
        <v>0</v>
      </c>
      <c r="GP28" s="418" t="b">
        <v>0</v>
      </c>
    </row>
    <row r="29" spans="1:198" ht="11.4" customHeight="1">
      <c r="A29" s="388"/>
      <c r="B29" s="1645" t="s">
        <v>3111</v>
      </c>
      <c r="C29" s="1666"/>
      <c r="D29" s="1666"/>
      <c r="E29" s="1666"/>
      <c r="F29" s="1666"/>
      <c r="G29" s="1666"/>
      <c r="H29" s="1666"/>
      <c r="I29" s="1666"/>
      <c r="J29" s="426"/>
      <c r="K29" s="445"/>
      <c r="L29" s="445"/>
      <c r="M29" s="445"/>
      <c r="N29" s="445"/>
      <c r="O29" s="445"/>
      <c r="P29" s="445"/>
      <c r="Q29" s="427"/>
      <c r="R29" s="428"/>
      <c r="S29" s="429"/>
      <c r="T29" s="445"/>
      <c r="U29" s="445"/>
      <c r="V29" s="445"/>
      <c r="W29" s="445"/>
      <c r="X29" s="445"/>
      <c r="Y29" s="445"/>
      <c r="Z29" s="427"/>
      <c r="AA29" s="428"/>
      <c r="AB29" s="429"/>
      <c r="AC29" s="445"/>
      <c r="AD29" s="445"/>
      <c r="AE29" s="445"/>
      <c r="AF29" s="445"/>
      <c r="AG29" s="445"/>
      <c r="AH29" s="445"/>
      <c r="AI29" s="427"/>
      <c r="AJ29" s="431"/>
      <c r="AK29" s="387"/>
      <c r="AL29" s="415"/>
      <c r="AM29" s="416"/>
      <c r="AN29" s="418"/>
      <c r="AO29" s="418"/>
      <c r="AP29" s="418"/>
      <c r="AS29" s="413"/>
      <c r="BA29" s="388"/>
      <c r="BB29" s="1645" t="s">
        <v>3111</v>
      </c>
      <c r="BC29" s="1666"/>
      <c r="BD29" s="1666"/>
      <c r="BE29" s="1666"/>
      <c r="BF29" s="1666"/>
      <c r="BG29" s="1666"/>
      <c r="BH29" s="1666"/>
      <c r="BI29" s="1666"/>
      <c r="BJ29" s="426"/>
      <c r="BK29" s="445"/>
      <c r="BL29" s="445"/>
      <c r="BM29" s="445"/>
      <c r="BN29" s="445"/>
      <c r="BO29" s="445"/>
      <c r="BP29" s="445"/>
      <c r="BQ29" s="427"/>
      <c r="BR29" s="428"/>
      <c r="BS29" s="429"/>
      <c r="BT29" s="445"/>
      <c r="BU29" s="445"/>
      <c r="BV29" s="445"/>
      <c r="BW29" s="445"/>
      <c r="BX29" s="445"/>
      <c r="BY29" s="445"/>
      <c r="BZ29" s="427"/>
      <c r="CA29" s="428"/>
      <c r="CB29" s="429"/>
      <c r="CC29" s="445"/>
      <c r="CD29" s="445"/>
      <c r="CE29" s="445"/>
      <c r="CF29" s="445"/>
      <c r="CG29" s="445"/>
      <c r="CH29" s="445"/>
      <c r="CI29" s="427"/>
      <c r="CJ29" s="431"/>
      <c r="CK29" s="387"/>
      <c r="CL29" s="415"/>
      <c r="CM29" s="416"/>
      <c r="CN29" s="418"/>
      <c r="CO29" s="418"/>
      <c r="CP29" s="418"/>
      <c r="CS29" s="413"/>
      <c r="DA29" s="388"/>
      <c r="DB29" s="1645" t="s">
        <v>3111</v>
      </c>
      <c r="DC29" s="1666"/>
      <c r="DD29" s="1666"/>
      <c r="DE29" s="1666"/>
      <c r="DF29" s="1666"/>
      <c r="DG29" s="1666"/>
      <c r="DH29" s="1666"/>
      <c r="DI29" s="1666"/>
      <c r="DJ29" s="426"/>
      <c r="DK29" s="445"/>
      <c r="DL29" s="445"/>
      <c r="DM29" s="445"/>
      <c r="DN29" s="445"/>
      <c r="DO29" s="445"/>
      <c r="DP29" s="445"/>
      <c r="DQ29" s="427"/>
      <c r="DR29" s="428"/>
      <c r="DS29" s="429"/>
      <c r="DT29" s="445"/>
      <c r="DU29" s="445"/>
      <c r="DV29" s="445"/>
      <c r="DW29" s="445"/>
      <c r="DX29" s="445"/>
      <c r="DY29" s="445"/>
      <c r="DZ29" s="427"/>
      <c r="EA29" s="428"/>
      <c r="EB29" s="429"/>
      <c r="EC29" s="445"/>
      <c r="ED29" s="445"/>
      <c r="EE29" s="445"/>
      <c r="EF29" s="445"/>
      <c r="EG29" s="445"/>
      <c r="EH29" s="445"/>
      <c r="EI29" s="427"/>
      <c r="EJ29" s="431"/>
      <c r="EK29" s="387"/>
      <c r="EL29" s="415"/>
      <c r="EM29" s="416"/>
      <c r="EN29" s="418"/>
      <c r="EO29" s="418"/>
      <c r="EP29" s="418"/>
      <c r="ES29" s="413"/>
      <c r="FA29" s="388"/>
      <c r="FB29" s="1645" t="s">
        <v>3111</v>
      </c>
      <c r="FC29" s="1666"/>
      <c r="FD29" s="1666"/>
      <c r="FE29" s="1666"/>
      <c r="FF29" s="1666"/>
      <c r="FG29" s="1666"/>
      <c r="FH29" s="1666"/>
      <c r="FI29" s="1666"/>
      <c r="FJ29" s="426"/>
      <c r="FK29" s="445"/>
      <c r="FL29" s="445"/>
      <c r="FM29" s="445"/>
      <c r="FN29" s="445"/>
      <c r="FO29" s="445"/>
      <c r="FP29" s="445"/>
      <c r="FQ29" s="427"/>
      <c r="FR29" s="428"/>
      <c r="FS29" s="429"/>
      <c r="FT29" s="445"/>
      <c r="FU29" s="445"/>
      <c r="FV29" s="445"/>
      <c r="FW29" s="445"/>
      <c r="FX29" s="445"/>
      <c r="FY29" s="445"/>
      <c r="FZ29" s="427"/>
      <c r="GA29" s="428"/>
      <c r="GB29" s="429"/>
      <c r="GC29" s="445"/>
      <c r="GD29" s="445"/>
      <c r="GE29" s="445"/>
      <c r="GF29" s="445"/>
      <c r="GG29" s="445"/>
      <c r="GH29" s="445"/>
      <c r="GI29" s="427"/>
      <c r="GJ29" s="431"/>
      <c r="GK29" s="387"/>
      <c r="GL29" s="415"/>
      <c r="GM29" s="416"/>
      <c r="GN29" s="418"/>
      <c r="GO29" s="418"/>
      <c r="GP29" s="418"/>
    </row>
    <row r="30" spans="1:198" ht="18.899999999999999" customHeight="1">
      <c r="A30" s="388"/>
      <c r="B30" s="1667"/>
      <c r="C30" s="1668"/>
      <c r="D30" s="1668"/>
      <c r="E30" s="1668"/>
      <c r="F30" s="1668"/>
      <c r="G30" s="1668"/>
      <c r="H30" s="1668"/>
      <c r="I30" s="1668"/>
      <c r="J30" s="433"/>
      <c r="K30" s="1670"/>
      <c r="L30" s="1670"/>
      <c r="M30" s="1670"/>
      <c r="N30" s="1670"/>
      <c r="O30" s="1670"/>
      <c r="P30" s="1670" t="s">
        <v>382</v>
      </c>
      <c r="Q30" s="1670"/>
      <c r="R30" s="435"/>
      <c r="S30" s="436"/>
      <c r="T30" s="1670"/>
      <c r="U30" s="1670"/>
      <c r="V30" s="1670"/>
      <c r="W30" s="1670"/>
      <c r="X30" s="1670"/>
      <c r="Y30" s="1670" t="s">
        <v>382</v>
      </c>
      <c r="Z30" s="1670"/>
      <c r="AA30" s="435"/>
      <c r="AB30" s="436"/>
      <c r="AC30" s="1670"/>
      <c r="AD30" s="1670"/>
      <c r="AE30" s="1670"/>
      <c r="AF30" s="1670"/>
      <c r="AG30" s="1670"/>
      <c r="AH30" s="1670" t="s">
        <v>382</v>
      </c>
      <c r="AI30" s="1670"/>
      <c r="AJ30" s="437"/>
      <c r="AK30" s="387"/>
      <c r="AL30" s="415"/>
      <c r="AM30" s="416"/>
      <c r="AN30" s="418"/>
      <c r="AO30" s="418"/>
      <c r="AP30" s="418"/>
      <c r="AS30" s="413"/>
      <c r="AT30" s="414" t="str">
        <f>IF(OR(AND(J$10&lt;&gt;"",COUNTA(K30)=0),AND(S$10&lt;&gt;"",COUNTA(T30)=0),AND(AB$10&lt;&gt;"",COUNTA(AC30)=0)),"未入力があります。",IF(OR(AND(J$10="",COUNTA(K30)=1),AND(S$10="",COUNTA(T30)=1),AND(AB$10="",COUNTA(AC30)=1)),"棟番号を入力してください。",""))</f>
        <v/>
      </c>
      <c r="AU30" s="414"/>
      <c r="AV30" s="414"/>
      <c r="AW30" s="414"/>
      <c r="AX30" s="414"/>
      <c r="AY30" s="414"/>
      <c r="BA30" s="388"/>
      <c r="BB30" s="1667"/>
      <c r="BC30" s="1668"/>
      <c r="BD30" s="1668"/>
      <c r="BE30" s="1668"/>
      <c r="BF30" s="1668"/>
      <c r="BG30" s="1668"/>
      <c r="BH30" s="1668"/>
      <c r="BI30" s="1668"/>
      <c r="BJ30" s="433"/>
      <c r="BK30" s="1670"/>
      <c r="BL30" s="1670"/>
      <c r="BM30" s="1670"/>
      <c r="BN30" s="1670"/>
      <c r="BO30" s="1670"/>
      <c r="BP30" s="1670" t="s">
        <v>382</v>
      </c>
      <c r="BQ30" s="1670"/>
      <c r="BR30" s="435"/>
      <c r="BS30" s="436"/>
      <c r="BT30" s="1670"/>
      <c r="BU30" s="1670"/>
      <c r="BV30" s="1670"/>
      <c r="BW30" s="1670"/>
      <c r="BX30" s="1670"/>
      <c r="BY30" s="1670" t="s">
        <v>382</v>
      </c>
      <c r="BZ30" s="1670"/>
      <c r="CA30" s="435"/>
      <c r="CB30" s="436"/>
      <c r="CC30" s="1670"/>
      <c r="CD30" s="1670"/>
      <c r="CE30" s="1670"/>
      <c r="CF30" s="1670"/>
      <c r="CG30" s="1670"/>
      <c r="CH30" s="1670" t="s">
        <v>382</v>
      </c>
      <c r="CI30" s="1670"/>
      <c r="CJ30" s="437"/>
      <c r="CK30" s="387"/>
      <c r="CL30" s="415"/>
      <c r="CM30" s="416"/>
      <c r="CN30" s="418"/>
      <c r="CO30" s="418"/>
      <c r="CP30" s="418"/>
      <c r="CS30" s="413"/>
      <c r="CT30" s="414" t="str">
        <f>IF(OR(AND(BJ$10&lt;&gt;"",COUNTA(BK30)=0),AND(BS$10&lt;&gt;"",COUNTA(BT30)=0),AND(CB$10&lt;&gt;"",COUNTA(CC30)=0)),"未入力があります。",IF(OR(AND(BJ$10="",COUNTA(BK30)=1),AND(BS$10="",COUNTA(BT30)=1),AND(CB$10="",COUNTA(CC30)=1)),"棟番号を入力してください。",""))</f>
        <v/>
      </c>
      <c r="CU30" s="414"/>
      <c r="CV30" s="414"/>
      <c r="CW30" s="414"/>
      <c r="CX30" s="414"/>
      <c r="CY30" s="414"/>
      <c r="DA30" s="388"/>
      <c r="DB30" s="1667"/>
      <c r="DC30" s="1668"/>
      <c r="DD30" s="1668"/>
      <c r="DE30" s="1668"/>
      <c r="DF30" s="1668"/>
      <c r="DG30" s="1668"/>
      <c r="DH30" s="1668"/>
      <c r="DI30" s="1668"/>
      <c r="DJ30" s="433"/>
      <c r="DK30" s="1670"/>
      <c r="DL30" s="1670"/>
      <c r="DM30" s="1670"/>
      <c r="DN30" s="1670"/>
      <c r="DO30" s="1670"/>
      <c r="DP30" s="1670" t="s">
        <v>382</v>
      </c>
      <c r="DQ30" s="1670"/>
      <c r="DR30" s="435"/>
      <c r="DS30" s="436"/>
      <c r="DT30" s="1670"/>
      <c r="DU30" s="1670"/>
      <c r="DV30" s="1670"/>
      <c r="DW30" s="1670"/>
      <c r="DX30" s="1670"/>
      <c r="DY30" s="1670" t="s">
        <v>382</v>
      </c>
      <c r="DZ30" s="1670"/>
      <c r="EA30" s="435"/>
      <c r="EB30" s="436"/>
      <c r="EC30" s="1670"/>
      <c r="ED30" s="1670"/>
      <c r="EE30" s="1670"/>
      <c r="EF30" s="1670"/>
      <c r="EG30" s="1670"/>
      <c r="EH30" s="1670" t="s">
        <v>382</v>
      </c>
      <c r="EI30" s="1670"/>
      <c r="EJ30" s="437"/>
      <c r="EK30" s="387"/>
      <c r="EL30" s="415"/>
      <c r="EM30" s="416"/>
      <c r="EN30" s="418"/>
      <c r="EO30" s="418"/>
      <c r="EP30" s="418"/>
      <c r="ES30" s="413"/>
      <c r="ET30" s="414" t="str">
        <f>IF(OR(AND(DJ$10&lt;&gt;"",COUNTA(DK30)=0),AND(DS$10&lt;&gt;"",COUNTA(DT30)=0),AND(EB$10&lt;&gt;"",COUNTA(EC30)=0)),"未入力があります。",IF(OR(AND(DJ$10="",COUNTA(DK30)=1),AND(DS$10="",COUNTA(DT30)=1),AND(EB$10="",COUNTA(EC30)=1)),"棟番号を入力してください。",""))</f>
        <v/>
      </c>
      <c r="FA30" s="388"/>
      <c r="FB30" s="1667"/>
      <c r="FC30" s="1668"/>
      <c r="FD30" s="1668"/>
      <c r="FE30" s="1668"/>
      <c r="FF30" s="1668"/>
      <c r="FG30" s="1668"/>
      <c r="FH30" s="1668"/>
      <c r="FI30" s="1668"/>
      <c r="FJ30" s="433"/>
      <c r="FK30" s="1670"/>
      <c r="FL30" s="1670"/>
      <c r="FM30" s="1670"/>
      <c r="FN30" s="1670"/>
      <c r="FO30" s="1670"/>
      <c r="FP30" s="1670" t="s">
        <v>382</v>
      </c>
      <c r="FQ30" s="1670"/>
      <c r="FR30" s="435"/>
      <c r="FS30" s="436"/>
      <c r="FT30" s="1670"/>
      <c r="FU30" s="1670"/>
      <c r="FV30" s="1670"/>
      <c r="FW30" s="1670"/>
      <c r="FX30" s="1670"/>
      <c r="FY30" s="1670" t="s">
        <v>382</v>
      </c>
      <c r="FZ30" s="1670"/>
      <c r="GA30" s="435"/>
      <c r="GB30" s="436"/>
      <c r="GC30" s="1670"/>
      <c r="GD30" s="1670"/>
      <c r="GE30" s="1670"/>
      <c r="GF30" s="1670"/>
      <c r="GG30" s="1670"/>
      <c r="GH30" s="1670" t="s">
        <v>382</v>
      </c>
      <c r="GI30" s="1670"/>
      <c r="GJ30" s="437"/>
      <c r="GK30" s="387"/>
      <c r="GL30" s="415"/>
      <c r="GM30" s="416"/>
      <c r="GN30" s="418"/>
      <c r="GO30" s="418"/>
      <c r="GP30" s="418"/>
    </row>
    <row r="31" spans="1:198" ht="12" customHeight="1">
      <c r="A31" s="388"/>
      <c r="B31" s="1645" t="s">
        <v>3112</v>
      </c>
      <c r="C31" s="1666"/>
      <c r="D31" s="1666"/>
      <c r="E31" s="1666"/>
      <c r="F31" s="1666"/>
      <c r="G31" s="1666"/>
      <c r="H31" s="1666"/>
      <c r="I31" s="1666"/>
      <c r="J31" s="426"/>
      <c r="K31" s="1687"/>
      <c r="L31" s="1687"/>
      <c r="M31" s="1687"/>
      <c r="N31" s="1687"/>
      <c r="O31" s="1687"/>
      <c r="P31" s="1687"/>
      <c r="Q31" s="427"/>
      <c r="R31" s="428"/>
      <c r="S31" s="429"/>
      <c r="T31" s="1687"/>
      <c r="U31" s="1687"/>
      <c r="V31" s="1687"/>
      <c r="W31" s="1687"/>
      <c r="X31" s="1687"/>
      <c r="Y31" s="1687"/>
      <c r="Z31" s="427"/>
      <c r="AA31" s="428"/>
      <c r="AB31" s="429"/>
      <c r="AC31" s="1687"/>
      <c r="AD31" s="1687"/>
      <c r="AE31" s="1687"/>
      <c r="AF31" s="1687"/>
      <c r="AG31" s="1687"/>
      <c r="AH31" s="1687"/>
      <c r="AI31" s="427"/>
      <c r="AJ31" s="431"/>
      <c r="AK31" s="387"/>
      <c r="AL31" s="415"/>
      <c r="AM31" s="387">
        <f>AT31</f>
        <v>0</v>
      </c>
      <c r="AS31" s="413"/>
      <c r="AT31" s="414"/>
      <c r="AU31" s="414"/>
      <c r="AV31" s="414"/>
      <c r="AW31" s="414"/>
      <c r="AX31" s="414"/>
      <c r="AY31" s="414"/>
      <c r="BA31" s="388"/>
      <c r="BB31" s="1645" t="s">
        <v>3112</v>
      </c>
      <c r="BC31" s="1666"/>
      <c r="BD31" s="1666"/>
      <c r="BE31" s="1666"/>
      <c r="BF31" s="1666"/>
      <c r="BG31" s="1666"/>
      <c r="BH31" s="1666"/>
      <c r="BI31" s="1666"/>
      <c r="BJ31" s="426"/>
      <c r="BK31" s="1687"/>
      <c r="BL31" s="1687"/>
      <c r="BM31" s="1687"/>
      <c r="BN31" s="1687"/>
      <c r="BO31" s="1687"/>
      <c r="BP31" s="1687"/>
      <c r="BQ31" s="427"/>
      <c r="BR31" s="428"/>
      <c r="BS31" s="429"/>
      <c r="BT31" s="1687"/>
      <c r="BU31" s="1687"/>
      <c r="BV31" s="1687"/>
      <c r="BW31" s="1687"/>
      <c r="BX31" s="1687"/>
      <c r="BY31" s="1687"/>
      <c r="BZ31" s="427"/>
      <c r="CA31" s="428"/>
      <c r="CB31" s="429"/>
      <c r="CC31" s="1687"/>
      <c r="CD31" s="1687"/>
      <c r="CE31" s="1687"/>
      <c r="CF31" s="1687"/>
      <c r="CG31" s="1687"/>
      <c r="CH31" s="1687"/>
      <c r="CI31" s="427"/>
      <c r="CJ31" s="431"/>
      <c r="CK31" s="387"/>
      <c r="CL31" s="415"/>
      <c r="CM31" s="387">
        <f>CT31</f>
        <v>0</v>
      </c>
      <c r="CS31" s="413"/>
      <c r="CT31" s="414"/>
      <c r="CU31" s="414"/>
      <c r="CV31" s="414"/>
      <c r="CW31" s="414"/>
      <c r="CX31" s="414"/>
      <c r="CY31" s="414"/>
      <c r="DA31" s="388"/>
      <c r="DB31" s="1645" t="s">
        <v>3112</v>
      </c>
      <c r="DC31" s="1666"/>
      <c r="DD31" s="1666"/>
      <c r="DE31" s="1666"/>
      <c r="DF31" s="1666"/>
      <c r="DG31" s="1666"/>
      <c r="DH31" s="1666"/>
      <c r="DI31" s="1666"/>
      <c r="DJ31" s="426"/>
      <c r="DK31" s="1687"/>
      <c r="DL31" s="1687"/>
      <c r="DM31" s="1687"/>
      <c r="DN31" s="1687"/>
      <c r="DO31" s="1687"/>
      <c r="DP31" s="1687"/>
      <c r="DQ31" s="427"/>
      <c r="DR31" s="428"/>
      <c r="DS31" s="429"/>
      <c r="DT31" s="1687"/>
      <c r="DU31" s="1687"/>
      <c r="DV31" s="1687"/>
      <c r="DW31" s="1687"/>
      <c r="DX31" s="1687"/>
      <c r="DY31" s="1687"/>
      <c r="DZ31" s="427"/>
      <c r="EA31" s="428"/>
      <c r="EB31" s="429"/>
      <c r="EC31" s="1687"/>
      <c r="ED31" s="1687"/>
      <c r="EE31" s="1687"/>
      <c r="EF31" s="1687"/>
      <c r="EG31" s="1687"/>
      <c r="EH31" s="1687"/>
      <c r="EI31" s="427"/>
      <c r="EJ31" s="431"/>
      <c r="EK31" s="387"/>
      <c r="EL31" s="415"/>
      <c r="EM31" s="387">
        <f>ET31</f>
        <v>0</v>
      </c>
      <c r="ES31" s="413"/>
      <c r="ET31" s="414"/>
      <c r="FA31" s="388"/>
      <c r="FB31" s="1645" t="s">
        <v>3112</v>
      </c>
      <c r="FC31" s="1666"/>
      <c r="FD31" s="1666"/>
      <c r="FE31" s="1666"/>
      <c r="FF31" s="1666"/>
      <c r="FG31" s="1666"/>
      <c r="FH31" s="1666"/>
      <c r="FI31" s="1666"/>
      <c r="FJ31" s="426"/>
      <c r="FK31" s="1687"/>
      <c r="FL31" s="1687"/>
      <c r="FM31" s="1687"/>
      <c r="FN31" s="1687"/>
      <c r="FO31" s="1687"/>
      <c r="FP31" s="1687"/>
      <c r="FQ31" s="427"/>
      <c r="FR31" s="428"/>
      <c r="FS31" s="429"/>
      <c r="FT31" s="1687"/>
      <c r="FU31" s="1687"/>
      <c r="FV31" s="1687"/>
      <c r="FW31" s="1687"/>
      <c r="FX31" s="1687"/>
      <c r="FY31" s="1687"/>
      <c r="FZ31" s="427"/>
      <c r="GA31" s="428"/>
      <c r="GB31" s="429"/>
      <c r="GC31" s="1687"/>
      <c r="GD31" s="1687"/>
      <c r="GE31" s="1687"/>
      <c r="GF31" s="1687"/>
      <c r="GG31" s="1687"/>
      <c r="GH31" s="1687"/>
      <c r="GI31" s="427"/>
      <c r="GJ31" s="431"/>
      <c r="GK31" s="387"/>
      <c r="GL31" s="415"/>
      <c r="GM31" s="387">
        <f>GT31</f>
        <v>0</v>
      </c>
    </row>
    <row r="32" spans="1:198" ht="18.899999999999999" customHeight="1">
      <c r="A32" s="388"/>
      <c r="B32" s="1667"/>
      <c r="C32" s="1668"/>
      <c r="D32" s="1668"/>
      <c r="E32" s="1668"/>
      <c r="F32" s="1668"/>
      <c r="G32" s="1668"/>
      <c r="H32" s="1668"/>
      <c r="I32" s="1668"/>
      <c r="J32" s="433"/>
      <c r="K32" s="443" t="s">
        <v>3113</v>
      </c>
      <c r="L32" s="443"/>
      <c r="M32" s="1670"/>
      <c r="N32" s="1670"/>
      <c r="O32" s="1670"/>
      <c r="P32" s="1670" t="s">
        <v>382</v>
      </c>
      <c r="Q32" s="1670"/>
      <c r="R32" s="435"/>
      <c r="S32" s="436"/>
      <c r="T32" s="443" t="s">
        <v>3113</v>
      </c>
      <c r="U32" s="443"/>
      <c r="V32" s="1670"/>
      <c r="W32" s="1670"/>
      <c r="X32" s="1670"/>
      <c r="Y32" s="1670" t="s">
        <v>382</v>
      </c>
      <c r="Z32" s="1670"/>
      <c r="AA32" s="435"/>
      <c r="AB32" s="436"/>
      <c r="AC32" s="443" t="s">
        <v>3113</v>
      </c>
      <c r="AD32" s="443"/>
      <c r="AE32" s="1670"/>
      <c r="AF32" s="1670"/>
      <c r="AG32" s="1670"/>
      <c r="AH32" s="1670" t="s">
        <v>382</v>
      </c>
      <c r="AI32" s="1670"/>
      <c r="AJ32" s="437"/>
      <c r="AK32" s="387"/>
      <c r="AL32" s="415"/>
      <c r="AM32" s="387"/>
      <c r="AS32" s="413"/>
      <c r="AT32" s="414" t="str">
        <f>IF(OR(AND(J$10&lt;&gt;"",COUNTA(M32)=0),AND(S$10&lt;&gt;"",COUNTA(V32)=0),AND(AB$10&lt;&gt;"",COUNTA(AE32)=0)),"未入力があります。",IF(OR(AND(J$10="",COUNTA(M32)=1),AND(S$10="",COUNTA(V32)=1),AND(AB$10="",COUNTA(AE32)=1)),"棟番号を入力してください。",""))</f>
        <v/>
      </c>
      <c r="AU32" s="414"/>
      <c r="AV32" s="414"/>
      <c r="AW32" s="414"/>
      <c r="AX32" s="414"/>
      <c r="AY32" s="414"/>
      <c r="BA32" s="388"/>
      <c r="BB32" s="1667"/>
      <c r="BC32" s="1668"/>
      <c r="BD32" s="1668"/>
      <c r="BE32" s="1668"/>
      <c r="BF32" s="1668"/>
      <c r="BG32" s="1668"/>
      <c r="BH32" s="1668"/>
      <c r="BI32" s="1668"/>
      <c r="BJ32" s="433"/>
      <c r="BK32" s="443" t="s">
        <v>3113</v>
      </c>
      <c r="BL32" s="443"/>
      <c r="BM32" s="1670"/>
      <c r="BN32" s="1670"/>
      <c r="BO32" s="1670"/>
      <c r="BP32" s="1670" t="s">
        <v>382</v>
      </c>
      <c r="BQ32" s="1670"/>
      <c r="BR32" s="435"/>
      <c r="BS32" s="436"/>
      <c r="BT32" s="443" t="s">
        <v>3113</v>
      </c>
      <c r="BU32" s="443"/>
      <c r="BV32" s="1670"/>
      <c r="BW32" s="1670"/>
      <c r="BX32" s="1670"/>
      <c r="BY32" s="1670" t="s">
        <v>382</v>
      </c>
      <c r="BZ32" s="1670"/>
      <c r="CA32" s="435"/>
      <c r="CB32" s="436"/>
      <c r="CC32" s="443" t="s">
        <v>3113</v>
      </c>
      <c r="CD32" s="443"/>
      <c r="CE32" s="1670"/>
      <c r="CF32" s="1670"/>
      <c r="CG32" s="1670"/>
      <c r="CH32" s="1670" t="s">
        <v>382</v>
      </c>
      <c r="CI32" s="1670"/>
      <c r="CJ32" s="437"/>
      <c r="CK32" s="387"/>
      <c r="CL32" s="415"/>
      <c r="CM32" s="387"/>
      <c r="CS32" s="413"/>
      <c r="CT32" s="414" t="str">
        <f>IF(OR(AND(BJ$10&lt;&gt;"",COUNTA(BM32)=0),AND(BS$10&lt;&gt;"",COUNTA(BV32)=0),AND(CB$10&lt;&gt;"",COUNTA(CE32)=0)),"未入力があります。",IF(OR(AND(BJ$10="",COUNTA(BM32)=1),AND(BS$10="",COUNTA(BV32)=1),AND(CB$10="",COUNTA(CE32)=1)),"棟番号を入力してください。",""))</f>
        <v/>
      </c>
      <c r="CU32" s="414"/>
      <c r="CV32" s="414"/>
      <c r="CW32" s="414"/>
      <c r="CX32" s="414"/>
      <c r="CY32" s="414"/>
      <c r="DA32" s="388"/>
      <c r="DB32" s="1667"/>
      <c r="DC32" s="1668"/>
      <c r="DD32" s="1668"/>
      <c r="DE32" s="1668"/>
      <c r="DF32" s="1668"/>
      <c r="DG32" s="1668"/>
      <c r="DH32" s="1668"/>
      <c r="DI32" s="1668"/>
      <c r="DJ32" s="433"/>
      <c r="DK32" s="443" t="s">
        <v>3113</v>
      </c>
      <c r="DL32" s="443"/>
      <c r="DM32" s="1670"/>
      <c r="DN32" s="1670"/>
      <c r="DO32" s="1670"/>
      <c r="DP32" s="1670" t="s">
        <v>382</v>
      </c>
      <c r="DQ32" s="1670"/>
      <c r="DR32" s="435"/>
      <c r="DS32" s="436"/>
      <c r="DT32" s="443" t="s">
        <v>3113</v>
      </c>
      <c r="DU32" s="443"/>
      <c r="DV32" s="1670"/>
      <c r="DW32" s="1670"/>
      <c r="DX32" s="1670"/>
      <c r="DY32" s="1670" t="s">
        <v>382</v>
      </c>
      <c r="DZ32" s="1670"/>
      <c r="EA32" s="435"/>
      <c r="EB32" s="436"/>
      <c r="EC32" s="443" t="s">
        <v>3113</v>
      </c>
      <c r="ED32" s="443"/>
      <c r="EE32" s="1670"/>
      <c r="EF32" s="1670"/>
      <c r="EG32" s="1670"/>
      <c r="EH32" s="1670" t="s">
        <v>382</v>
      </c>
      <c r="EI32" s="1670"/>
      <c r="EJ32" s="437"/>
      <c r="EK32" s="387"/>
      <c r="EL32" s="415"/>
      <c r="EM32" s="387"/>
      <c r="ES32" s="413"/>
      <c r="ET32" s="414" t="str">
        <f>IF(OR(AND(DJ$10&lt;&gt;"",COUNTA(DM32)=0),AND(DS$10&lt;&gt;"",COUNTA(DV32)=0),AND(EB$10&lt;&gt;"",COUNTA(EE32)=0)),"未入力があります。",IF(OR(AND(DJ$10="",COUNTA(DM32)=1),AND(DS$10="",COUNTA(DV32)=1),AND(EB$10="",COUNTA(EE32)=1)),"棟番号を入力してください。",""))</f>
        <v/>
      </c>
      <c r="FA32" s="388"/>
      <c r="FB32" s="1667"/>
      <c r="FC32" s="1668"/>
      <c r="FD32" s="1668"/>
      <c r="FE32" s="1668"/>
      <c r="FF32" s="1668"/>
      <c r="FG32" s="1668"/>
      <c r="FH32" s="1668"/>
      <c r="FI32" s="1668"/>
      <c r="FJ32" s="433"/>
      <c r="FK32" s="443" t="s">
        <v>3113</v>
      </c>
      <c r="FL32" s="443"/>
      <c r="FM32" s="1670"/>
      <c r="FN32" s="1670"/>
      <c r="FO32" s="1670"/>
      <c r="FP32" s="1670" t="s">
        <v>382</v>
      </c>
      <c r="FQ32" s="1670"/>
      <c r="FR32" s="435"/>
      <c r="FS32" s="436"/>
      <c r="FT32" s="443" t="s">
        <v>3113</v>
      </c>
      <c r="FU32" s="443"/>
      <c r="FV32" s="1670"/>
      <c r="FW32" s="1670"/>
      <c r="FX32" s="1670"/>
      <c r="FY32" s="1670" t="s">
        <v>382</v>
      </c>
      <c r="FZ32" s="1670"/>
      <c r="GA32" s="435"/>
      <c r="GB32" s="436"/>
      <c r="GC32" s="443" t="s">
        <v>3113</v>
      </c>
      <c r="GD32" s="443"/>
      <c r="GE32" s="1670"/>
      <c r="GF32" s="1670"/>
      <c r="GG32" s="1670"/>
      <c r="GH32" s="1670" t="s">
        <v>382</v>
      </c>
      <c r="GI32" s="1670"/>
      <c r="GJ32" s="437"/>
      <c r="GK32" s="387"/>
      <c r="GL32" s="415"/>
      <c r="GM32" s="387"/>
    </row>
    <row r="33" spans="1:200" ht="3.9" customHeight="1">
      <c r="A33" s="388"/>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415"/>
      <c r="AM33" s="387"/>
      <c r="AS33" s="413"/>
      <c r="BA33" s="388"/>
      <c r="BB33" s="387"/>
      <c r="BC33" s="387"/>
      <c r="BD33" s="387"/>
      <c r="BE33" s="387"/>
      <c r="BF33" s="387"/>
      <c r="BG33" s="387"/>
      <c r="BH33" s="387"/>
      <c r="BI33" s="387"/>
      <c r="BJ33" s="387"/>
      <c r="BK33" s="387"/>
      <c r="BL33" s="387"/>
      <c r="BM33" s="387"/>
      <c r="BN33" s="387"/>
      <c r="BO33" s="387"/>
      <c r="BP33" s="387"/>
      <c r="BQ33" s="387"/>
      <c r="BR33" s="387"/>
      <c r="BS33" s="387"/>
      <c r="BT33" s="387"/>
      <c r="BU33" s="387"/>
      <c r="BV33" s="387"/>
      <c r="BW33" s="387"/>
      <c r="BX33" s="387"/>
      <c r="BY33" s="387"/>
      <c r="BZ33" s="387"/>
      <c r="CA33" s="387"/>
      <c r="CB33" s="387"/>
      <c r="CC33" s="387"/>
      <c r="CD33" s="387"/>
      <c r="CE33" s="387"/>
      <c r="CF33" s="387"/>
      <c r="CG33" s="387"/>
      <c r="CH33" s="387"/>
      <c r="CI33" s="387"/>
      <c r="CJ33" s="387"/>
      <c r="CK33" s="387"/>
      <c r="CL33" s="415"/>
      <c r="CM33" s="387"/>
      <c r="CS33" s="413"/>
      <c r="DA33" s="388"/>
      <c r="DB33" s="387"/>
      <c r="DC33" s="387"/>
      <c r="DD33" s="387"/>
      <c r="DE33" s="387"/>
      <c r="DF33" s="387"/>
      <c r="DG33" s="387"/>
      <c r="DH33" s="387"/>
      <c r="DI33" s="387"/>
      <c r="DJ33" s="387"/>
      <c r="DK33" s="387"/>
      <c r="DL33" s="387"/>
      <c r="DM33" s="387"/>
      <c r="DN33" s="387"/>
      <c r="DO33" s="387"/>
      <c r="DP33" s="387"/>
      <c r="DQ33" s="387"/>
      <c r="DR33" s="387"/>
      <c r="DS33" s="387"/>
      <c r="DT33" s="387"/>
      <c r="DU33" s="387"/>
      <c r="DV33" s="387"/>
      <c r="DW33" s="387"/>
      <c r="DX33" s="387"/>
      <c r="DY33" s="387"/>
      <c r="DZ33" s="387"/>
      <c r="EA33" s="387"/>
      <c r="EB33" s="387"/>
      <c r="EC33" s="387"/>
      <c r="ED33" s="387"/>
      <c r="EE33" s="387"/>
      <c r="EF33" s="387"/>
      <c r="EG33" s="387"/>
      <c r="EH33" s="387"/>
      <c r="EI33" s="387"/>
      <c r="EJ33" s="387"/>
      <c r="EK33" s="387"/>
      <c r="EL33" s="415"/>
      <c r="EM33" s="387"/>
      <c r="ES33" s="413"/>
      <c r="FA33" s="388"/>
      <c r="FB33" s="387"/>
      <c r="FC33" s="387"/>
      <c r="FD33" s="387"/>
      <c r="FE33" s="387"/>
      <c r="FF33" s="387"/>
      <c r="FG33" s="387"/>
      <c r="FH33" s="387"/>
      <c r="FI33" s="387"/>
      <c r="FJ33" s="387"/>
      <c r="FK33" s="387"/>
      <c r="FL33" s="387"/>
      <c r="FM33" s="387"/>
      <c r="FN33" s="387"/>
      <c r="FO33" s="387"/>
      <c r="FP33" s="387"/>
      <c r="FQ33" s="387"/>
      <c r="FR33" s="387"/>
      <c r="FS33" s="387"/>
      <c r="FT33" s="387"/>
      <c r="FU33" s="387"/>
      <c r="FV33" s="387"/>
      <c r="FW33" s="387"/>
      <c r="FX33" s="387"/>
      <c r="FY33" s="387"/>
      <c r="FZ33" s="387"/>
      <c r="GA33" s="387"/>
      <c r="GB33" s="387"/>
      <c r="GC33" s="387"/>
      <c r="GD33" s="387"/>
      <c r="GE33" s="387"/>
      <c r="GF33" s="387"/>
      <c r="GG33" s="387"/>
      <c r="GH33" s="387"/>
      <c r="GI33" s="387"/>
      <c r="GJ33" s="387"/>
      <c r="GK33" s="387"/>
      <c r="GL33" s="415"/>
      <c r="GM33" s="387"/>
    </row>
    <row r="34" spans="1:200" ht="3.9" customHeight="1">
      <c r="A34" s="388"/>
      <c r="B34" s="387"/>
      <c r="C34" s="387"/>
      <c r="D34" s="387"/>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c r="AH34" s="387"/>
      <c r="AI34" s="387"/>
      <c r="AJ34" s="387"/>
      <c r="AK34" s="387"/>
      <c r="AL34" s="415"/>
      <c r="AM34" s="387"/>
      <c r="AS34" s="413"/>
      <c r="BA34" s="388"/>
      <c r="BB34" s="387"/>
      <c r="BC34" s="387"/>
      <c r="BD34" s="387"/>
      <c r="BE34" s="387"/>
      <c r="BF34" s="387"/>
      <c r="BG34" s="387"/>
      <c r="BH34" s="387"/>
      <c r="BI34" s="387"/>
      <c r="BJ34" s="387"/>
      <c r="BK34" s="387"/>
      <c r="BL34" s="387"/>
      <c r="BM34" s="387"/>
      <c r="BN34" s="387"/>
      <c r="BO34" s="387"/>
      <c r="BP34" s="387"/>
      <c r="BQ34" s="387"/>
      <c r="BR34" s="387"/>
      <c r="BS34" s="387"/>
      <c r="BT34" s="387"/>
      <c r="BU34" s="387"/>
      <c r="BV34" s="387"/>
      <c r="BW34" s="387"/>
      <c r="BX34" s="387"/>
      <c r="BY34" s="387"/>
      <c r="BZ34" s="387"/>
      <c r="CA34" s="387"/>
      <c r="CB34" s="387"/>
      <c r="CC34" s="387"/>
      <c r="CD34" s="387"/>
      <c r="CE34" s="387"/>
      <c r="CF34" s="387"/>
      <c r="CG34" s="387"/>
      <c r="CH34" s="387"/>
      <c r="CI34" s="387"/>
      <c r="CJ34" s="387"/>
      <c r="CK34" s="387"/>
      <c r="CL34" s="415"/>
      <c r="CM34" s="387"/>
      <c r="CS34" s="413"/>
      <c r="DA34" s="388"/>
      <c r="DB34" s="387"/>
      <c r="DC34" s="387"/>
      <c r="DD34" s="387"/>
      <c r="DE34" s="387"/>
      <c r="DF34" s="387"/>
      <c r="DG34" s="387"/>
      <c r="DH34" s="387"/>
      <c r="DI34" s="387"/>
      <c r="DJ34" s="387"/>
      <c r="DK34" s="387"/>
      <c r="DL34" s="387"/>
      <c r="DM34" s="387"/>
      <c r="DN34" s="387"/>
      <c r="DO34" s="387"/>
      <c r="DP34" s="387"/>
      <c r="DQ34" s="387"/>
      <c r="DR34" s="387"/>
      <c r="DS34" s="387"/>
      <c r="DT34" s="387"/>
      <c r="DU34" s="387"/>
      <c r="DV34" s="387"/>
      <c r="DW34" s="387"/>
      <c r="DX34" s="387"/>
      <c r="DY34" s="387"/>
      <c r="DZ34" s="387"/>
      <c r="EA34" s="387"/>
      <c r="EB34" s="387"/>
      <c r="EC34" s="387"/>
      <c r="ED34" s="387"/>
      <c r="EE34" s="387"/>
      <c r="EF34" s="387"/>
      <c r="EG34" s="387"/>
      <c r="EH34" s="387"/>
      <c r="EI34" s="387"/>
      <c r="EJ34" s="387"/>
      <c r="EK34" s="387"/>
      <c r="EL34" s="415"/>
      <c r="EM34" s="387"/>
      <c r="ES34" s="413"/>
      <c r="FA34" s="388"/>
      <c r="FB34" s="387"/>
      <c r="FC34" s="387"/>
      <c r="FD34" s="387"/>
      <c r="FE34" s="387"/>
      <c r="FF34" s="387"/>
      <c r="FG34" s="387"/>
      <c r="FH34" s="387"/>
      <c r="FI34" s="387"/>
      <c r="FJ34" s="387"/>
      <c r="FK34" s="387"/>
      <c r="FL34" s="387"/>
      <c r="FM34" s="387"/>
      <c r="FN34" s="387"/>
      <c r="FO34" s="387"/>
      <c r="FP34" s="387"/>
      <c r="FQ34" s="387"/>
      <c r="FR34" s="387"/>
      <c r="FS34" s="387"/>
      <c r="FT34" s="387"/>
      <c r="FU34" s="387"/>
      <c r="FV34" s="387"/>
      <c r="FW34" s="387"/>
      <c r="FX34" s="387"/>
      <c r="FY34" s="387"/>
      <c r="FZ34" s="387"/>
      <c r="GA34" s="387"/>
      <c r="GB34" s="387"/>
      <c r="GC34" s="387"/>
      <c r="GD34" s="387"/>
      <c r="GE34" s="387"/>
      <c r="GF34" s="387"/>
      <c r="GG34" s="387"/>
      <c r="GH34" s="387"/>
      <c r="GI34" s="387"/>
      <c r="GJ34" s="387"/>
      <c r="GK34" s="387"/>
      <c r="GL34" s="415"/>
      <c r="GM34" s="387"/>
    </row>
    <row r="35" spans="1:200" ht="2.4" customHeight="1">
      <c r="A35" s="433"/>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37"/>
      <c r="AM35" s="387"/>
      <c r="AS35" s="413"/>
      <c r="BA35" s="433"/>
      <c r="BB35" s="443"/>
      <c r="BC35" s="443"/>
      <c r="BD35" s="443"/>
      <c r="BE35" s="443"/>
      <c r="BF35" s="443"/>
      <c r="BG35" s="443"/>
      <c r="BH35" s="443"/>
      <c r="BI35" s="443"/>
      <c r="BJ35" s="443"/>
      <c r="BK35" s="443"/>
      <c r="BL35" s="443"/>
      <c r="BM35" s="443"/>
      <c r="BN35" s="443"/>
      <c r="BO35" s="443"/>
      <c r="BP35" s="443"/>
      <c r="BQ35" s="443"/>
      <c r="BR35" s="443"/>
      <c r="BS35" s="443"/>
      <c r="BT35" s="443"/>
      <c r="BU35" s="443"/>
      <c r="BV35" s="443"/>
      <c r="BW35" s="443"/>
      <c r="BX35" s="443"/>
      <c r="BY35" s="443"/>
      <c r="BZ35" s="443"/>
      <c r="CA35" s="443"/>
      <c r="CB35" s="443"/>
      <c r="CC35" s="443"/>
      <c r="CD35" s="443"/>
      <c r="CE35" s="443"/>
      <c r="CF35" s="443"/>
      <c r="CG35" s="443"/>
      <c r="CH35" s="443"/>
      <c r="CI35" s="443"/>
      <c r="CJ35" s="443"/>
      <c r="CK35" s="443"/>
      <c r="CL35" s="437"/>
      <c r="CM35" s="387"/>
      <c r="CS35" s="413"/>
      <c r="DA35" s="433"/>
      <c r="DB35" s="443"/>
      <c r="DC35" s="443"/>
      <c r="DD35" s="443"/>
      <c r="DE35" s="443"/>
      <c r="DF35" s="443"/>
      <c r="DG35" s="443"/>
      <c r="DH35" s="443"/>
      <c r="DI35" s="443"/>
      <c r="DJ35" s="443"/>
      <c r="DK35" s="443"/>
      <c r="DL35" s="443"/>
      <c r="DM35" s="443"/>
      <c r="DN35" s="443"/>
      <c r="DO35" s="443"/>
      <c r="DP35" s="443"/>
      <c r="DQ35" s="443"/>
      <c r="DR35" s="443"/>
      <c r="DS35" s="443"/>
      <c r="DT35" s="443"/>
      <c r="DU35" s="443"/>
      <c r="DV35" s="443"/>
      <c r="DW35" s="443"/>
      <c r="DX35" s="443"/>
      <c r="DY35" s="443"/>
      <c r="DZ35" s="443"/>
      <c r="EA35" s="443"/>
      <c r="EB35" s="443"/>
      <c r="EC35" s="443"/>
      <c r="ED35" s="443"/>
      <c r="EE35" s="443"/>
      <c r="EF35" s="443"/>
      <c r="EG35" s="443"/>
      <c r="EH35" s="443"/>
      <c r="EI35" s="443"/>
      <c r="EJ35" s="443"/>
      <c r="EK35" s="443"/>
      <c r="EL35" s="437"/>
      <c r="EM35" s="387"/>
      <c r="ES35" s="413"/>
      <c r="FA35" s="433"/>
      <c r="FB35" s="443"/>
      <c r="FC35" s="443"/>
      <c r="FD35" s="443"/>
      <c r="FE35" s="443"/>
      <c r="FF35" s="443"/>
      <c r="FG35" s="443"/>
      <c r="FH35" s="443"/>
      <c r="FI35" s="443"/>
      <c r="FJ35" s="443"/>
      <c r="FK35" s="443"/>
      <c r="FL35" s="443"/>
      <c r="FM35" s="443"/>
      <c r="FN35" s="443"/>
      <c r="FO35" s="443"/>
      <c r="FP35" s="443"/>
      <c r="FQ35" s="443"/>
      <c r="FR35" s="443"/>
      <c r="FS35" s="443"/>
      <c r="FT35" s="443"/>
      <c r="FU35" s="443"/>
      <c r="FV35" s="443"/>
      <c r="FW35" s="443"/>
      <c r="FX35" s="443"/>
      <c r="FY35" s="443"/>
      <c r="FZ35" s="443"/>
      <c r="GA35" s="443"/>
      <c r="GB35" s="443"/>
      <c r="GC35" s="443"/>
      <c r="GD35" s="443"/>
      <c r="GE35" s="443"/>
      <c r="GF35" s="443"/>
      <c r="GG35" s="443"/>
      <c r="GH35" s="443"/>
      <c r="GI35" s="443"/>
      <c r="GJ35" s="443"/>
      <c r="GK35" s="443"/>
      <c r="GL35" s="437"/>
      <c r="GM35" s="387"/>
    </row>
    <row r="36" spans="1:200" ht="3.9" customHeight="1">
      <c r="A36" s="387"/>
      <c r="B36" s="387"/>
      <c r="C36" s="387"/>
      <c r="D36" s="387"/>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c r="AH36" s="387"/>
      <c r="AI36" s="387"/>
      <c r="AJ36" s="387"/>
      <c r="AK36" s="387"/>
      <c r="AL36" s="387"/>
      <c r="AM36" s="387"/>
      <c r="AS36" s="413"/>
      <c r="BA36" s="387"/>
      <c r="BB36" s="387"/>
      <c r="BC36" s="387"/>
      <c r="BD36" s="387"/>
      <c r="BE36" s="387"/>
      <c r="BF36" s="387"/>
      <c r="BG36" s="387"/>
      <c r="BH36" s="387"/>
      <c r="BI36" s="387"/>
      <c r="BJ36" s="387"/>
      <c r="BK36" s="387"/>
      <c r="BL36" s="387"/>
      <c r="BM36" s="387"/>
      <c r="BN36" s="387"/>
      <c r="BO36" s="387"/>
      <c r="BP36" s="387"/>
      <c r="BQ36" s="387"/>
      <c r="BR36" s="387"/>
      <c r="BS36" s="387"/>
      <c r="BT36" s="387"/>
      <c r="BU36" s="387"/>
      <c r="BV36" s="387"/>
      <c r="BW36" s="387"/>
      <c r="BX36" s="387"/>
      <c r="BY36" s="387"/>
      <c r="BZ36" s="387"/>
      <c r="CA36" s="387"/>
      <c r="CB36" s="387"/>
      <c r="CC36" s="387"/>
      <c r="CD36" s="387"/>
      <c r="CE36" s="387"/>
      <c r="CF36" s="387"/>
      <c r="CG36" s="387"/>
      <c r="CH36" s="387"/>
      <c r="CI36" s="387"/>
      <c r="CJ36" s="387"/>
      <c r="CK36" s="387"/>
      <c r="CL36" s="387"/>
      <c r="CM36" s="387"/>
      <c r="CS36" s="413"/>
      <c r="DA36" s="387"/>
      <c r="DB36" s="387"/>
      <c r="DC36" s="387"/>
      <c r="DD36" s="387"/>
      <c r="DE36" s="387"/>
      <c r="DF36" s="387"/>
      <c r="DG36" s="387"/>
      <c r="DH36" s="387"/>
      <c r="DI36" s="387"/>
      <c r="DJ36" s="387"/>
      <c r="DK36" s="387"/>
      <c r="DL36" s="387"/>
      <c r="DM36" s="387"/>
      <c r="DN36" s="387"/>
      <c r="DO36" s="387"/>
      <c r="DP36" s="387"/>
      <c r="DQ36" s="387"/>
      <c r="DR36" s="387"/>
      <c r="DS36" s="387"/>
      <c r="DT36" s="387"/>
      <c r="DU36" s="387"/>
      <c r="DV36" s="387"/>
      <c r="DW36" s="387"/>
      <c r="DX36" s="387"/>
      <c r="DY36" s="387"/>
      <c r="DZ36" s="387"/>
      <c r="EA36" s="387"/>
      <c r="EB36" s="387"/>
      <c r="EC36" s="387"/>
      <c r="ED36" s="387"/>
      <c r="EE36" s="387"/>
      <c r="EF36" s="387"/>
      <c r="EG36" s="387"/>
      <c r="EH36" s="387"/>
      <c r="EI36" s="387"/>
      <c r="EJ36" s="387"/>
      <c r="EK36" s="387"/>
      <c r="EL36" s="387"/>
      <c r="EM36" s="387"/>
      <c r="ES36" s="413"/>
      <c r="FA36" s="387"/>
      <c r="FB36" s="387"/>
      <c r="FC36" s="387"/>
      <c r="FD36" s="387"/>
      <c r="FE36" s="387"/>
      <c r="FF36" s="387"/>
      <c r="FG36" s="387"/>
      <c r="FH36" s="387"/>
      <c r="FI36" s="387"/>
      <c r="FJ36" s="387"/>
      <c r="FK36" s="387"/>
      <c r="FL36" s="387"/>
      <c r="FM36" s="387"/>
      <c r="FN36" s="387"/>
      <c r="FO36" s="387"/>
      <c r="FP36" s="387"/>
      <c r="FQ36" s="387"/>
      <c r="FR36" s="387"/>
      <c r="FS36" s="387"/>
      <c r="FT36" s="387"/>
      <c r="FU36" s="387"/>
      <c r="FV36" s="387"/>
      <c r="FW36" s="387"/>
      <c r="FX36" s="387"/>
      <c r="FY36" s="387"/>
      <c r="FZ36" s="387"/>
      <c r="GA36" s="387"/>
      <c r="GB36" s="387"/>
      <c r="GC36" s="387"/>
      <c r="GD36" s="387"/>
      <c r="GE36" s="387"/>
      <c r="GF36" s="387"/>
      <c r="GG36" s="387"/>
      <c r="GH36" s="387"/>
      <c r="GI36" s="387"/>
      <c r="GJ36" s="387"/>
      <c r="GK36" s="387"/>
      <c r="GL36" s="387"/>
      <c r="GM36" s="387"/>
    </row>
    <row r="37" spans="1:200" ht="15" customHeight="1">
      <c r="A37" s="1642" t="s">
        <v>16</v>
      </c>
      <c r="B37" s="1642"/>
      <c r="C37" s="1642"/>
      <c r="D37" s="1642"/>
      <c r="E37" s="1642"/>
      <c r="F37" s="1642"/>
      <c r="G37" s="1642"/>
      <c r="H37" s="1642"/>
      <c r="I37" s="1642"/>
      <c r="J37" s="1642"/>
      <c r="K37" s="1642"/>
      <c r="L37" s="1642"/>
      <c r="M37" s="1642"/>
      <c r="N37" s="1642"/>
      <c r="O37" s="1642"/>
      <c r="P37" s="1642"/>
      <c r="Q37" s="1642"/>
      <c r="R37" s="1642"/>
      <c r="S37" s="1642"/>
      <c r="T37" s="1642"/>
      <c r="U37" s="1642"/>
      <c r="V37" s="1642"/>
      <c r="W37" s="1642"/>
      <c r="X37" s="1642"/>
      <c r="Y37" s="1642"/>
      <c r="Z37" s="1642"/>
      <c r="AA37" s="1642"/>
      <c r="AB37" s="1642"/>
      <c r="AC37" s="1642"/>
      <c r="AD37" s="1642"/>
      <c r="AE37" s="1642"/>
      <c r="AF37" s="1642"/>
      <c r="AG37" s="1642"/>
      <c r="AH37" s="1642"/>
      <c r="AI37" s="1642"/>
      <c r="AJ37" s="1642"/>
      <c r="AK37" s="404"/>
      <c r="AL37" s="404"/>
      <c r="AM37" s="387"/>
      <c r="AS37" s="413"/>
      <c r="BA37" s="1642" t="s">
        <v>16</v>
      </c>
      <c r="BB37" s="1642"/>
      <c r="BC37" s="1642"/>
      <c r="BD37" s="1642"/>
      <c r="BE37" s="1642"/>
      <c r="BF37" s="1642"/>
      <c r="BG37" s="1642"/>
      <c r="BH37" s="1642"/>
      <c r="BI37" s="1642"/>
      <c r="BJ37" s="1642"/>
      <c r="BK37" s="1642"/>
      <c r="BL37" s="1642"/>
      <c r="BM37" s="1642"/>
      <c r="BN37" s="1642"/>
      <c r="BO37" s="1642"/>
      <c r="BP37" s="1642"/>
      <c r="BQ37" s="1642"/>
      <c r="BR37" s="1642"/>
      <c r="BS37" s="1642"/>
      <c r="BT37" s="1642"/>
      <c r="BU37" s="1642"/>
      <c r="BV37" s="1642"/>
      <c r="BW37" s="1642"/>
      <c r="BX37" s="1642"/>
      <c r="BY37" s="1642"/>
      <c r="BZ37" s="1642"/>
      <c r="CA37" s="1642"/>
      <c r="CB37" s="1642"/>
      <c r="CC37" s="1642"/>
      <c r="CD37" s="1642"/>
      <c r="CE37" s="1642"/>
      <c r="CF37" s="1642"/>
      <c r="CG37" s="1642"/>
      <c r="CH37" s="1642"/>
      <c r="CI37" s="1642"/>
      <c r="CJ37" s="1642"/>
      <c r="CK37" s="404"/>
      <c r="CL37" s="404"/>
      <c r="CM37" s="387"/>
      <c r="CS37" s="413"/>
      <c r="DA37" s="1642" t="s">
        <v>16</v>
      </c>
      <c r="DB37" s="1642"/>
      <c r="DC37" s="1642"/>
      <c r="DD37" s="1642"/>
      <c r="DE37" s="1642"/>
      <c r="DF37" s="1642"/>
      <c r="DG37" s="1642"/>
      <c r="DH37" s="1642"/>
      <c r="DI37" s="1642"/>
      <c r="DJ37" s="1642"/>
      <c r="DK37" s="1642"/>
      <c r="DL37" s="1642"/>
      <c r="DM37" s="1642"/>
      <c r="DN37" s="1642"/>
      <c r="DO37" s="1642"/>
      <c r="DP37" s="1642"/>
      <c r="DQ37" s="1642"/>
      <c r="DR37" s="1642"/>
      <c r="DS37" s="1642"/>
      <c r="DT37" s="1642"/>
      <c r="DU37" s="1642"/>
      <c r="DV37" s="1642"/>
      <c r="DW37" s="1642"/>
      <c r="DX37" s="1642"/>
      <c r="DY37" s="1642"/>
      <c r="DZ37" s="1642"/>
      <c r="EA37" s="1642"/>
      <c r="EB37" s="1642"/>
      <c r="EC37" s="1642"/>
      <c r="ED37" s="1642"/>
      <c r="EE37" s="1642"/>
      <c r="EF37" s="1642"/>
      <c r="EG37" s="1642"/>
      <c r="EH37" s="1642"/>
      <c r="EI37" s="1642"/>
      <c r="EJ37" s="1642"/>
      <c r="EK37" s="404"/>
      <c r="EL37" s="404"/>
      <c r="EM37" s="387"/>
      <c r="ES37" s="413"/>
      <c r="FA37" s="1642" t="s">
        <v>16</v>
      </c>
      <c r="FB37" s="1642"/>
      <c r="FC37" s="1642"/>
      <c r="FD37" s="1642"/>
      <c r="FE37" s="1642"/>
      <c r="FF37" s="1642"/>
      <c r="FG37" s="1642"/>
      <c r="FH37" s="1642"/>
      <c r="FI37" s="1642"/>
      <c r="FJ37" s="1642"/>
      <c r="FK37" s="1642"/>
      <c r="FL37" s="1642"/>
      <c r="FM37" s="1642"/>
      <c r="FN37" s="1642"/>
      <c r="FO37" s="1642"/>
      <c r="FP37" s="1642"/>
      <c r="FQ37" s="1642"/>
      <c r="FR37" s="1642"/>
      <c r="FS37" s="1642"/>
      <c r="FT37" s="1642"/>
      <c r="FU37" s="1642"/>
      <c r="FV37" s="1642"/>
      <c r="FW37" s="1642"/>
      <c r="FX37" s="1642"/>
      <c r="FY37" s="1642"/>
      <c r="FZ37" s="1642"/>
      <c r="GA37" s="1642"/>
      <c r="GB37" s="1642"/>
      <c r="GC37" s="1642"/>
      <c r="GD37" s="1642"/>
      <c r="GE37" s="1642"/>
      <c r="GF37" s="1642"/>
      <c r="GG37" s="1642"/>
      <c r="GH37" s="1642"/>
      <c r="GI37" s="1642"/>
      <c r="GJ37" s="1642"/>
      <c r="GK37" s="404"/>
      <c r="GL37" s="404"/>
      <c r="GM37" s="387"/>
    </row>
    <row r="38" spans="1:200" ht="2.25" customHeight="1">
      <c r="A38" s="387"/>
      <c r="B38" s="387"/>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t="str">
        <f>IF(AND($AL$13=TRUE,R38=""),"未入力",IF(AND($AL$13=FALSE,R38&lt;&gt;""),"入力不要",""))</f>
        <v/>
      </c>
      <c r="AS38" s="413"/>
      <c r="BA38" s="387"/>
      <c r="BB38" s="387"/>
      <c r="BC38" s="387"/>
      <c r="BD38" s="387"/>
      <c r="BE38" s="387"/>
      <c r="BF38" s="387"/>
      <c r="BG38" s="387"/>
      <c r="BH38" s="387"/>
      <c r="BI38" s="387"/>
      <c r="BJ38" s="387"/>
      <c r="BK38" s="387"/>
      <c r="BL38" s="387"/>
      <c r="BM38" s="387"/>
      <c r="BN38" s="387"/>
      <c r="BO38" s="387"/>
      <c r="BP38" s="387"/>
      <c r="BQ38" s="387"/>
      <c r="BR38" s="387"/>
      <c r="BS38" s="387"/>
      <c r="BT38" s="387"/>
      <c r="BU38" s="387"/>
      <c r="BV38" s="387"/>
      <c r="BW38" s="387"/>
      <c r="BX38" s="387"/>
      <c r="BY38" s="387"/>
      <c r="BZ38" s="387"/>
      <c r="CA38" s="387"/>
      <c r="CB38" s="387"/>
      <c r="CC38" s="387"/>
      <c r="CD38" s="387"/>
      <c r="CE38" s="387"/>
      <c r="CF38" s="387"/>
      <c r="CG38" s="387"/>
      <c r="CH38" s="387"/>
      <c r="CI38" s="387"/>
      <c r="CJ38" s="387"/>
      <c r="CK38" s="387"/>
      <c r="CL38" s="387"/>
      <c r="CM38" s="387" t="str">
        <f>IF(AND($AL$13=TRUE,BR38=""),"未入力",IF(AND($AL$13=FALSE,BR38&lt;&gt;""),"入力不要",""))</f>
        <v/>
      </c>
      <c r="CS38" s="413"/>
      <c r="DA38" s="387"/>
      <c r="DB38" s="387"/>
      <c r="DC38" s="387"/>
      <c r="DD38" s="387"/>
      <c r="DE38" s="387"/>
      <c r="DF38" s="387"/>
      <c r="DG38" s="387"/>
      <c r="DH38" s="387"/>
      <c r="DI38" s="387"/>
      <c r="DJ38" s="387"/>
      <c r="DK38" s="387"/>
      <c r="DL38" s="387"/>
      <c r="DM38" s="387"/>
      <c r="DN38" s="387"/>
      <c r="DO38" s="387"/>
      <c r="DP38" s="387"/>
      <c r="DQ38" s="387"/>
      <c r="DR38" s="387"/>
      <c r="DS38" s="387"/>
      <c r="DT38" s="387"/>
      <c r="DU38" s="387"/>
      <c r="DV38" s="387"/>
      <c r="DW38" s="387"/>
      <c r="DX38" s="387"/>
      <c r="DY38" s="387"/>
      <c r="DZ38" s="387"/>
      <c r="EA38" s="387"/>
      <c r="EB38" s="387"/>
      <c r="EC38" s="387"/>
      <c r="ED38" s="387"/>
      <c r="EE38" s="387"/>
      <c r="EF38" s="387"/>
      <c r="EG38" s="387"/>
      <c r="EH38" s="387"/>
      <c r="EI38" s="387"/>
      <c r="EJ38" s="387"/>
      <c r="EK38" s="387"/>
      <c r="EL38" s="387"/>
      <c r="EM38" s="387" t="str">
        <f>IF(AND($AL$13=TRUE,DR38=""),"未入力",IF(AND($AL$13=FALSE,DR38&lt;&gt;""),"入力不要",""))</f>
        <v/>
      </c>
      <c r="ES38" s="413"/>
      <c r="FA38" s="387"/>
      <c r="FB38" s="387"/>
      <c r="FC38" s="387"/>
      <c r="FD38" s="387"/>
      <c r="FE38" s="387"/>
      <c r="FF38" s="387"/>
      <c r="FG38" s="387"/>
      <c r="FH38" s="387"/>
      <c r="FI38" s="387"/>
      <c r="FJ38" s="387"/>
      <c r="FK38" s="387"/>
      <c r="FL38" s="387"/>
      <c r="FM38" s="387"/>
      <c r="FN38" s="387"/>
      <c r="FO38" s="387"/>
      <c r="FP38" s="387"/>
      <c r="FQ38" s="387"/>
      <c r="FR38" s="387"/>
      <c r="FS38" s="387"/>
      <c r="FT38" s="387"/>
      <c r="FU38" s="387"/>
      <c r="FV38" s="387"/>
      <c r="FW38" s="387"/>
      <c r="FX38" s="387"/>
      <c r="FY38" s="387"/>
      <c r="FZ38" s="387"/>
      <c r="GA38" s="387"/>
      <c r="GB38" s="387"/>
      <c r="GC38" s="387"/>
      <c r="GD38" s="387"/>
      <c r="GE38" s="387"/>
      <c r="GF38" s="387"/>
      <c r="GG38" s="387"/>
      <c r="GH38" s="387"/>
      <c r="GI38" s="387"/>
      <c r="GJ38" s="387"/>
      <c r="GK38" s="387"/>
      <c r="GL38" s="387"/>
      <c r="GM38" s="387" t="str">
        <f>IF(AND($AL$13=TRUE,FR38=""),"未入力",IF(AND($AL$13=FALSE,FR38&lt;&gt;""),"入力不要",""))</f>
        <v/>
      </c>
    </row>
    <row r="39" spans="1:200" ht="2.25" customHeight="1">
      <c r="A39" s="426"/>
      <c r="B39" s="427"/>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31"/>
      <c r="AM39" s="387"/>
      <c r="AS39" s="413"/>
      <c r="BA39" s="426"/>
      <c r="BB39" s="427"/>
      <c r="BC39" s="427"/>
      <c r="BD39" s="427"/>
      <c r="BE39" s="427"/>
      <c r="BF39" s="427"/>
      <c r="BG39" s="427"/>
      <c r="BH39" s="427"/>
      <c r="BI39" s="427"/>
      <c r="BJ39" s="427"/>
      <c r="BK39" s="427"/>
      <c r="BL39" s="427"/>
      <c r="BM39" s="427"/>
      <c r="BN39" s="427"/>
      <c r="BO39" s="427"/>
      <c r="BP39" s="427"/>
      <c r="BQ39" s="427"/>
      <c r="BR39" s="427"/>
      <c r="BS39" s="427"/>
      <c r="BT39" s="427"/>
      <c r="BU39" s="427"/>
      <c r="BV39" s="427"/>
      <c r="BW39" s="427"/>
      <c r="BX39" s="427"/>
      <c r="BY39" s="427"/>
      <c r="BZ39" s="427"/>
      <c r="CA39" s="427"/>
      <c r="CB39" s="427"/>
      <c r="CC39" s="427"/>
      <c r="CD39" s="427"/>
      <c r="CE39" s="427"/>
      <c r="CF39" s="427"/>
      <c r="CG39" s="427"/>
      <c r="CH39" s="427"/>
      <c r="CI39" s="427"/>
      <c r="CJ39" s="427"/>
      <c r="CK39" s="427"/>
      <c r="CL39" s="431"/>
      <c r="CM39" s="387"/>
      <c r="CS39" s="413"/>
      <c r="DA39" s="426"/>
      <c r="DB39" s="427"/>
      <c r="DC39" s="427"/>
      <c r="DD39" s="427"/>
      <c r="DE39" s="427"/>
      <c r="DF39" s="427"/>
      <c r="DG39" s="427"/>
      <c r="DH39" s="427"/>
      <c r="DI39" s="427"/>
      <c r="DJ39" s="427"/>
      <c r="DK39" s="427"/>
      <c r="DL39" s="427"/>
      <c r="DM39" s="427"/>
      <c r="DN39" s="427"/>
      <c r="DO39" s="427"/>
      <c r="DP39" s="427"/>
      <c r="DQ39" s="427"/>
      <c r="DR39" s="427"/>
      <c r="DS39" s="427"/>
      <c r="DT39" s="427"/>
      <c r="DU39" s="427"/>
      <c r="DV39" s="427"/>
      <c r="DW39" s="427"/>
      <c r="DX39" s="427"/>
      <c r="DY39" s="427"/>
      <c r="DZ39" s="427"/>
      <c r="EA39" s="427"/>
      <c r="EB39" s="427"/>
      <c r="EC39" s="427"/>
      <c r="ED39" s="427"/>
      <c r="EE39" s="427"/>
      <c r="EF39" s="427"/>
      <c r="EG39" s="427"/>
      <c r="EH39" s="427"/>
      <c r="EI39" s="427"/>
      <c r="EJ39" s="427"/>
      <c r="EK39" s="427"/>
      <c r="EL39" s="431"/>
      <c r="EM39" s="387"/>
      <c r="ES39" s="413"/>
      <c r="FA39" s="426"/>
      <c r="FB39" s="427"/>
      <c r="FC39" s="427"/>
      <c r="FD39" s="427"/>
      <c r="FE39" s="427"/>
      <c r="FF39" s="427"/>
      <c r="FG39" s="427"/>
      <c r="FH39" s="427"/>
      <c r="FI39" s="427"/>
      <c r="FJ39" s="427"/>
      <c r="FK39" s="427"/>
      <c r="FL39" s="427"/>
      <c r="FM39" s="427"/>
      <c r="FN39" s="427"/>
      <c r="FO39" s="427"/>
      <c r="FP39" s="427"/>
      <c r="FQ39" s="427"/>
      <c r="FR39" s="427"/>
      <c r="FS39" s="427"/>
      <c r="FT39" s="427"/>
      <c r="FU39" s="427"/>
      <c r="FV39" s="427"/>
      <c r="FW39" s="427"/>
      <c r="FX39" s="427"/>
      <c r="FY39" s="427"/>
      <c r="FZ39" s="427"/>
      <c r="GA39" s="427"/>
      <c r="GB39" s="427"/>
      <c r="GC39" s="427"/>
      <c r="GD39" s="427"/>
      <c r="GE39" s="427"/>
      <c r="GF39" s="427"/>
      <c r="GG39" s="427"/>
      <c r="GH39" s="427"/>
      <c r="GI39" s="427"/>
      <c r="GJ39" s="427"/>
      <c r="GK39" s="427"/>
      <c r="GL39" s="431"/>
      <c r="GM39" s="387"/>
    </row>
    <row r="40" spans="1:200" ht="14.4" customHeight="1">
      <c r="A40" s="388" t="s">
        <v>3114</v>
      </c>
      <c r="B40" s="387"/>
      <c r="C40" s="387"/>
      <c r="D40" s="387"/>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415"/>
      <c r="AM40" s="387"/>
      <c r="AS40" s="413"/>
      <c r="BA40" s="388" t="s">
        <v>3114</v>
      </c>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387"/>
      <c r="BY40" s="387"/>
      <c r="BZ40" s="387"/>
      <c r="CA40" s="387"/>
      <c r="CB40" s="387"/>
      <c r="CC40" s="387"/>
      <c r="CD40" s="387"/>
      <c r="CE40" s="387"/>
      <c r="CF40" s="387"/>
      <c r="CG40" s="387"/>
      <c r="CH40" s="387"/>
      <c r="CI40" s="387"/>
      <c r="CJ40" s="387"/>
      <c r="CK40" s="387"/>
      <c r="CL40" s="415"/>
      <c r="CM40" s="387"/>
      <c r="CS40" s="413"/>
      <c r="DA40" s="388" t="s">
        <v>3114</v>
      </c>
      <c r="DB40" s="387"/>
      <c r="DC40" s="387"/>
      <c r="DD40" s="387"/>
      <c r="DE40" s="387"/>
      <c r="DF40" s="387"/>
      <c r="DG40" s="387"/>
      <c r="DH40" s="387"/>
      <c r="DI40" s="387"/>
      <c r="DJ40" s="387"/>
      <c r="DK40" s="387"/>
      <c r="DL40" s="387"/>
      <c r="DM40" s="387"/>
      <c r="DN40" s="387"/>
      <c r="DO40" s="387"/>
      <c r="DP40" s="387"/>
      <c r="DQ40" s="387"/>
      <c r="DR40" s="387"/>
      <c r="DS40" s="387"/>
      <c r="DT40" s="387"/>
      <c r="DU40" s="387"/>
      <c r="DV40" s="387"/>
      <c r="DW40" s="387"/>
      <c r="DX40" s="387"/>
      <c r="DY40" s="387"/>
      <c r="DZ40" s="387"/>
      <c r="EA40" s="387"/>
      <c r="EB40" s="387"/>
      <c r="EC40" s="387"/>
      <c r="ED40" s="387"/>
      <c r="EE40" s="387"/>
      <c r="EF40" s="387"/>
      <c r="EG40" s="387"/>
      <c r="EH40" s="387"/>
      <c r="EI40" s="387"/>
      <c r="EJ40" s="387"/>
      <c r="EK40" s="387"/>
      <c r="EL40" s="415"/>
      <c r="EM40" s="387"/>
      <c r="ES40" s="413"/>
      <c r="FA40" s="388" t="s">
        <v>3114</v>
      </c>
      <c r="FB40" s="387"/>
      <c r="FC40" s="387"/>
      <c r="FD40" s="387"/>
      <c r="FE40" s="387"/>
      <c r="FF40" s="387"/>
      <c r="FG40" s="387"/>
      <c r="FH40" s="387"/>
      <c r="FI40" s="387"/>
      <c r="FJ40" s="387"/>
      <c r="FK40" s="387"/>
      <c r="FL40" s="387"/>
      <c r="FM40" s="387"/>
      <c r="FN40" s="387"/>
      <c r="FO40" s="387"/>
      <c r="FP40" s="387"/>
      <c r="FQ40" s="387"/>
      <c r="FR40" s="387"/>
      <c r="FS40" s="387"/>
      <c r="FT40" s="387"/>
      <c r="FU40" s="387"/>
      <c r="FV40" s="387"/>
      <c r="FW40" s="387"/>
      <c r="FX40" s="387"/>
      <c r="FY40" s="387"/>
      <c r="FZ40" s="387"/>
      <c r="GA40" s="387"/>
      <c r="GB40" s="387"/>
      <c r="GC40" s="387"/>
      <c r="GD40" s="387"/>
      <c r="GE40" s="387"/>
      <c r="GF40" s="387"/>
      <c r="GG40" s="387"/>
      <c r="GH40" s="387"/>
      <c r="GI40" s="387"/>
      <c r="GJ40" s="387"/>
      <c r="GK40" s="387"/>
      <c r="GL40" s="415"/>
      <c r="GM40" s="387"/>
    </row>
    <row r="41" spans="1:200" ht="18" customHeight="1">
      <c r="A41" s="388"/>
      <c r="B41" s="1619" t="s">
        <v>3098</v>
      </c>
      <c r="C41" s="1620"/>
      <c r="D41" s="1620"/>
      <c r="E41" s="1620"/>
      <c r="F41" s="1620"/>
      <c r="G41" s="1620"/>
      <c r="H41" s="1620"/>
      <c r="I41" s="1620"/>
      <c r="J41" s="1688"/>
      <c r="K41" s="1689"/>
      <c r="L41" s="1689"/>
      <c r="M41" s="1689"/>
      <c r="N41" s="1689"/>
      <c r="O41" s="1689"/>
      <c r="P41" s="1690"/>
      <c r="Q41" s="446"/>
      <c r="R41" s="446"/>
      <c r="S41" s="446"/>
      <c r="T41" s="446"/>
      <c r="U41" s="446"/>
      <c r="V41" s="446"/>
      <c r="W41" s="446"/>
      <c r="X41" s="446"/>
      <c r="Y41" s="446"/>
      <c r="Z41" s="446"/>
      <c r="AA41" s="446"/>
      <c r="AB41" s="446"/>
      <c r="AC41" s="446"/>
      <c r="AD41" s="446"/>
      <c r="AE41" s="446"/>
      <c r="AF41" s="446"/>
      <c r="AG41" s="446"/>
      <c r="AH41" s="446"/>
      <c r="AI41" s="446"/>
      <c r="AJ41" s="387"/>
      <c r="AK41" s="387"/>
      <c r="AL41" s="415"/>
      <c r="AM41" s="447"/>
      <c r="AN41" s="448"/>
      <c r="AO41" s="448"/>
      <c r="AP41" s="448"/>
      <c r="AQ41" s="448"/>
      <c r="AR41" s="448"/>
      <c r="AS41" s="413"/>
      <c r="BA41" s="388"/>
      <c r="BB41" s="1619" t="s">
        <v>3098</v>
      </c>
      <c r="BC41" s="1620"/>
      <c r="BD41" s="1620"/>
      <c r="BE41" s="1620"/>
      <c r="BF41" s="1620"/>
      <c r="BG41" s="1620"/>
      <c r="BH41" s="1620"/>
      <c r="BI41" s="1620"/>
      <c r="BJ41" s="1688"/>
      <c r="BK41" s="1689"/>
      <c r="BL41" s="1689"/>
      <c r="BM41" s="1689"/>
      <c r="BN41" s="1689"/>
      <c r="BO41" s="1689"/>
      <c r="BP41" s="1690"/>
      <c r="BQ41" s="446"/>
      <c r="BR41" s="446"/>
      <c r="BS41" s="446"/>
      <c r="BT41" s="446"/>
      <c r="BU41" s="446"/>
      <c r="BV41" s="446"/>
      <c r="BW41" s="446"/>
      <c r="BX41" s="446"/>
      <c r="BY41" s="446"/>
      <c r="BZ41" s="446"/>
      <c r="CA41" s="446"/>
      <c r="CB41" s="446"/>
      <c r="CC41" s="446"/>
      <c r="CD41" s="446"/>
      <c r="CE41" s="446"/>
      <c r="CF41" s="446"/>
      <c r="CG41" s="446"/>
      <c r="CH41" s="446"/>
      <c r="CI41" s="446"/>
      <c r="CJ41" s="387"/>
      <c r="CK41" s="387"/>
      <c r="CL41" s="415"/>
      <c r="CM41" s="447"/>
      <c r="CN41" s="448"/>
      <c r="CO41" s="448"/>
      <c r="CP41" s="448"/>
      <c r="CQ41" s="448"/>
      <c r="CR41" s="448"/>
      <c r="CS41" s="413"/>
      <c r="DA41" s="388"/>
      <c r="DB41" s="1619" t="s">
        <v>3098</v>
      </c>
      <c r="DC41" s="1620"/>
      <c r="DD41" s="1620"/>
      <c r="DE41" s="1620"/>
      <c r="DF41" s="1620"/>
      <c r="DG41" s="1620"/>
      <c r="DH41" s="1620"/>
      <c r="DI41" s="1620"/>
      <c r="DJ41" s="1688"/>
      <c r="DK41" s="1689"/>
      <c r="DL41" s="1689"/>
      <c r="DM41" s="1689"/>
      <c r="DN41" s="1689"/>
      <c r="DO41" s="1689"/>
      <c r="DP41" s="1690"/>
      <c r="DQ41" s="446"/>
      <c r="DR41" s="446"/>
      <c r="DS41" s="446"/>
      <c r="DT41" s="446"/>
      <c r="DU41" s="446"/>
      <c r="DV41" s="446"/>
      <c r="DW41" s="446"/>
      <c r="DX41" s="446"/>
      <c r="DY41" s="446"/>
      <c r="DZ41" s="446"/>
      <c r="EA41" s="446"/>
      <c r="EB41" s="446"/>
      <c r="EC41" s="446"/>
      <c r="ED41" s="446"/>
      <c r="EE41" s="446"/>
      <c r="EF41" s="446"/>
      <c r="EG41" s="446"/>
      <c r="EH41" s="446"/>
      <c r="EI41" s="446"/>
      <c r="EJ41" s="387"/>
      <c r="EK41" s="387"/>
      <c r="EL41" s="415"/>
      <c r="EM41" s="447"/>
      <c r="EN41" s="448"/>
      <c r="EO41" s="448"/>
      <c r="EP41" s="448"/>
      <c r="EQ41" s="448"/>
      <c r="ER41" s="448"/>
      <c r="ES41" s="413"/>
      <c r="FA41" s="388"/>
      <c r="FB41" s="1619" t="s">
        <v>3098</v>
      </c>
      <c r="FC41" s="1620"/>
      <c r="FD41" s="1620"/>
      <c r="FE41" s="1620"/>
      <c r="FF41" s="1620"/>
      <c r="FG41" s="1620"/>
      <c r="FH41" s="1620"/>
      <c r="FI41" s="1620"/>
      <c r="FJ41" s="1688"/>
      <c r="FK41" s="1689"/>
      <c r="FL41" s="1689"/>
      <c r="FM41" s="1689"/>
      <c r="FN41" s="1689"/>
      <c r="FO41" s="1689"/>
      <c r="FP41" s="1690"/>
      <c r="FQ41" s="446"/>
      <c r="FR41" s="446"/>
      <c r="FS41" s="446"/>
      <c r="FT41" s="446"/>
      <c r="FU41" s="446"/>
      <c r="FV41" s="446"/>
      <c r="FW41" s="446"/>
      <c r="FX41" s="446"/>
      <c r="FY41" s="446"/>
      <c r="FZ41" s="446"/>
      <c r="GA41" s="446"/>
      <c r="GB41" s="446"/>
      <c r="GC41" s="446"/>
      <c r="GD41" s="446"/>
      <c r="GE41" s="446"/>
      <c r="GF41" s="446"/>
      <c r="GG41" s="446"/>
      <c r="GH41" s="446"/>
      <c r="GI41" s="446"/>
      <c r="GJ41" s="387"/>
      <c r="GK41" s="387"/>
      <c r="GL41" s="415"/>
      <c r="GM41" s="447"/>
      <c r="GN41" s="448"/>
      <c r="GO41" s="448"/>
      <c r="GP41" s="448"/>
      <c r="GQ41" s="448"/>
      <c r="GR41" s="448"/>
    </row>
    <row r="42" spans="1:200" ht="30.9" customHeight="1">
      <c r="A42" s="388"/>
      <c r="B42" s="1645" t="s">
        <v>3115</v>
      </c>
      <c r="C42" s="1666"/>
      <c r="D42" s="1666"/>
      <c r="E42" s="1666"/>
      <c r="F42" s="1666"/>
      <c r="G42" s="1666"/>
      <c r="H42" s="1666"/>
      <c r="I42" s="1672"/>
      <c r="J42" s="426"/>
      <c r="K42" s="420" t="s">
        <v>2825</v>
      </c>
      <c r="L42" s="420"/>
      <c r="M42" s="420"/>
      <c r="N42" s="420"/>
      <c r="O42" s="427"/>
      <c r="P42" s="416"/>
      <c r="Q42" s="449" t="s">
        <v>2826</v>
      </c>
      <c r="R42" s="407"/>
      <c r="S42" s="407"/>
      <c r="T42" s="427"/>
      <c r="U42" s="407"/>
      <c r="V42" s="407"/>
      <c r="W42" s="427"/>
      <c r="X42" s="407"/>
      <c r="Y42" s="407"/>
      <c r="Z42" s="431"/>
      <c r="AB42" s="387"/>
      <c r="AC42" s="387"/>
      <c r="AD42" s="387"/>
      <c r="AE42" s="387"/>
      <c r="AF42" s="387"/>
      <c r="AG42" s="387"/>
      <c r="AH42" s="387"/>
      <c r="AI42" s="387"/>
      <c r="AJ42" s="387"/>
      <c r="AK42" s="387"/>
      <c r="AL42" s="415"/>
      <c r="AM42" s="450"/>
      <c r="AN42" s="448" t="b">
        <v>0</v>
      </c>
      <c r="AO42" s="448" t="b">
        <v>0</v>
      </c>
      <c r="AP42" s="448"/>
      <c r="AQ42" s="448"/>
      <c r="AR42" s="448"/>
      <c r="AS42" s="413">
        <f>COUNTIF(AN42:AO42, TRUE)</f>
        <v>0</v>
      </c>
      <c r="AT42" s="414" t="str">
        <f>IF(AND($J41&lt;&gt;"",COUNTIF(AN42:AP42,TRUE)=0),"未入力です。",  IF(AND($J41&lt;&gt;"",COUNTIF(AN42:AP42,TRUE)&gt;1),"選択は1つまでです。",""))</f>
        <v/>
      </c>
      <c r="AU42" s="414"/>
      <c r="AV42" s="414"/>
      <c r="AW42" s="414"/>
      <c r="AX42" s="414"/>
      <c r="AY42" s="414"/>
      <c r="BA42" s="388"/>
      <c r="BB42" s="1645" t="s">
        <v>3115</v>
      </c>
      <c r="BC42" s="1666"/>
      <c r="BD42" s="1666"/>
      <c r="BE42" s="1666"/>
      <c r="BF42" s="1666"/>
      <c r="BG42" s="1666"/>
      <c r="BH42" s="1666"/>
      <c r="BI42" s="1672"/>
      <c r="BJ42" s="426"/>
      <c r="BK42" s="420" t="s">
        <v>2825</v>
      </c>
      <c r="BL42" s="420"/>
      <c r="BM42" s="420"/>
      <c r="BN42" s="420"/>
      <c r="BO42" s="427"/>
      <c r="BP42" s="416"/>
      <c r="BQ42" s="449" t="s">
        <v>2826</v>
      </c>
      <c r="BR42" s="407"/>
      <c r="BS42" s="407"/>
      <c r="BT42" s="427"/>
      <c r="BU42" s="407"/>
      <c r="BV42" s="407"/>
      <c r="BW42" s="427"/>
      <c r="BX42" s="407"/>
      <c r="BY42" s="407"/>
      <c r="BZ42" s="431"/>
      <c r="CB42" s="387"/>
      <c r="CC42" s="387"/>
      <c r="CD42" s="387"/>
      <c r="CE42" s="387"/>
      <c r="CF42" s="387"/>
      <c r="CG42" s="387"/>
      <c r="CH42" s="387"/>
      <c r="CI42" s="387"/>
      <c r="CJ42" s="387"/>
      <c r="CK42" s="387"/>
      <c r="CL42" s="415"/>
      <c r="CM42" s="450"/>
      <c r="CN42" s="448" t="b">
        <v>0</v>
      </c>
      <c r="CO42" s="448" t="b">
        <v>0</v>
      </c>
      <c r="CP42" s="448"/>
      <c r="CQ42" s="448"/>
      <c r="CR42" s="448"/>
      <c r="CS42" s="413">
        <f>COUNTIF(CN42:CO42, TRUE)</f>
        <v>0</v>
      </c>
      <c r="CT42" s="414" t="str">
        <f>IF(AND($J41&lt;&gt;"",COUNTIF(CN42:CP42,TRUE)=0),"未入力です。",  IF(AND($J41&lt;&gt;"",COUNTIF(CN42:CP42,TRUE)&gt;1),"選択は1つまでです。",""))</f>
        <v/>
      </c>
      <c r="CU42" s="414"/>
      <c r="CV42" s="414"/>
      <c r="CW42" s="414"/>
      <c r="CX42" s="414"/>
      <c r="CY42" s="414"/>
      <c r="DA42" s="388"/>
      <c r="DB42" s="1645" t="s">
        <v>3115</v>
      </c>
      <c r="DC42" s="1666"/>
      <c r="DD42" s="1666"/>
      <c r="DE42" s="1666"/>
      <c r="DF42" s="1666"/>
      <c r="DG42" s="1666"/>
      <c r="DH42" s="1666"/>
      <c r="DI42" s="1672"/>
      <c r="DJ42" s="426"/>
      <c r="DK42" s="420" t="s">
        <v>2825</v>
      </c>
      <c r="DL42" s="420"/>
      <c r="DM42" s="420"/>
      <c r="DN42" s="420"/>
      <c r="DO42" s="427"/>
      <c r="DP42" s="416"/>
      <c r="DQ42" s="449" t="s">
        <v>2826</v>
      </c>
      <c r="DR42" s="407"/>
      <c r="DS42" s="407"/>
      <c r="DT42" s="427"/>
      <c r="DU42" s="407"/>
      <c r="DV42" s="407"/>
      <c r="DW42" s="427"/>
      <c r="DX42" s="407"/>
      <c r="DY42" s="407"/>
      <c r="DZ42" s="431"/>
      <c r="EB42" s="387"/>
      <c r="EC42" s="387"/>
      <c r="ED42" s="387"/>
      <c r="EE42" s="387"/>
      <c r="EF42" s="387"/>
      <c r="EG42" s="387"/>
      <c r="EH42" s="387"/>
      <c r="EI42" s="387"/>
      <c r="EJ42" s="387"/>
      <c r="EK42" s="387"/>
      <c r="EL42" s="415"/>
      <c r="EM42" s="450"/>
      <c r="EN42" s="448" t="b">
        <v>0</v>
      </c>
      <c r="EO42" s="448" t="b">
        <v>0</v>
      </c>
      <c r="EP42" s="448"/>
      <c r="EQ42" s="448"/>
      <c r="ER42" s="448"/>
      <c r="ES42" s="413">
        <f>COUNTIF(EN42:EO42, TRUE)</f>
        <v>0</v>
      </c>
      <c r="ET42" s="414" t="str">
        <f>IF(AND($J41&lt;&gt;"",COUNTIF(EN42:EP42,TRUE)=0),"未入力です。",  IF(AND($J41&lt;&gt;"",COUNTIF(EN42:EP42,TRUE)&gt;1),"選択は1つまでです。",""))</f>
        <v/>
      </c>
      <c r="FA42" s="388"/>
      <c r="FB42" s="1645" t="s">
        <v>3115</v>
      </c>
      <c r="FC42" s="1666"/>
      <c r="FD42" s="1666"/>
      <c r="FE42" s="1666"/>
      <c r="FF42" s="1666"/>
      <c r="FG42" s="1666"/>
      <c r="FH42" s="1666"/>
      <c r="FI42" s="1672"/>
      <c r="FJ42" s="426"/>
      <c r="FK42" s="420" t="s">
        <v>2825</v>
      </c>
      <c r="FL42" s="420"/>
      <c r="FM42" s="420"/>
      <c r="FN42" s="420"/>
      <c r="FO42" s="427"/>
      <c r="FP42" s="416"/>
      <c r="FQ42" s="449" t="s">
        <v>2826</v>
      </c>
      <c r="FR42" s="407"/>
      <c r="FS42" s="407"/>
      <c r="FT42" s="427"/>
      <c r="FU42" s="407"/>
      <c r="FV42" s="407"/>
      <c r="FW42" s="427"/>
      <c r="FX42" s="407"/>
      <c r="FY42" s="407"/>
      <c r="FZ42" s="431"/>
      <c r="GB42" s="387"/>
      <c r="GC42" s="387"/>
      <c r="GD42" s="387"/>
      <c r="GE42" s="387"/>
      <c r="GF42" s="387"/>
      <c r="GG42" s="387"/>
      <c r="GH42" s="387"/>
      <c r="GI42" s="387"/>
      <c r="GJ42" s="387"/>
      <c r="GK42" s="387"/>
      <c r="GL42" s="415"/>
      <c r="GM42" s="450"/>
      <c r="GN42" s="448" t="b">
        <v>0</v>
      </c>
      <c r="GO42" s="448" t="b">
        <v>0</v>
      </c>
      <c r="GP42" s="448"/>
      <c r="GQ42" s="448"/>
      <c r="GR42" s="448"/>
    </row>
    <row r="43" spans="1:200" ht="17.100000000000001" customHeight="1">
      <c r="A43" s="388"/>
      <c r="B43" s="1684" t="s">
        <v>3116</v>
      </c>
      <c r="C43" s="1650"/>
      <c r="D43" s="1650"/>
      <c r="E43" s="1650"/>
      <c r="F43" s="1650"/>
      <c r="G43" s="1650"/>
      <c r="H43" s="1650"/>
      <c r="I43" s="1691"/>
      <c r="J43" s="426"/>
      <c r="K43" s="427" t="s">
        <v>3117</v>
      </c>
      <c r="L43" s="427"/>
      <c r="M43" s="427"/>
      <c r="N43" s="427"/>
      <c r="O43" s="427"/>
      <c r="P43" s="427"/>
      <c r="Q43" s="427"/>
      <c r="R43" s="427"/>
      <c r="S43" s="1646" t="s">
        <v>2827</v>
      </c>
      <c r="T43" s="1646"/>
      <c r="U43" s="1646"/>
      <c r="V43" s="1646"/>
      <c r="W43" s="1646"/>
      <c r="X43" s="427"/>
      <c r="Y43" s="427"/>
      <c r="Z43" s="1646" t="s">
        <v>2828</v>
      </c>
      <c r="AA43" s="1646"/>
      <c r="AB43" s="1646"/>
      <c r="AC43" s="1646"/>
      <c r="AD43" s="1646"/>
      <c r="AE43" s="1646"/>
      <c r="AF43" s="1646"/>
      <c r="AG43" s="1646"/>
      <c r="AH43" s="1646"/>
      <c r="AI43" s="1693"/>
      <c r="AJ43" s="387"/>
      <c r="AK43" s="387"/>
      <c r="AL43" s="415"/>
      <c r="AM43" s="447" t="str">
        <f>IF(AND($I45&lt;&gt;"",COUNTIF(AN43:AP44,TRUE)=0),"未入力",  IF(AND($I45&lt;&gt;"",COUNTIF(AN43:AP44,TRUE)&gt;1),"複数選択",""))</f>
        <v/>
      </c>
      <c r="AN43" s="451" t="b">
        <v>0</v>
      </c>
      <c r="AO43" s="451" t="b">
        <v>0</v>
      </c>
      <c r="AP43" s="451" t="b">
        <v>0</v>
      </c>
      <c r="AQ43" s="451"/>
      <c r="AR43" s="451"/>
      <c r="AS43" s="413">
        <f>COUNTIF(AN43:AP43, TRUE)</f>
        <v>0</v>
      </c>
      <c r="AT43" s="414" t="str">
        <f>IF(AND($J$41&lt;&gt;"",COUNTIF(AN43:AP44,TRUE)=0),"未入力です。",  IF(AND($J$41&lt;&gt;"",COUNTIF(AN43:AP44,TRUE)&gt;1),"選択は1つまでです。",""))</f>
        <v/>
      </c>
      <c r="AU43" s="414"/>
      <c r="AV43" s="414"/>
      <c r="AW43" s="414"/>
      <c r="AX43" s="414"/>
      <c r="AY43" s="414"/>
      <c r="BA43" s="388"/>
      <c r="BB43" s="1684" t="s">
        <v>3116</v>
      </c>
      <c r="BC43" s="1650"/>
      <c r="BD43" s="1650"/>
      <c r="BE43" s="1650"/>
      <c r="BF43" s="1650"/>
      <c r="BG43" s="1650"/>
      <c r="BH43" s="1650"/>
      <c r="BI43" s="1691"/>
      <c r="BJ43" s="426"/>
      <c r="BK43" s="427" t="s">
        <v>3117</v>
      </c>
      <c r="BL43" s="427"/>
      <c r="BM43" s="427"/>
      <c r="BN43" s="427"/>
      <c r="BO43" s="427"/>
      <c r="BP43" s="427"/>
      <c r="BQ43" s="427"/>
      <c r="BR43" s="427"/>
      <c r="BS43" s="1646" t="s">
        <v>2827</v>
      </c>
      <c r="BT43" s="1646"/>
      <c r="BU43" s="1646"/>
      <c r="BV43" s="1646"/>
      <c r="BW43" s="1646"/>
      <c r="BX43" s="427"/>
      <c r="BY43" s="427"/>
      <c r="BZ43" s="1646" t="s">
        <v>2828</v>
      </c>
      <c r="CA43" s="1646"/>
      <c r="CB43" s="1646"/>
      <c r="CC43" s="1646"/>
      <c r="CD43" s="1646"/>
      <c r="CE43" s="1646"/>
      <c r="CF43" s="1646"/>
      <c r="CG43" s="1646"/>
      <c r="CH43" s="1646"/>
      <c r="CI43" s="1693"/>
      <c r="CJ43" s="387"/>
      <c r="CK43" s="387"/>
      <c r="CL43" s="415"/>
      <c r="CM43" s="447" t="str">
        <f>IF(AND($I45&lt;&gt;"",COUNTIF(CN43:CP44,TRUE)=0),"未入力",  IF(AND($I45&lt;&gt;"",COUNTIF(CN43:CP44,TRUE)&gt;1),"複数選択",""))</f>
        <v/>
      </c>
      <c r="CN43" s="451" t="b">
        <v>0</v>
      </c>
      <c r="CO43" s="451" t="b">
        <v>0</v>
      </c>
      <c r="CP43" s="451" t="b">
        <v>0</v>
      </c>
      <c r="CQ43" s="451"/>
      <c r="CR43" s="451"/>
      <c r="CS43" s="413">
        <f>COUNTIF(CN43:CP43, TRUE)</f>
        <v>0</v>
      </c>
      <c r="CT43" s="414" t="str">
        <f>IF(AND($J$41&lt;&gt;"",COUNTIF(CN43:CP44,TRUE)=0),"未入力です。",  IF(AND($J$41&lt;&gt;"",COUNTIF(CN43:CP44,TRUE)&gt;1),"選択は1つまでです。",""))</f>
        <v/>
      </c>
      <c r="CU43" s="414"/>
      <c r="CV43" s="414"/>
      <c r="CW43" s="414"/>
      <c r="CX43" s="414"/>
      <c r="CY43" s="414"/>
      <c r="DA43" s="388"/>
      <c r="DB43" s="1684" t="s">
        <v>3116</v>
      </c>
      <c r="DC43" s="1650"/>
      <c r="DD43" s="1650"/>
      <c r="DE43" s="1650"/>
      <c r="DF43" s="1650"/>
      <c r="DG43" s="1650"/>
      <c r="DH43" s="1650"/>
      <c r="DI43" s="1691"/>
      <c r="DJ43" s="426"/>
      <c r="DK43" s="427" t="s">
        <v>3117</v>
      </c>
      <c r="DL43" s="427"/>
      <c r="DM43" s="427"/>
      <c r="DN43" s="427"/>
      <c r="DO43" s="427"/>
      <c r="DP43" s="427"/>
      <c r="DQ43" s="427"/>
      <c r="DR43" s="427"/>
      <c r="DS43" s="1646" t="s">
        <v>2827</v>
      </c>
      <c r="DT43" s="1646"/>
      <c r="DU43" s="1646"/>
      <c r="DV43" s="1646"/>
      <c r="DW43" s="1646"/>
      <c r="DX43" s="427"/>
      <c r="DY43" s="427"/>
      <c r="DZ43" s="1646" t="s">
        <v>2828</v>
      </c>
      <c r="EA43" s="1646"/>
      <c r="EB43" s="1646"/>
      <c r="EC43" s="1646"/>
      <c r="ED43" s="1646"/>
      <c r="EE43" s="1646"/>
      <c r="EF43" s="1646"/>
      <c r="EG43" s="1646"/>
      <c r="EH43" s="1646"/>
      <c r="EI43" s="1693"/>
      <c r="EJ43" s="387"/>
      <c r="EK43" s="387"/>
      <c r="EL43" s="415"/>
      <c r="EM43" s="447" t="str">
        <f>IF(AND($I45&lt;&gt;"",COUNTIF(EN43:EP44,TRUE)=0),"未入力",  IF(AND($I45&lt;&gt;"",COUNTIF(EN43:EP44,TRUE)&gt;1),"複数選択",""))</f>
        <v/>
      </c>
      <c r="EN43" s="448" t="b">
        <v>0</v>
      </c>
      <c r="EO43" s="448" t="b">
        <v>0</v>
      </c>
      <c r="EP43" s="451" t="b">
        <v>0</v>
      </c>
      <c r="EQ43" s="451"/>
      <c r="ER43" s="451"/>
      <c r="ES43" s="413">
        <f>COUNTIF(EN43:EP43, TRUE)</f>
        <v>0</v>
      </c>
      <c r="ET43" s="414" t="str">
        <f>IF(AND($J$41&lt;&gt;"",COUNTIF(EN43:EP44,TRUE)=0),"未入力です。",  IF(AND($J$41&lt;&gt;"",COUNTIF(EN43:EP44,TRUE)&gt;1),"選択は1つまでです。",""))</f>
        <v/>
      </c>
      <c r="FA43" s="388"/>
      <c r="FB43" s="1684" t="s">
        <v>3116</v>
      </c>
      <c r="FC43" s="1650"/>
      <c r="FD43" s="1650"/>
      <c r="FE43" s="1650"/>
      <c r="FF43" s="1650"/>
      <c r="FG43" s="1650"/>
      <c r="FH43" s="1650"/>
      <c r="FI43" s="1691"/>
      <c r="FJ43" s="426"/>
      <c r="FK43" s="427" t="s">
        <v>3117</v>
      </c>
      <c r="FL43" s="427"/>
      <c r="FM43" s="427"/>
      <c r="FN43" s="427"/>
      <c r="FO43" s="427"/>
      <c r="FP43" s="427"/>
      <c r="FQ43" s="427"/>
      <c r="FR43" s="427"/>
      <c r="FS43" s="1646" t="s">
        <v>2827</v>
      </c>
      <c r="FT43" s="1646"/>
      <c r="FU43" s="1646"/>
      <c r="FV43" s="1646"/>
      <c r="FW43" s="1646"/>
      <c r="FX43" s="427"/>
      <c r="FY43" s="427"/>
      <c r="FZ43" s="1646" t="s">
        <v>2828</v>
      </c>
      <c r="GA43" s="1646"/>
      <c r="GB43" s="1646"/>
      <c r="GC43" s="1646"/>
      <c r="GD43" s="1646"/>
      <c r="GE43" s="1646"/>
      <c r="GF43" s="1646"/>
      <c r="GG43" s="1646"/>
      <c r="GH43" s="1646"/>
      <c r="GI43" s="1693"/>
      <c r="GJ43" s="387"/>
      <c r="GK43" s="387"/>
      <c r="GL43" s="415"/>
      <c r="GM43" s="447" t="str">
        <f>IF(AND($I45&lt;&gt;"",COUNTIF(GN43:GP44,TRUE)=0),"未入力",  IF(AND($I45&lt;&gt;"",COUNTIF(GN43:GP44,TRUE)&gt;1),"複数選択",""))</f>
        <v/>
      </c>
      <c r="GN43" s="448" t="b">
        <v>0</v>
      </c>
      <c r="GO43" s="448" t="b">
        <v>0</v>
      </c>
      <c r="GP43" s="451" t="b">
        <v>0</v>
      </c>
      <c r="GQ43" s="451"/>
      <c r="GR43" s="451"/>
    </row>
    <row r="44" spans="1:200" ht="17.100000000000001" customHeight="1">
      <c r="A44" s="388"/>
      <c r="B44" s="1685"/>
      <c r="C44" s="1686"/>
      <c r="D44" s="1686"/>
      <c r="E44" s="1686"/>
      <c r="F44" s="1686"/>
      <c r="G44" s="1686"/>
      <c r="H44" s="1686"/>
      <c r="I44" s="1692"/>
      <c r="J44" s="433"/>
      <c r="K44" s="1648" t="s">
        <v>2829</v>
      </c>
      <c r="L44" s="1648"/>
      <c r="M44" s="1648"/>
      <c r="N44" s="1648"/>
      <c r="O44" s="1648"/>
      <c r="P44" s="1648"/>
      <c r="Q44" s="1648"/>
      <c r="R44" s="1648"/>
      <c r="S44" s="443"/>
      <c r="T44" s="443"/>
      <c r="U44" s="1648" t="s">
        <v>2830</v>
      </c>
      <c r="V44" s="1648"/>
      <c r="W44" s="1648"/>
      <c r="X44" s="1648"/>
      <c r="Y44" s="443"/>
      <c r="Z44" s="443"/>
      <c r="AA44" s="443"/>
      <c r="AB44" s="443"/>
      <c r="AC44" s="443"/>
      <c r="AD44" s="443"/>
      <c r="AE44" s="443"/>
      <c r="AF44" s="443"/>
      <c r="AG44" s="443"/>
      <c r="AH44" s="443"/>
      <c r="AI44" s="437"/>
      <c r="AJ44" s="387"/>
      <c r="AK44" s="387"/>
      <c r="AL44" s="415"/>
      <c r="AM44" s="447"/>
      <c r="AN44" s="451" t="b">
        <v>0</v>
      </c>
      <c r="AO44" s="451" t="b">
        <v>0</v>
      </c>
      <c r="AP44" s="451"/>
      <c r="AQ44" s="451"/>
      <c r="AR44" s="451"/>
      <c r="AS44" s="413">
        <f>COUNTIF(AN44:AO44, TRUE)</f>
        <v>0</v>
      </c>
      <c r="BA44" s="388"/>
      <c r="BB44" s="1685"/>
      <c r="BC44" s="1686"/>
      <c r="BD44" s="1686"/>
      <c r="BE44" s="1686"/>
      <c r="BF44" s="1686"/>
      <c r="BG44" s="1686"/>
      <c r="BH44" s="1686"/>
      <c r="BI44" s="1692"/>
      <c r="BJ44" s="433"/>
      <c r="BK44" s="1648" t="s">
        <v>2829</v>
      </c>
      <c r="BL44" s="1648"/>
      <c r="BM44" s="1648"/>
      <c r="BN44" s="1648"/>
      <c r="BO44" s="1648"/>
      <c r="BP44" s="1648"/>
      <c r="BQ44" s="1648"/>
      <c r="BR44" s="1648"/>
      <c r="BS44" s="443"/>
      <c r="BT44" s="443"/>
      <c r="BU44" s="1648" t="s">
        <v>2830</v>
      </c>
      <c r="BV44" s="1648"/>
      <c r="BW44" s="1648"/>
      <c r="BX44" s="1648"/>
      <c r="BY44" s="443"/>
      <c r="BZ44" s="443"/>
      <c r="CA44" s="443"/>
      <c r="CB44" s="443"/>
      <c r="CC44" s="443"/>
      <c r="CD44" s="443"/>
      <c r="CE44" s="443"/>
      <c r="CF44" s="443"/>
      <c r="CG44" s="443"/>
      <c r="CH44" s="443"/>
      <c r="CI44" s="437"/>
      <c r="CJ44" s="387"/>
      <c r="CK44" s="387"/>
      <c r="CL44" s="415"/>
      <c r="CM44" s="447"/>
      <c r="CN44" s="451" t="b">
        <v>0</v>
      </c>
      <c r="CO44" s="451" t="b">
        <v>0</v>
      </c>
      <c r="CP44" s="451"/>
      <c r="CQ44" s="451"/>
      <c r="CR44" s="451"/>
      <c r="CS44" s="413">
        <f>COUNTIF(CN44:CO44, TRUE)</f>
        <v>0</v>
      </c>
      <c r="DA44" s="388"/>
      <c r="DB44" s="1685"/>
      <c r="DC44" s="1686"/>
      <c r="DD44" s="1686"/>
      <c r="DE44" s="1686"/>
      <c r="DF44" s="1686"/>
      <c r="DG44" s="1686"/>
      <c r="DH44" s="1686"/>
      <c r="DI44" s="1692"/>
      <c r="DJ44" s="433"/>
      <c r="DK44" s="1648" t="s">
        <v>2829</v>
      </c>
      <c r="DL44" s="1648"/>
      <c r="DM44" s="1648"/>
      <c r="DN44" s="1648"/>
      <c r="DO44" s="1648"/>
      <c r="DP44" s="1648"/>
      <c r="DQ44" s="1648"/>
      <c r="DR44" s="1648"/>
      <c r="DS44" s="443"/>
      <c r="DT44" s="443"/>
      <c r="DU44" s="1648" t="s">
        <v>2830</v>
      </c>
      <c r="DV44" s="1648"/>
      <c r="DW44" s="1648"/>
      <c r="DX44" s="1648"/>
      <c r="DY44" s="443"/>
      <c r="DZ44" s="443"/>
      <c r="EA44" s="443"/>
      <c r="EB44" s="443"/>
      <c r="EC44" s="443"/>
      <c r="ED44" s="443"/>
      <c r="EE44" s="443"/>
      <c r="EF44" s="443"/>
      <c r="EG44" s="443"/>
      <c r="EH44" s="443"/>
      <c r="EI44" s="437"/>
      <c r="EJ44" s="387"/>
      <c r="EK44" s="387"/>
      <c r="EL44" s="415"/>
      <c r="EM44" s="447"/>
      <c r="EN44" s="448" t="b">
        <v>0</v>
      </c>
      <c r="EO44" s="448" t="b">
        <v>0</v>
      </c>
      <c r="EP44" s="451"/>
      <c r="EQ44" s="451"/>
      <c r="ER44" s="451"/>
      <c r="ES44" s="413">
        <f>COUNTIF(EN44:EO44, TRUE)</f>
        <v>0</v>
      </c>
      <c r="FA44" s="388"/>
      <c r="FB44" s="1685"/>
      <c r="FC44" s="1686"/>
      <c r="FD44" s="1686"/>
      <c r="FE44" s="1686"/>
      <c r="FF44" s="1686"/>
      <c r="FG44" s="1686"/>
      <c r="FH44" s="1686"/>
      <c r="FI44" s="1692"/>
      <c r="FJ44" s="433"/>
      <c r="FK44" s="1648" t="s">
        <v>2829</v>
      </c>
      <c r="FL44" s="1648"/>
      <c r="FM44" s="1648"/>
      <c r="FN44" s="1648"/>
      <c r="FO44" s="1648"/>
      <c r="FP44" s="1648"/>
      <c r="FQ44" s="1648"/>
      <c r="FR44" s="1648"/>
      <c r="FS44" s="443"/>
      <c r="FT44" s="443"/>
      <c r="FU44" s="1648" t="s">
        <v>2830</v>
      </c>
      <c r="FV44" s="1648"/>
      <c r="FW44" s="1648"/>
      <c r="FX44" s="1648"/>
      <c r="FY44" s="443"/>
      <c r="FZ44" s="443"/>
      <c r="GA44" s="443"/>
      <c r="GB44" s="443"/>
      <c r="GC44" s="443"/>
      <c r="GD44" s="443"/>
      <c r="GE44" s="443"/>
      <c r="GF44" s="443"/>
      <c r="GG44" s="443"/>
      <c r="GH44" s="443"/>
      <c r="GI44" s="437"/>
      <c r="GJ44" s="387"/>
      <c r="GK44" s="387"/>
      <c r="GL44" s="415"/>
      <c r="GM44" s="447"/>
      <c r="GN44" s="448" t="b">
        <v>0</v>
      </c>
      <c r="GO44" s="448" t="b">
        <v>0</v>
      </c>
      <c r="GP44" s="451"/>
      <c r="GQ44" s="451"/>
      <c r="GR44" s="451"/>
    </row>
    <row r="45" spans="1:200" ht="17.100000000000001" customHeight="1">
      <c r="A45" s="388"/>
      <c r="B45" s="1663" t="s">
        <v>3118</v>
      </c>
      <c r="C45" s="1664"/>
      <c r="D45" s="1664"/>
      <c r="E45" s="1664"/>
      <c r="F45" s="1664"/>
      <c r="G45" s="1664"/>
      <c r="H45" s="1664"/>
      <c r="I45" s="1694"/>
      <c r="J45" s="410"/>
      <c r="K45" s="1620" t="s">
        <v>3119</v>
      </c>
      <c r="L45" s="1620"/>
      <c r="M45" s="1620"/>
      <c r="N45" s="1620"/>
      <c r="O45" s="1620"/>
      <c r="P45" s="452"/>
      <c r="Q45" s="411"/>
      <c r="R45" s="1664" t="s">
        <v>3120</v>
      </c>
      <c r="S45" s="1664"/>
      <c r="T45" s="1664"/>
      <c r="U45" s="1664"/>
      <c r="V45" s="1664"/>
      <c r="W45" s="1664"/>
      <c r="X45" s="411"/>
      <c r="Y45" s="1620" t="s">
        <v>3121</v>
      </c>
      <c r="Z45" s="1620"/>
      <c r="AA45" s="1620"/>
      <c r="AB45" s="1620"/>
      <c r="AC45" s="1620"/>
      <c r="AD45" s="1621"/>
      <c r="AE45" s="387"/>
      <c r="AF45" s="387"/>
      <c r="AG45" s="387"/>
      <c r="AH45" s="387"/>
      <c r="AJ45" s="387"/>
      <c r="AK45" s="387"/>
      <c r="AL45" s="415"/>
      <c r="AM45" s="447" t="str">
        <f>IF(AND($I45&lt;&gt;"",COUNTIF(AN45:AP46,TRUE)=0),"未入力",  IF(AND($I45&lt;&gt;"",COUNTIF(AN45:AP46,TRUE)&gt;1),"複数選択",""))</f>
        <v/>
      </c>
      <c r="AN45" s="451" t="b">
        <v>0</v>
      </c>
      <c r="AO45" s="451" t="b">
        <v>0</v>
      </c>
      <c r="AP45" s="451" t="b">
        <v>0</v>
      </c>
      <c r="AQ45" s="451"/>
      <c r="AR45" s="451"/>
      <c r="AS45" s="413">
        <f>COUNTIF(AN45:AP45, TRUE)</f>
        <v>0</v>
      </c>
      <c r="AT45" s="414" t="str">
        <f>IF(AND($J$41&lt;&gt;"",COUNTIF(AN45:AP45,TRUE)=0),"未入力です。",  IF(AND($J$41&lt;&gt;"",COUNTIF(AN45:AP45,TRUE)&gt;1),"選択は1つまでです。",""))</f>
        <v/>
      </c>
      <c r="AU45" s="414"/>
      <c r="AV45" s="414"/>
      <c r="AW45" s="414"/>
      <c r="AX45" s="414"/>
      <c r="AY45" s="414"/>
      <c r="BA45" s="388"/>
      <c r="BB45" s="1663" t="s">
        <v>3118</v>
      </c>
      <c r="BC45" s="1664"/>
      <c r="BD45" s="1664"/>
      <c r="BE45" s="1664"/>
      <c r="BF45" s="1664"/>
      <c r="BG45" s="1664"/>
      <c r="BH45" s="1664"/>
      <c r="BI45" s="1694"/>
      <c r="BJ45" s="410"/>
      <c r="BK45" s="1620" t="s">
        <v>3119</v>
      </c>
      <c r="BL45" s="1620"/>
      <c r="BM45" s="1620"/>
      <c r="BN45" s="1620"/>
      <c r="BO45" s="1620"/>
      <c r="BP45" s="452"/>
      <c r="BQ45" s="411"/>
      <c r="BR45" s="1664" t="s">
        <v>3120</v>
      </c>
      <c r="BS45" s="1664"/>
      <c r="BT45" s="1664"/>
      <c r="BU45" s="1664"/>
      <c r="BV45" s="1664"/>
      <c r="BW45" s="1664"/>
      <c r="BX45" s="411"/>
      <c r="BY45" s="1620" t="s">
        <v>3121</v>
      </c>
      <c r="BZ45" s="1620"/>
      <c r="CA45" s="1620"/>
      <c r="CB45" s="1620"/>
      <c r="CC45" s="1620"/>
      <c r="CD45" s="1621"/>
      <c r="CE45" s="387"/>
      <c r="CF45" s="387"/>
      <c r="CG45" s="387"/>
      <c r="CH45" s="387"/>
      <c r="CJ45" s="387"/>
      <c r="CK45" s="387"/>
      <c r="CL45" s="415"/>
      <c r="CM45" s="447" t="str">
        <f>IF(AND($I45&lt;&gt;"",COUNTIF(CN45:CP46,TRUE)=0),"未入力",  IF(AND($I45&lt;&gt;"",COUNTIF(CN45:CP46,TRUE)&gt;1),"複数選択",""))</f>
        <v/>
      </c>
      <c r="CN45" s="451" t="b">
        <v>0</v>
      </c>
      <c r="CO45" s="451" t="b">
        <v>0</v>
      </c>
      <c r="CP45" s="451" t="b">
        <v>0</v>
      </c>
      <c r="CQ45" s="451"/>
      <c r="CR45" s="451"/>
      <c r="CS45" s="413">
        <f>COUNTIF(CN45:CP45, TRUE)</f>
        <v>0</v>
      </c>
      <c r="CT45" s="414" t="str">
        <f>IF(AND($J$41&lt;&gt;"",COUNTIF(CN45:CP45,TRUE)=0),"未入力です。",  IF(AND($J$41&lt;&gt;"",COUNTIF(CN45:CP45,TRUE)&gt;1),"選択は1つまでです。",""))</f>
        <v/>
      </c>
      <c r="CU45" s="414"/>
      <c r="CV45" s="414"/>
      <c r="CW45" s="414"/>
      <c r="CX45" s="414"/>
      <c r="CY45" s="414"/>
      <c r="DA45" s="388"/>
      <c r="DB45" s="1663" t="s">
        <v>3118</v>
      </c>
      <c r="DC45" s="1664"/>
      <c r="DD45" s="1664"/>
      <c r="DE45" s="1664"/>
      <c r="DF45" s="1664"/>
      <c r="DG45" s="1664"/>
      <c r="DH45" s="1664"/>
      <c r="DI45" s="1694"/>
      <c r="DJ45" s="410"/>
      <c r="DK45" s="1620" t="s">
        <v>3119</v>
      </c>
      <c r="DL45" s="1620"/>
      <c r="DM45" s="1620"/>
      <c r="DN45" s="1620"/>
      <c r="DO45" s="1620"/>
      <c r="DP45" s="452"/>
      <c r="DQ45" s="411"/>
      <c r="DR45" s="1664" t="s">
        <v>3120</v>
      </c>
      <c r="DS45" s="1664"/>
      <c r="DT45" s="1664"/>
      <c r="DU45" s="1664"/>
      <c r="DV45" s="1664"/>
      <c r="DW45" s="1664"/>
      <c r="DX45" s="411"/>
      <c r="DY45" s="1620" t="s">
        <v>3121</v>
      </c>
      <c r="DZ45" s="1620"/>
      <c r="EA45" s="1620"/>
      <c r="EB45" s="1620"/>
      <c r="EC45" s="1620"/>
      <c r="ED45" s="1621"/>
      <c r="EE45" s="387"/>
      <c r="EF45" s="387"/>
      <c r="EG45" s="387"/>
      <c r="EH45" s="387"/>
      <c r="EJ45" s="387"/>
      <c r="EK45" s="387"/>
      <c r="EL45" s="415"/>
      <c r="EM45" s="447" t="str">
        <f>IF(AND($I45&lt;&gt;"",COUNTIF(EN45:EP46,TRUE)=0),"未入力",  IF(AND($I45&lt;&gt;"",COUNTIF(EN45:EP46,TRUE)&gt;1),"複数選択",""))</f>
        <v/>
      </c>
      <c r="EN45" s="448" t="b">
        <v>0</v>
      </c>
      <c r="EO45" s="448" t="b">
        <v>0</v>
      </c>
      <c r="EP45" s="451" t="b">
        <v>0</v>
      </c>
      <c r="EQ45" s="451"/>
      <c r="ER45" s="451"/>
      <c r="ES45" s="413">
        <f>COUNTIF(EN45:EP45, TRUE)</f>
        <v>0</v>
      </c>
      <c r="ET45" s="414" t="str">
        <f>IF(AND($J$41&lt;&gt;"",COUNTIF(EN45:EP45,TRUE)=0),"未入力です。",  IF(AND($J$41&lt;&gt;"",COUNTIF(EN45:EP45,TRUE)&gt;1),"選択は1つまでです。",""))</f>
        <v/>
      </c>
      <c r="FA45" s="388"/>
      <c r="FB45" s="1663" t="s">
        <v>3118</v>
      </c>
      <c r="FC45" s="1664"/>
      <c r="FD45" s="1664"/>
      <c r="FE45" s="1664"/>
      <c r="FF45" s="1664"/>
      <c r="FG45" s="1664"/>
      <c r="FH45" s="1664"/>
      <c r="FI45" s="1694"/>
      <c r="FJ45" s="410"/>
      <c r="FK45" s="1620" t="s">
        <v>3119</v>
      </c>
      <c r="FL45" s="1620"/>
      <c r="FM45" s="1620"/>
      <c r="FN45" s="1620"/>
      <c r="FO45" s="1620"/>
      <c r="FP45" s="452"/>
      <c r="FQ45" s="411"/>
      <c r="FR45" s="1664" t="s">
        <v>3120</v>
      </c>
      <c r="FS45" s="1664"/>
      <c r="FT45" s="1664"/>
      <c r="FU45" s="1664"/>
      <c r="FV45" s="1664"/>
      <c r="FW45" s="1664"/>
      <c r="FX45" s="411"/>
      <c r="FY45" s="1620" t="s">
        <v>3121</v>
      </c>
      <c r="FZ45" s="1620"/>
      <c r="GA45" s="1620"/>
      <c r="GB45" s="1620"/>
      <c r="GC45" s="1620"/>
      <c r="GD45" s="1621"/>
      <c r="GE45" s="387"/>
      <c r="GF45" s="387"/>
      <c r="GG45" s="387"/>
      <c r="GH45" s="387"/>
      <c r="GJ45" s="387"/>
      <c r="GK45" s="387"/>
      <c r="GL45" s="415"/>
      <c r="GM45" s="447" t="str">
        <f>IF(AND($I45&lt;&gt;"",COUNTIF(GN45:GP46,TRUE)=0),"未入力",  IF(AND($I45&lt;&gt;"",COUNTIF(GN45:GP46,TRUE)&gt;1),"複数選択",""))</f>
        <v/>
      </c>
      <c r="GN45" s="448" t="b">
        <v>0</v>
      </c>
      <c r="GO45" s="448" t="b">
        <v>0</v>
      </c>
      <c r="GP45" s="451" t="b">
        <v>0</v>
      </c>
      <c r="GQ45" s="451"/>
      <c r="GR45" s="451"/>
    </row>
    <row r="46" spans="1:200" ht="17.100000000000001" customHeight="1">
      <c r="A46" s="388"/>
      <c r="B46" s="1619" t="s">
        <v>3122</v>
      </c>
      <c r="C46" s="1620"/>
      <c r="D46" s="1620"/>
      <c r="E46" s="1620"/>
      <c r="F46" s="1620"/>
      <c r="G46" s="1620"/>
      <c r="H46" s="1620"/>
      <c r="I46" s="1621"/>
      <c r="J46" s="410"/>
      <c r="K46" s="1620" t="s">
        <v>3123</v>
      </c>
      <c r="L46" s="1620"/>
      <c r="M46" s="1620"/>
      <c r="N46" s="1620"/>
      <c r="O46" s="1620"/>
      <c r="P46" s="452"/>
      <c r="Q46" s="411"/>
      <c r="R46" s="1620" t="s">
        <v>3124</v>
      </c>
      <c r="S46" s="1620"/>
      <c r="T46" s="1620"/>
      <c r="U46" s="1620"/>
      <c r="V46" s="1620"/>
      <c r="W46" s="1620"/>
      <c r="X46" s="411"/>
      <c r="Y46" s="1664" t="s">
        <v>3125</v>
      </c>
      <c r="Z46" s="1664"/>
      <c r="AA46" s="1664"/>
      <c r="AB46" s="1664"/>
      <c r="AC46" s="1664"/>
      <c r="AD46" s="1694"/>
      <c r="AE46" s="387"/>
      <c r="AF46" s="387"/>
      <c r="AG46" s="387"/>
      <c r="AH46" s="387"/>
      <c r="AJ46" s="387"/>
      <c r="AK46" s="387"/>
      <c r="AL46" s="415"/>
      <c r="AM46" s="447"/>
      <c r="AN46" s="451" t="b">
        <v>0</v>
      </c>
      <c r="AO46" s="451" t="b">
        <v>0</v>
      </c>
      <c r="AP46" s="451" t="b">
        <v>0</v>
      </c>
      <c r="AQ46" s="451"/>
      <c r="AR46" s="451"/>
      <c r="AS46" s="413">
        <f>COUNTIF(AN46:AP46, TRUE)</f>
        <v>0</v>
      </c>
      <c r="AT46" s="414" t="str">
        <f>IF(AND(AND(J7&gt;=30,J7&lt;&gt;"01",J7&lt;&gt;"02"),AP46=FALSE,J41&lt;&gt;""),"【５．主要用途】が産業専用建築物の場合、住宅の種類は（３）のみです",IF(AND($J$41&lt;&gt;"",COUNTIF(AN46:AP46,TRUE)=0),"未入力です。",  IF(AND($J$41&lt;&gt;"",COUNTIF(AN46:AP46,TRUE)&gt;1),"選択は1つまでです。","")))</f>
        <v/>
      </c>
      <c r="AU46" s="414"/>
      <c r="AV46" s="414"/>
      <c r="AW46" s="414"/>
      <c r="AX46" s="414"/>
      <c r="AY46" s="414"/>
      <c r="BA46" s="388"/>
      <c r="BB46" s="1619" t="s">
        <v>3122</v>
      </c>
      <c r="BC46" s="1620"/>
      <c r="BD46" s="1620"/>
      <c r="BE46" s="1620"/>
      <c r="BF46" s="1620"/>
      <c r="BG46" s="1620"/>
      <c r="BH46" s="1620"/>
      <c r="BI46" s="1621"/>
      <c r="BJ46" s="410"/>
      <c r="BK46" s="1620" t="s">
        <v>3123</v>
      </c>
      <c r="BL46" s="1620"/>
      <c r="BM46" s="1620"/>
      <c r="BN46" s="1620"/>
      <c r="BO46" s="1620"/>
      <c r="BP46" s="452"/>
      <c r="BQ46" s="411"/>
      <c r="BR46" s="1620" t="s">
        <v>3124</v>
      </c>
      <c r="BS46" s="1620"/>
      <c r="BT46" s="1620"/>
      <c r="BU46" s="1620"/>
      <c r="BV46" s="1620"/>
      <c r="BW46" s="1620"/>
      <c r="BX46" s="411"/>
      <c r="BY46" s="1664" t="s">
        <v>3125</v>
      </c>
      <c r="BZ46" s="1664"/>
      <c r="CA46" s="1664"/>
      <c r="CB46" s="1664"/>
      <c r="CC46" s="1664"/>
      <c r="CD46" s="1694"/>
      <c r="CE46" s="387"/>
      <c r="CG46" s="387"/>
      <c r="CH46" s="387"/>
      <c r="CJ46" s="387"/>
      <c r="CK46" s="387"/>
      <c r="CL46" s="415"/>
      <c r="CM46" s="447"/>
      <c r="CN46" s="451" t="b">
        <v>0</v>
      </c>
      <c r="CO46" s="451" t="b">
        <v>0</v>
      </c>
      <c r="CP46" s="451" t="b">
        <v>0</v>
      </c>
      <c r="CQ46" s="451"/>
      <c r="CR46" s="451"/>
      <c r="CS46" s="413">
        <f>COUNTIF(CN46:CP46, TRUE)</f>
        <v>0</v>
      </c>
      <c r="CT46" s="414" t="str">
        <f>IF(AND(AND(BJ7&gt;=30,BJ7&lt;&gt;"01",BJ7&lt;&gt;"02"),CP46=FALSE,BJ41&lt;&gt;""),"【５．主要用途】が産業専用建築物の場合、住宅の種類は（３）のみです",IF(AND($J$41&lt;&gt;"",COUNTIF(CN46:CP46,TRUE)=0),"未入力です。",  IF(AND($J$41&lt;&gt;"",COUNTIF(CN46:CP46,TRUE)&gt;1),"選択は1つまでです。","")))</f>
        <v/>
      </c>
      <c r="CU46" s="414"/>
      <c r="CV46" s="414"/>
      <c r="CW46" s="414"/>
      <c r="CX46" s="414"/>
      <c r="CY46" s="414"/>
      <c r="DA46" s="388"/>
      <c r="DB46" s="1619" t="s">
        <v>3122</v>
      </c>
      <c r="DC46" s="1620"/>
      <c r="DD46" s="1620"/>
      <c r="DE46" s="1620"/>
      <c r="DF46" s="1620"/>
      <c r="DG46" s="1620"/>
      <c r="DH46" s="1620"/>
      <c r="DI46" s="1621"/>
      <c r="DJ46" s="410"/>
      <c r="DK46" s="1620" t="s">
        <v>3123</v>
      </c>
      <c r="DL46" s="1620"/>
      <c r="DM46" s="1620"/>
      <c r="DN46" s="1620"/>
      <c r="DO46" s="1620"/>
      <c r="DP46" s="452"/>
      <c r="DQ46" s="411"/>
      <c r="DR46" s="1620" t="s">
        <v>3124</v>
      </c>
      <c r="DS46" s="1620"/>
      <c r="DT46" s="1620"/>
      <c r="DU46" s="1620"/>
      <c r="DV46" s="1620"/>
      <c r="DW46" s="1620"/>
      <c r="DX46" s="411"/>
      <c r="DY46" s="1664" t="s">
        <v>3125</v>
      </c>
      <c r="DZ46" s="1664"/>
      <c r="EA46" s="1664"/>
      <c r="EB46" s="1664"/>
      <c r="EC46" s="1664"/>
      <c r="ED46" s="1694"/>
      <c r="EE46" s="387"/>
      <c r="EG46" s="387"/>
      <c r="EH46" s="387"/>
      <c r="EJ46" s="387"/>
      <c r="EK46" s="387"/>
      <c r="EL46" s="415"/>
      <c r="EM46" s="447"/>
      <c r="EN46" s="448" t="b">
        <v>0</v>
      </c>
      <c r="EO46" s="448" t="b">
        <v>0</v>
      </c>
      <c r="EP46" s="451" t="b">
        <v>0</v>
      </c>
      <c r="EQ46" s="451"/>
      <c r="ER46" s="451"/>
      <c r="ES46" s="413">
        <f>COUNTIF(EN46:EP46, TRUE)</f>
        <v>0</v>
      </c>
      <c r="ET46" s="414" t="str">
        <f>IF(AND(AND(DJ7&gt;=30,DJ7&lt;&gt;"01",DJ7&lt;&gt;"02"),EP46=FALSE,DJ41&lt;&gt;""),"【５．主要用途】が産業専用建築物の場合、住宅の種類は（３）のみです",IF(AND($J$41&lt;&gt;"",COUNTIF(EN46:EP46,TRUE)=0),"未入力です。",  IF(AND($J$41&lt;&gt;"",COUNTIF(EN46:EP46,TRUE)&gt;1),"選択は1つまでです。","")))</f>
        <v/>
      </c>
      <c r="FA46" s="388"/>
      <c r="FB46" s="1619" t="s">
        <v>3122</v>
      </c>
      <c r="FC46" s="1620"/>
      <c r="FD46" s="1620"/>
      <c r="FE46" s="1620"/>
      <c r="FF46" s="1620"/>
      <c r="FG46" s="1620"/>
      <c r="FH46" s="1620"/>
      <c r="FI46" s="1621"/>
      <c r="FJ46" s="410"/>
      <c r="FK46" s="1620" t="s">
        <v>3123</v>
      </c>
      <c r="FL46" s="1620"/>
      <c r="FM46" s="1620"/>
      <c r="FN46" s="1620"/>
      <c r="FO46" s="1620"/>
      <c r="FP46" s="452"/>
      <c r="FQ46" s="411"/>
      <c r="FR46" s="1620" t="s">
        <v>3124</v>
      </c>
      <c r="FS46" s="1620"/>
      <c r="FT46" s="1620"/>
      <c r="FU46" s="1620"/>
      <c r="FV46" s="1620"/>
      <c r="FW46" s="1620"/>
      <c r="FX46" s="411"/>
      <c r="FY46" s="1664" t="s">
        <v>3125</v>
      </c>
      <c r="FZ46" s="1664"/>
      <c r="GA46" s="1664"/>
      <c r="GB46" s="1664"/>
      <c r="GC46" s="1664"/>
      <c r="GD46" s="1694"/>
      <c r="GE46" s="387"/>
      <c r="GG46" s="387"/>
      <c r="GH46" s="387"/>
      <c r="GJ46" s="387"/>
      <c r="GK46" s="387"/>
      <c r="GL46" s="415"/>
      <c r="GM46" s="447"/>
      <c r="GN46" s="448" t="b">
        <v>0</v>
      </c>
      <c r="GO46" s="448" t="b">
        <v>0</v>
      </c>
      <c r="GP46" s="451" t="b">
        <v>0</v>
      </c>
      <c r="GQ46" s="451"/>
      <c r="GR46" s="451"/>
    </row>
    <row r="47" spans="1:200" ht="17.100000000000001" customHeight="1">
      <c r="A47" s="388"/>
      <c r="B47" s="1619" t="s">
        <v>3126</v>
      </c>
      <c r="C47" s="1620"/>
      <c r="D47" s="1620"/>
      <c r="E47" s="1620"/>
      <c r="F47" s="1620"/>
      <c r="G47" s="1620"/>
      <c r="H47" s="1620"/>
      <c r="I47" s="1621"/>
      <c r="J47" s="426"/>
      <c r="K47" s="1664" t="s">
        <v>17</v>
      </c>
      <c r="L47" s="1664"/>
      <c r="M47" s="1664"/>
      <c r="N47" s="1664"/>
      <c r="O47" s="1664"/>
      <c r="P47" s="1664"/>
      <c r="Q47" s="427"/>
      <c r="R47" s="1646" t="s">
        <v>18</v>
      </c>
      <c r="S47" s="1646"/>
      <c r="T47" s="1646"/>
      <c r="U47" s="1646"/>
      <c r="V47" s="1646"/>
      <c r="W47" s="1646"/>
      <c r="X47" s="427"/>
      <c r="Y47" s="1646" t="s">
        <v>2831</v>
      </c>
      <c r="Z47" s="1646"/>
      <c r="AA47" s="1646"/>
      <c r="AB47" s="1646"/>
      <c r="AC47" s="1646"/>
      <c r="AD47" s="431"/>
      <c r="AE47" s="1642"/>
      <c r="AF47" s="1642"/>
      <c r="AG47" s="1642"/>
      <c r="AH47" s="1642"/>
      <c r="AI47" s="1642"/>
      <c r="AJ47" s="387"/>
      <c r="AK47" s="387"/>
      <c r="AL47" s="415"/>
      <c r="AM47" s="447" t="str">
        <f>IF(AND($I45&lt;&gt;"",COUNTIF(AN47:AP47,TRUE)=0),"未入力",  IF(AND($I45&lt;&gt;"",COUNTIF(AN47:AP47,TRUE)&gt;1),"複数選択",""))</f>
        <v/>
      </c>
      <c r="AN47" s="451" t="b">
        <v>0</v>
      </c>
      <c r="AO47" s="451" t="b">
        <v>0</v>
      </c>
      <c r="AP47" s="451" t="b">
        <v>0</v>
      </c>
      <c r="AQ47" s="451"/>
      <c r="AR47" s="451"/>
      <c r="AS47" s="413">
        <f>COUNTIF(AN47:AP47, TRUE)</f>
        <v>0</v>
      </c>
      <c r="AT47" s="414" t="str">
        <f>IF(AND($J$41&lt;&gt;"",COUNTIF(AN47:AP47,TRUE)=0),"未入力です。",  IF(AND($J$41&lt;&gt;"",COUNTIF(AN47:AP47,TRUE)&gt;1),"選択は1つまでです。",""))</f>
        <v/>
      </c>
      <c r="AU47" s="414"/>
      <c r="AV47" s="414"/>
      <c r="AW47" s="414"/>
      <c r="AX47" s="414"/>
      <c r="AY47" s="414"/>
      <c r="BA47" s="388"/>
      <c r="BB47" s="1619" t="s">
        <v>3126</v>
      </c>
      <c r="BC47" s="1620"/>
      <c r="BD47" s="1620"/>
      <c r="BE47" s="1620"/>
      <c r="BF47" s="1620"/>
      <c r="BG47" s="1620"/>
      <c r="BH47" s="1620"/>
      <c r="BI47" s="1621"/>
      <c r="BJ47" s="426"/>
      <c r="BK47" s="1664" t="s">
        <v>17</v>
      </c>
      <c r="BL47" s="1664"/>
      <c r="BM47" s="1664"/>
      <c r="BN47" s="1664"/>
      <c r="BO47" s="1664"/>
      <c r="BP47" s="1664"/>
      <c r="BQ47" s="427"/>
      <c r="BR47" s="1646" t="s">
        <v>18</v>
      </c>
      <c r="BS47" s="1646"/>
      <c r="BT47" s="1646"/>
      <c r="BU47" s="1646"/>
      <c r="BV47" s="1646"/>
      <c r="BW47" s="1646"/>
      <c r="BX47" s="427"/>
      <c r="BY47" s="1646" t="s">
        <v>2831</v>
      </c>
      <c r="BZ47" s="1646"/>
      <c r="CA47" s="1646"/>
      <c r="CB47" s="1646"/>
      <c r="CC47" s="1646"/>
      <c r="CD47" s="431"/>
      <c r="CE47" s="1642"/>
      <c r="CF47" s="1642"/>
      <c r="CG47" s="1642"/>
      <c r="CH47" s="1642"/>
      <c r="CI47" s="1642"/>
      <c r="CJ47" s="387"/>
      <c r="CK47" s="387"/>
      <c r="CL47" s="415"/>
      <c r="CM47" s="447" t="str">
        <f>IF(AND($I45&lt;&gt;"",COUNTIF(CN47:CP47,TRUE)=0),"未入力",  IF(AND($I45&lt;&gt;"",COUNTIF(CN47:CP47,TRUE)&gt;1),"複数選択",""))</f>
        <v/>
      </c>
      <c r="CN47" s="451" t="b">
        <v>0</v>
      </c>
      <c r="CO47" s="451" t="b">
        <v>0</v>
      </c>
      <c r="CP47" s="451" t="b">
        <v>0</v>
      </c>
      <c r="CQ47" s="451"/>
      <c r="CR47" s="451"/>
      <c r="CS47" s="413">
        <f>COUNTIF(CN47:CP47, TRUE)</f>
        <v>0</v>
      </c>
      <c r="CT47" s="414" t="str">
        <f>IF(AND($J$41&lt;&gt;"",COUNTIF(CN47:CP47,TRUE)=0),"未入力です。",  IF(AND($J$41&lt;&gt;"",COUNTIF(CN47:CP47,TRUE)&gt;1),"選択は1つまでです。",""))</f>
        <v/>
      </c>
      <c r="CU47" s="414"/>
      <c r="CV47" s="414"/>
      <c r="CW47" s="414"/>
      <c r="CX47" s="414"/>
      <c r="CY47" s="414"/>
      <c r="DA47" s="388"/>
      <c r="DB47" s="1619" t="s">
        <v>3126</v>
      </c>
      <c r="DC47" s="1620"/>
      <c r="DD47" s="1620"/>
      <c r="DE47" s="1620"/>
      <c r="DF47" s="1620"/>
      <c r="DG47" s="1620"/>
      <c r="DH47" s="1620"/>
      <c r="DI47" s="1621"/>
      <c r="DJ47" s="426"/>
      <c r="DK47" s="1664" t="s">
        <v>17</v>
      </c>
      <c r="DL47" s="1664"/>
      <c r="DM47" s="1664"/>
      <c r="DN47" s="1664"/>
      <c r="DO47" s="1664"/>
      <c r="DP47" s="1664"/>
      <c r="DQ47" s="427"/>
      <c r="DR47" s="1646" t="s">
        <v>18</v>
      </c>
      <c r="DS47" s="1646"/>
      <c r="DT47" s="1646"/>
      <c r="DU47" s="1646"/>
      <c r="DV47" s="1646"/>
      <c r="DW47" s="1646"/>
      <c r="DX47" s="427"/>
      <c r="DY47" s="1646" t="s">
        <v>2831</v>
      </c>
      <c r="DZ47" s="1646"/>
      <c r="EA47" s="1646"/>
      <c r="EB47" s="1646"/>
      <c r="EC47" s="1646"/>
      <c r="ED47" s="431"/>
      <c r="EE47" s="1642"/>
      <c r="EF47" s="1642"/>
      <c r="EG47" s="1642"/>
      <c r="EH47" s="1642"/>
      <c r="EI47" s="1642"/>
      <c r="EJ47" s="387"/>
      <c r="EK47" s="387"/>
      <c r="EL47" s="415"/>
      <c r="EM47" s="447" t="str">
        <f>IF(AND($I45&lt;&gt;"",COUNTIF(EN47:EP47,TRUE)=0),"未入力",  IF(AND($I45&lt;&gt;"",COUNTIF(EN47:EP47,TRUE)&gt;1),"複数選択",""))</f>
        <v/>
      </c>
      <c r="EN47" s="448" t="b">
        <v>0</v>
      </c>
      <c r="EO47" s="448" t="b">
        <v>0</v>
      </c>
      <c r="EP47" s="451" t="b">
        <v>0</v>
      </c>
      <c r="EQ47" s="451"/>
      <c r="ER47" s="451"/>
      <c r="ES47" s="413">
        <f>COUNTIF(EN47:EP47, TRUE)</f>
        <v>0</v>
      </c>
      <c r="ET47" s="414" t="str">
        <f>IF(AND($J$41&lt;&gt;"",COUNTIF(EN47:EP47,TRUE)=0),"未入力です。",  IF(AND($J$41&lt;&gt;"",COUNTIF(EN47:EP47,TRUE)&gt;1),"選択は1つまでです。",""))</f>
        <v/>
      </c>
      <c r="FA47" s="388"/>
      <c r="FB47" s="1619" t="s">
        <v>3126</v>
      </c>
      <c r="FC47" s="1620"/>
      <c r="FD47" s="1620"/>
      <c r="FE47" s="1620"/>
      <c r="FF47" s="1620"/>
      <c r="FG47" s="1620"/>
      <c r="FH47" s="1620"/>
      <c r="FI47" s="1621"/>
      <c r="FJ47" s="426"/>
      <c r="FK47" s="1664" t="s">
        <v>17</v>
      </c>
      <c r="FL47" s="1664"/>
      <c r="FM47" s="1664"/>
      <c r="FN47" s="1664"/>
      <c r="FO47" s="1664"/>
      <c r="FP47" s="1664"/>
      <c r="FQ47" s="427"/>
      <c r="FR47" s="1646" t="s">
        <v>18</v>
      </c>
      <c r="FS47" s="1646"/>
      <c r="FT47" s="1646"/>
      <c r="FU47" s="1646"/>
      <c r="FV47" s="1646"/>
      <c r="FW47" s="1646"/>
      <c r="FX47" s="427"/>
      <c r="FY47" s="1646" t="s">
        <v>2831</v>
      </c>
      <c r="FZ47" s="1646"/>
      <c r="GA47" s="1646"/>
      <c r="GB47" s="1646"/>
      <c r="GC47" s="1646"/>
      <c r="GD47" s="431"/>
      <c r="GE47" s="1642"/>
      <c r="GF47" s="1642"/>
      <c r="GG47" s="1642"/>
      <c r="GH47" s="1642"/>
      <c r="GI47" s="1642"/>
      <c r="GJ47" s="387"/>
      <c r="GK47" s="387"/>
      <c r="GL47" s="415"/>
      <c r="GM47" s="447" t="str">
        <f>IF(AND($I45&lt;&gt;"",COUNTIF(GN47:GP47,TRUE)=0),"未入力",  IF(AND($I45&lt;&gt;"",COUNTIF(GN47:GP47,TRUE)&gt;1),"複数選択",""))</f>
        <v/>
      </c>
      <c r="GN47" s="448" t="b">
        <v>0</v>
      </c>
      <c r="GO47" s="448" t="b">
        <v>0</v>
      </c>
      <c r="GP47" s="451" t="b">
        <v>0</v>
      </c>
      <c r="GQ47" s="451"/>
      <c r="GR47" s="451"/>
    </row>
    <row r="48" spans="1:200" ht="17.100000000000001" customHeight="1">
      <c r="A48" s="388"/>
      <c r="B48" s="1619" t="s">
        <v>3127</v>
      </c>
      <c r="C48" s="1620"/>
      <c r="D48" s="1620"/>
      <c r="E48" s="1620"/>
      <c r="F48" s="1620"/>
      <c r="G48" s="1620"/>
      <c r="H48" s="1620"/>
      <c r="I48" s="1621"/>
      <c r="J48" s="410"/>
      <c r="K48" s="1620" t="s">
        <v>3128</v>
      </c>
      <c r="L48" s="1620"/>
      <c r="M48" s="1620"/>
      <c r="N48" s="1620"/>
      <c r="O48" s="1620"/>
      <c r="P48" s="1695"/>
      <c r="Q48" s="425"/>
      <c r="R48" s="1620" t="s">
        <v>3129</v>
      </c>
      <c r="S48" s="1620"/>
      <c r="T48" s="1620"/>
      <c r="U48" s="1620"/>
      <c r="V48" s="1620"/>
      <c r="W48" s="411"/>
      <c r="X48" s="425"/>
      <c r="Y48" s="1620" t="s">
        <v>21</v>
      </c>
      <c r="Z48" s="1620"/>
      <c r="AA48" s="1620"/>
      <c r="AB48" s="1620"/>
      <c r="AC48" s="1620"/>
      <c r="AD48" s="411"/>
      <c r="AE48" s="429"/>
      <c r="AF48" s="1646" t="s">
        <v>22</v>
      </c>
      <c r="AG48" s="1646"/>
      <c r="AH48" s="1646"/>
      <c r="AI48" s="1646"/>
      <c r="AJ48" s="1646"/>
      <c r="AK48" s="420"/>
      <c r="AL48" s="453"/>
      <c r="AM48" s="447"/>
      <c r="AN48" s="451" t="b">
        <v>0</v>
      </c>
      <c r="AO48" s="451" t="b">
        <v>0</v>
      </c>
      <c r="AP48" s="451" t="b">
        <v>0</v>
      </c>
      <c r="AQ48" s="451" t="b">
        <v>0</v>
      </c>
      <c r="AR48" s="451"/>
      <c r="AS48" s="413">
        <f>COUNTIF(AN48:AQ48, TRUE)</f>
        <v>0</v>
      </c>
      <c r="AT48" s="414" t="str">
        <f>IF(AND($J41&lt;&gt;"",COUNTIF(AN48:AQ48,TRUE)=0),"未入力です。","")</f>
        <v/>
      </c>
      <c r="AU48" s="414"/>
      <c r="AV48" s="414"/>
      <c r="AW48" s="414"/>
      <c r="AX48" s="414"/>
      <c r="AY48" s="414"/>
      <c r="BA48" s="388"/>
      <c r="BB48" s="1619" t="s">
        <v>3127</v>
      </c>
      <c r="BC48" s="1620"/>
      <c r="BD48" s="1620"/>
      <c r="BE48" s="1620"/>
      <c r="BF48" s="1620"/>
      <c r="BG48" s="1620"/>
      <c r="BH48" s="1620"/>
      <c r="BI48" s="1621"/>
      <c r="BJ48" s="410"/>
      <c r="BK48" s="1620" t="s">
        <v>3128</v>
      </c>
      <c r="BL48" s="1620"/>
      <c r="BM48" s="1620"/>
      <c r="BN48" s="1620"/>
      <c r="BO48" s="1620"/>
      <c r="BP48" s="1695"/>
      <c r="BQ48" s="425"/>
      <c r="BR48" s="1620" t="s">
        <v>3129</v>
      </c>
      <c r="BS48" s="1620"/>
      <c r="BT48" s="1620"/>
      <c r="BU48" s="1620"/>
      <c r="BV48" s="1620"/>
      <c r="BW48" s="411"/>
      <c r="BX48" s="425"/>
      <c r="BY48" s="1620" t="s">
        <v>21</v>
      </c>
      <c r="BZ48" s="1620"/>
      <c r="CA48" s="1620"/>
      <c r="CB48" s="1620"/>
      <c r="CC48" s="1620"/>
      <c r="CD48" s="411"/>
      <c r="CE48" s="429"/>
      <c r="CF48" s="1646" t="s">
        <v>22</v>
      </c>
      <c r="CG48" s="1646"/>
      <c r="CH48" s="1646"/>
      <c r="CI48" s="1646"/>
      <c r="CJ48" s="1646"/>
      <c r="CK48" s="420"/>
      <c r="CL48" s="453"/>
      <c r="CM48" s="447"/>
      <c r="CN48" s="451" t="b">
        <v>0</v>
      </c>
      <c r="CO48" s="451" t="b">
        <v>0</v>
      </c>
      <c r="CP48" s="451" t="b">
        <v>0</v>
      </c>
      <c r="CQ48" s="451" t="b">
        <v>0</v>
      </c>
      <c r="CR48" s="451"/>
      <c r="CS48" s="413">
        <f>COUNTIF(CN48:CQ48, TRUE)</f>
        <v>0</v>
      </c>
      <c r="CT48" s="414" t="str">
        <f>IF(AND($J41&lt;&gt;"",COUNTIF(CN48:CQ48,TRUE)=0),"未入力です。","")</f>
        <v/>
      </c>
      <c r="CU48" s="414"/>
      <c r="CV48" s="414"/>
      <c r="CW48" s="414"/>
      <c r="CX48" s="414"/>
      <c r="CY48" s="414"/>
      <c r="DA48" s="388"/>
      <c r="DB48" s="1619" t="s">
        <v>3127</v>
      </c>
      <c r="DC48" s="1620"/>
      <c r="DD48" s="1620"/>
      <c r="DE48" s="1620"/>
      <c r="DF48" s="1620"/>
      <c r="DG48" s="1620"/>
      <c r="DH48" s="1620"/>
      <c r="DI48" s="1621"/>
      <c r="DJ48" s="410"/>
      <c r="DK48" s="1620" t="s">
        <v>3128</v>
      </c>
      <c r="DL48" s="1620"/>
      <c r="DM48" s="1620"/>
      <c r="DN48" s="1620"/>
      <c r="DO48" s="1620"/>
      <c r="DP48" s="1695"/>
      <c r="DQ48" s="425"/>
      <c r="DR48" s="1620" t="s">
        <v>3129</v>
      </c>
      <c r="DS48" s="1620"/>
      <c r="DT48" s="1620"/>
      <c r="DU48" s="1620"/>
      <c r="DV48" s="1620"/>
      <c r="DW48" s="411"/>
      <c r="DX48" s="425"/>
      <c r="DY48" s="1620" t="s">
        <v>21</v>
      </c>
      <c r="DZ48" s="1620"/>
      <c r="EA48" s="1620"/>
      <c r="EB48" s="1620"/>
      <c r="EC48" s="1620"/>
      <c r="ED48" s="411"/>
      <c r="EE48" s="429"/>
      <c r="EF48" s="1646" t="s">
        <v>22</v>
      </c>
      <c r="EG48" s="1646"/>
      <c r="EH48" s="1646"/>
      <c r="EI48" s="1646"/>
      <c r="EJ48" s="1646"/>
      <c r="EK48" s="420"/>
      <c r="EL48" s="453"/>
      <c r="EM48" s="447"/>
      <c r="EN48" s="448" t="b">
        <v>0</v>
      </c>
      <c r="EO48" s="448" t="b">
        <v>0</v>
      </c>
      <c r="EP48" s="451" t="b">
        <v>0</v>
      </c>
      <c r="EQ48" s="451" t="b">
        <v>0</v>
      </c>
      <c r="ER48" s="451"/>
      <c r="ES48" s="413">
        <f>COUNTIF(EN48:EQ48, TRUE)</f>
        <v>0</v>
      </c>
      <c r="ET48" s="414" t="str">
        <f>IF(AND($J41&lt;&gt;"",COUNTIF(EN48:EQ48,TRUE)=0),"未入力です。","")</f>
        <v/>
      </c>
      <c r="FA48" s="388"/>
      <c r="FB48" s="1619" t="s">
        <v>3127</v>
      </c>
      <c r="FC48" s="1620"/>
      <c r="FD48" s="1620"/>
      <c r="FE48" s="1620"/>
      <c r="FF48" s="1620"/>
      <c r="FG48" s="1620"/>
      <c r="FH48" s="1620"/>
      <c r="FI48" s="1621"/>
      <c r="FJ48" s="410"/>
      <c r="FK48" s="1620" t="s">
        <v>3128</v>
      </c>
      <c r="FL48" s="1620"/>
      <c r="FM48" s="1620"/>
      <c r="FN48" s="1620"/>
      <c r="FO48" s="1620"/>
      <c r="FP48" s="1695"/>
      <c r="FQ48" s="425"/>
      <c r="FR48" s="1620" t="s">
        <v>3129</v>
      </c>
      <c r="FS48" s="1620"/>
      <c r="FT48" s="1620"/>
      <c r="FU48" s="1620"/>
      <c r="FV48" s="1620"/>
      <c r="FW48" s="411"/>
      <c r="FX48" s="425"/>
      <c r="FY48" s="1620" t="s">
        <v>21</v>
      </c>
      <c r="FZ48" s="1620"/>
      <c r="GA48" s="1620"/>
      <c r="GB48" s="1620"/>
      <c r="GC48" s="1620"/>
      <c r="GD48" s="411"/>
      <c r="GE48" s="429"/>
      <c r="GF48" s="1646" t="s">
        <v>22</v>
      </c>
      <c r="GG48" s="1646"/>
      <c r="GH48" s="1646"/>
      <c r="GI48" s="1646"/>
      <c r="GJ48" s="1646"/>
      <c r="GK48" s="420"/>
      <c r="GL48" s="453"/>
      <c r="GM48" s="447"/>
      <c r="GN48" s="448" t="b">
        <v>0</v>
      </c>
      <c r="GO48" s="448" t="b">
        <v>0</v>
      </c>
      <c r="GP48" s="451" t="b">
        <v>0</v>
      </c>
      <c r="GQ48" s="451" t="b">
        <v>0</v>
      </c>
      <c r="GR48" s="451"/>
    </row>
    <row r="49" spans="1:200" ht="20.100000000000001" customHeight="1">
      <c r="A49" s="388"/>
      <c r="B49" s="1619" t="s">
        <v>3130</v>
      </c>
      <c r="C49" s="1620"/>
      <c r="D49" s="1620"/>
      <c r="E49" s="1620"/>
      <c r="F49" s="1620"/>
      <c r="G49" s="1620"/>
      <c r="H49" s="1620"/>
      <c r="I49" s="1621"/>
      <c r="J49" s="1637"/>
      <c r="K49" s="1638"/>
      <c r="L49" s="1638"/>
      <c r="M49" s="1638"/>
      <c r="N49" s="1638"/>
      <c r="O49" s="411" t="s">
        <v>23</v>
      </c>
      <c r="P49" s="411"/>
      <c r="Q49" s="1696"/>
      <c r="R49" s="1638"/>
      <c r="S49" s="1638"/>
      <c r="T49" s="1638"/>
      <c r="U49" s="1638"/>
      <c r="V49" s="411" t="s">
        <v>23</v>
      </c>
      <c r="W49" s="411"/>
      <c r="X49" s="1696"/>
      <c r="Y49" s="1638"/>
      <c r="Z49" s="1638"/>
      <c r="AA49" s="1638"/>
      <c r="AB49" s="1638"/>
      <c r="AC49" s="411" t="s">
        <v>23</v>
      </c>
      <c r="AD49" s="411"/>
      <c r="AE49" s="1696"/>
      <c r="AF49" s="1638"/>
      <c r="AG49" s="1638"/>
      <c r="AH49" s="1638"/>
      <c r="AI49" s="1638"/>
      <c r="AJ49" s="427" t="s">
        <v>23</v>
      </c>
      <c r="AK49" s="427"/>
      <c r="AL49" s="453"/>
      <c r="AM49" s="447" t="str">
        <f>IF(AND($I45&lt;&gt;"",COUNTIF(AN49:AP49,TRUE)=0),"未入力",  IF(AND($I45&lt;&gt;"",COUNTIF(AN49:AP49,TRUE)&gt;1),"複数選択",""))</f>
        <v/>
      </c>
      <c r="AN49" s="451"/>
      <c r="AO49" s="451"/>
      <c r="AP49" s="451"/>
      <c r="AQ49" s="451"/>
      <c r="AR49" s="451"/>
      <c r="AS49" s="454"/>
      <c r="AT49" s="414" t="str">
        <f>IF(AND($J41&lt;&gt;"",OR($J$7="01",$J$7="02",$J$7&lt;=24)),  IF(AND($J41&lt;&gt;"",COUNTA(J49,Q49,X49,AE49)=0),"未入力です。",""),"")</f>
        <v/>
      </c>
      <c r="AU49" s="414"/>
      <c r="AV49" s="414"/>
      <c r="AW49" s="414"/>
      <c r="AX49" s="414"/>
      <c r="AY49" s="414"/>
      <c r="BA49" s="388"/>
      <c r="BB49" s="1619" t="s">
        <v>3130</v>
      </c>
      <c r="BC49" s="1620"/>
      <c r="BD49" s="1620"/>
      <c r="BE49" s="1620"/>
      <c r="BF49" s="1620"/>
      <c r="BG49" s="1620"/>
      <c r="BH49" s="1620"/>
      <c r="BI49" s="1621"/>
      <c r="BJ49" s="1637"/>
      <c r="BK49" s="1638"/>
      <c r="BL49" s="1638"/>
      <c r="BM49" s="1638"/>
      <c r="BN49" s="1638"/>
      <c r="BO49" s="411" t="s">
        <v>23</v>
      </c>
      <c r="BP49" s="411"/>
      <c r="BQ49" s="1696"/>
      <c r="BR49" s="1638"/>
      <c r="BS49" s="1638"/>
      <c r="BT49" s="1638"/>
      <c r="BU49" s="1638"/>
      <c r="BV49" s="411" t="s">
        <v>23</v>
      </c>
      <c r="BW49" s="411"/>
      <c r="BX49" s="1696"/>
      <c r="BY49" s="1638"/>
      <c r="BZ49" s="1638"/>
      <c r="CA49" s="1638"/>
      <c r="CB49" s="1638"/>
      <c r="CC49" s="411" t="s">
        <v>23</v>
      </c>
      <c r="CD49" s="411"/>
      <c r="CE49" s="1696"/>
      <c r="CF49" s="1638"/>
      <c r="CG49" s="1638"/>
      <c r="CH49" s="1638"/>
      <c r="CI49" s="1638"/>
      <c r="CJ49" s="427" t="s">
        <v>23</v>
      </c>
      <c r="CK49" s="427"/>
      <c r="CL49" s="453"/>
      <c r="CM49" s="447" t="str">
        <f>IF(AND($I45&lt;&gt;"",COUNTIF(CN49:CP49,TRUE)=0),"未入力",  IF(AND($I45&lt;&gt;"",COUNTIF(CN49:CP49,TRUE)&gt;1),"複数選択",""))</f>
        <v/>
      </c>
      <c r="CN49" s="451"/>
      <c r="CO49" s="451"/>
      <c r="CP49" s="451"/>
      <c r="CQ49" s="451"/>
      <c r="CR49" s="451"/>
      <c r="CS49" s="454"/>
      <c r="CT49" s="414" t="str">
        <f>IF(AND($J41&lt;&gt;"",OR($J$7="01",$J$7="02",$J$7&lt;=24)),  IF(AND($J41&lt;&gt;"",COUNTA(BJ49,BQ49,BX49,CE49)=0),"未入力です。",""),"")</f>
        <v/>
      </c>
      <c r="CU49" s="414"/>
      <c r="CV49" s="414"/>
      <c r="CW49" s="414"/>
      <c r="CX49" s="414"/>
      <c r="CY49" s="414"/>
      <c r="DA49" s="388"/>
      <c r="DB49" s="1619" t="s">
        <v>3130</v>
      </c>
      <c r="DC49" s="1620"/>
      <c r="DD49" s="1620"/>
      <c r="DE49" s="1620"/>
      <c r="DF49" s="1620"/>
      <c r="DG49" s="1620"/>
      <c r="DH49" s="1620"/>
      <c r="DI49" s="1621"/>
      <c r="DJ49" s="1637"/>
      <c r="DK49" s="1638"/>
      <c r="DL49" s="1638"/>
      <c r="DM49" s="1638"/>
      <c r="DN49" s="1638"/>
      <c r="DO49" s="411" t="s">
        <v>23</v>
      </c>
      <c r="DP49" s="411"/>
      <c r="DQ49" s="1696"/>
      <c r="DR49" s="1638"/>
      <c r="DS49" s="1638"/>
      <c r="DT49" s="1638"/>
      <c r="DU49" s="1638"/>
      <c r="DV49" s="411" t="s">
        <v>23</v>
      </c>
      <c r="DW49" s="411"/>
      <c r="DX49" s="1696"/>
      <c r="DY49" s="1638"/>
      <c r="DZ49" s="1638"/>
      <c r="EA49" s="1638"/>
      <c r="EB49" s="1638"/>
      <c r="EC49" s="411" t="s">
        <v>23</v>
      </c>
      <c r="ED49" s="411"/>
      <c r="EE49" s="1696"/>
      <c r="EF49" s="1638"/>
      <c r="EG49" s="1638"/>
      <c r="EH49" s="1638"/>
      <c r="EI49" s="1638"/>
      <c r="EJ49" s="427" t="s">
        <v>23</v>
      </c>
      <c r="EK49" s="427"/>
      <c r="EL49" s="453"/>
      <c r="EM49" s="447" t="str">
        <f>IF(AND($I45&lt;&gt;"",COUNTIF(EN49:EP49,TRUE)=0),"未入力",  IF(AND($I45&lt;&gt;"",COUNTIF(EN49:EP49,TRUE)&gt;1),"複数選択",""))</f>
        <v/>
      </c>
      <c r="EN49" s="451"/>
      <c r="EO49" s="451"/>
      <c r="EP49" s="451"/>
      <c r="EQ49" s="451"/>
      <c r="ER49" s="451"/>
      <c r="ES49" s="454"/>
      <c r="ET49" s="414" t="str">
        <f>IF(AND($J41&lt;&gt;"",OR($J$7="01",$J$7="02",$J$7&lt;=24)),  IF(AND($J41&lt;&gt;"",COUNTA(DJ49,DQ49,DX49,EE49)=0),"未入力です。",""),"")</f>
        <v/>
      </c>
      <c r="FA49" s="388"/>
      <c r="FB49" s="1619" t="s">
        <v>3130</v>
      </c>
      <c r="FC49" s="1620"/>
      <c r="FD49" s="1620"/>
      <c r="FE49" s="1620"/>
      <c r="FF49" s="1620"/>
      <c r="FG49" s="1620"/>
      <c r="FH49" s="1620"/>
      <c r="FI49" s="1621"/>
      <c r="FJ49" s="1637"/>
      <c r="FK49" s="1638"/>
      <c r="FL49" s="1638"/>
      <c r="FM49" s="1638"/>
      <c r="FN49" s="1638"/>
      <c r="FO49" s="411" t="s">
        <v>23</v>
      </c>
      <c r="FP49" s="411"/>
      <c r="FQ49" s="1696"/>
      <c r="FR49" s="1638"/>
      <c r="FS49" s="1638"/>
      <c r="FT49" s="1638"/>
      <c r="FU49" s="1638"/>
      <c r="FV49" s="411" t="s">
        <v>23</v>
      </c>
      <c r="FW49" s="411"/>
      <c r="FX49" s="1696"/>
      <c r="FY49" s="1638"/>
      <c r="FZ49" s="1638"/>
      <c r="GA49" s="1638"/>
      <c r="GB49" s="1638"/>
      <c r="GC49" s="411" t="s">
        <v>23</v>
      </c>
      <c r="GD49" s="411"/>
      <c r="GE49" s="1696"/>
      <c r="GF49" s="1638"/>
      <c r="GG49" s="1638"/>
      <c r="GH49" s="1638"/>
      <c r="GI49" s="1638"/>
      <c r="GJ49" s="427" t="s">
        <v>23</v>
      </c>
      <c r="GK49" s="427"/>
      <c r="GL49" s="453"/>
      <c r="GM49" s="447" t="str">
        <f>IF(AND($I45&lt;&gt;"",COUNTIF(GN49:GP49,TRUE)=0),"未入力",  IF(AND($I45&lt;&gt;"",COUNTIF(GN49:GP49,TRUE)&gt;1),"複数選択",""))</f>
        <v/>
      </c>
      <c r="GN49" s="451"/>
      <c r="GO49" s="451"/>
      <c r="GP49" s="451"/>
      <c r="GQ49" s="451"/>
      <c r="GR49" s="451"/>
    </row>
    <row r="50" spans="1:200" ht="27" customHeight="1">
      <c r="A50" s="388"/>
      <c r="B50" s="1626" t="s">
        <v>3131</v>
      </c>
      <c r="C50" s="1626"/>
      <c r="D50" s="1626"/>
      <c r="E50" s="1626"/>
      <c r="F50" s="1626"/>
      <c r="G50" s="1626"/>
      <c r="H50" s="1626"/>
      <c r="I50" s="1626"/>
      <c r="J50" s="1637"/>
      <c r="K50" s="1638"/>
      <c r="L50" s="1638"/>
      <c r="M50" s="1638"/>
      <c r="N50" s="1638"/>
      <c r="O50" s="411" t="s">
        <v>24</v>
      </c>
      <c r="P50" s="411"/>
      <c r="Q50" s="1696"/>
      <c r="R50" s="1638"/>
      <c r="S50" s="1638"/>
      <c r="T50" s="1638"/>
      <c r="U50" s="1638"/>
      <c r="V50" s="411" t="s">
        <v>24</v>
      </c>
      <c r="W50" s="411"/>
      <c r="X50" s="1696"/>
      <c r="Y50" s="1638"/>
      <c r="Z50" s="1638"/>
      <c r="AA50" s="1638"/>
      <c r="AB50" s="1638"/>
      <c r="AC50" s="411" t="s">
        <v>24</v>
      </c>
      <c r="AD50" s="411"/>
      <c r="AE50" s="1696"/>
      <c r="AF50" s="1638"/>
      <c r="AG50" s="1638"/>
      <c r="AH50" s="1638"/>
      <c r="AI50" s="1638"/>
      <c r="AJ50" s="411" t="s">
        <v>24</v>
      </c>
      <c r="AK50" s="411"/>
      <c r="AL50" s="453"/>
      <c r="AM50" s="447" t="str">
        <f>IF(AND($I45&lt;&gt;"",COUNTIF(AN50:AQ50,TRUE)=0),"未入力","")</f>
        <v/>
      </c>
      <c r="AN50" s="451"/>
      <c r="AO50" s="451"/>
      <c r="AP50" s="451"/>
      <c r="AQ50" s="451"/>
      <c r="AR50" s="451"/>
      <c r="AS50" s="413">
        <f>COUNTIF(AN47:AP47, TRUE)</f>
        <v>0</v>
      </c>
      <c r="AT50" s="414" t="str">
        <f>IF(AND($J41&lt;&gt;"",COUNTA(J50,Q50,X50,AE50)=0),"未入力です。","")</f>
        <v/>
      </c>
      <c r="AU50" s="414"/>
      <c r="AV50" s="414"/>
      <c r="AW50" s="414"/>
      <c r="AX50" s="414"/>
      <c r="AY50" s="414"/>
      <c r="BA50" s="388"/>
      <c r="BB50" s="1626" t="s">
        <v>3131</v>
      </c>
      <c r="BC50" s="1626"/>
      <c r="BD50" s="1626"/>
      <c r="BE50" s="1626"/>
      <c r="BF50" s="1626"/>
      <c r="BG50" s="1626"/>
      <c r="BH50" s="1626"/>
      <c r="BI50" s="1626"/>
      <c r="BJ50" s="1637"/>
      <c r="BK50" s="1638"/>
      <c r="BL50" s="1638"/>
      <c r="BM50" s="1638"/>
      <c r="BN50" s="1638"/>
      <c r="BO50" s="411" t="s">
        <v>24</v>
      </c>
      <c r="BP50" s="411"/>
      <c r="BQ50" s="1696"/>
      <c r="BR50" s="1638"/>
      <c r="BS50" s="1638"/>
      <c r="BT50" s="1638"/>
      <c r="BU50" s="1638"/>
      <c r="BV50" s="411" t="s">
        <v>24</v>
      </c>
      <c r="BW50" s="411"/>
      <c r="BX50" s="1696"/>
      <c r="BY50" s="1638"/>
      <c r="BZ50" s="1638"/>
      <c r="CA50" s="1638"/>
      <c r="CB50" s="1638"/>
      <c r="CC50" s="411" t="s">
        <v>24</v>
      </c>
      <c r="CD50" s="411"/>
      <c r="CE50" s="1696"/>
      <c r="CF50" s="1638"/>
      <c r="CG50" s="1638"/>
      <c r="CH50" s="1638"/>
      <c r="CI50" s="1638"/>
      <c r="CJ50" s="411" t="s">
        <v>24</v>
      </c>
      <c r="CK50" s="411"/>
      <c r="CL50" s="453"/>
      <c r="CM50" s="447" t="str">
        <f>IF(AND($I45&lt;&gt;"",COUNTIF(CN50:CQ50,TRUE)=0),"未入力","")</f>
        <v/>
      </c>
      <c r="CN50" s="451"/>
      <c r="CO50" s="451"/>
      <c r="CP50" s="451"/>
      <c r="CQ50" s="451"/>
      <c r="CR50" s="451"/>
      <c r="CS50" s="413">
        <f>COUNTIF(CN47:CP47, TRUE)</f>
        <v>0</v>
      </c>
      <c r="CT50" s="414" t="str">
        <f>IF(AND($J41&lt;&gt;"",COUNTA(BJ50,BQ50,BX50,CE50)=0),"未入力です。","")</f>
        <v/>
      </c>
      <c r="CU50" s="414"/>
      <c r="CV50" s="414"/>
      <c r="CW50" s="414"/>
      <c r="CX50" s="414"/>
      <c r="CY50" s="414"/>
      <c r="DA50" s="388"/>
      <c r="DB50" s="1626" t="s">
        <v>3131</v>
      </c>
      <c r="DC50" s="1626"/>
      <c r="DD50" s="1626"/>
      <c r="DE50" s="1626"/>
      <c r="DF50" s="1626"/>
      <c r="DG50" s="1626"/>
      <c r="DH50" s="1626"/>
      <c r="DI50" s="1626"/>
      <c r="DJ50" s="1637"/>
      <c r="DK50" s="1638"/>
      <c r="DL50" s="1638"/>
      <c r="DM50" s="1638"/>
      <c r="DN50" s="1638"/>
      <c r="DO50" s="411" t="s">
        <v>24</v>
      </c>
      <c r="DP50" s="411"/>
      <c r="DQ50" s="1696"/>
      <c r="DR50" s="1638"/>
      <c r="DS50" s="1638"/>
      <c r="DT50" s="1638"/>
      <c r="DU50" s="1638"/>
      <c r="DV50" s="411" t="s">
        <v>24</v>
      </c>
      <c r="DW50" s="411"/>
      <c r="DX50" s="1696"/>
      <c r="DY50" s="1638"/>
      <c r="DZ50" s="1638"/>
      <c r="EA50" s="1638"/>
      <c r="EB50" s="1638"/>
      <c r="EC50" s="411" t="s">
        <v>24</v>
      </c>
      <c r="ED50" s="411"/>
      <c r="EE50" s="1696"/>
      <c r="EF50" s="1638"/>
      <c r="EG50" s="1638"/>
      <c r="EH50" s="1638"/>
      <c r="EI50" s="1638"/>
      <c r="EJ50" s="411" t="s">
        <v>24</v>
      </c>
      <c r="EK50" s="411"/>
      <c r="EL50" s="453"/>
      <c r="EM50" s="447" t="str">
        <f>IF(AND($I45&lt;&gt;"",COUNTIF(EN50:EQ50,TRUE)=0),"未入力","")</f>
        <v/>
      </c>
      <c r="EN50" s="451"/>
      <c r="EO50" s="451"/>
      <c r="EP50" s="451"/>
      <c r="EQ50" s="451"/>
      <c r="ER50" s="451"/>
      <c r="ES50" s="413">
        <f>COUNTIF(EN47:EP47, TRUE)</f>
        <v>0</v>
      </c>
      <c r="ET50" s="414" t="str">
        <f>IF(AND($J41&lt;&gt;"",COUNTA(DJ50,DQ50,DX50,EE50)=0),"未入力です。","")</f>
        <v/>
      </c>
      <c r="FA50" s="388"/>
      <c r="FB50" s="1626" t="s">
        <v>3131</v>
      </c>
      <c r="FC50" s="1626"/>
      <c r="FD50" s="1626"/>
      <c r="FE50" s="1626"/>
      <c r="FF50" s="1626"/>
      <c r="FG50" s="1626"/>
      <c r="FH50" s="1626"/>
      <c r="FI50" s="1626"/>
      <c r="FJ50" s="1637"/>
      <c r="FK50" s="1638"/>
      <c r="FL50" s="1638"/>
      <c r="FM50" s="1638"/>
      <c r="FN50" s="1638"/>
      <c r="FO50" s="411" t="s">
        <v>24</v>
      </c>
      <c r="FP50" s="411"/>
      <c r="FQ50" s="1696"/>
      <c r="FR50" s="1638"/>
      <c r="FS50" s="1638"/>
      <c r="FT50" s="1638"/>
      <c r="FU50" s="1638"/>
      <c r="FV50" s="411" t="s">
        <v>24</v>
      </c>
      <c r="FW50" s="411"/>
      <c r="FX50" s="1696"/>
      <c r="FY50" s="1638"/>
      <c r="FZ50" s="1638"/>
      <c r="GA50" s="1638"/>
      <c r="GB50" s="1638"/>
      <c r="GC50" s="411" t="s">
        <v>24</v>
      </c>
      <c r="GD50" s="411"/>
      <c r="GE50" s="1696"/>
      <c r="GF50" s="1638"/>
      <c r="GG50" s="1638"/>
      <c r="GH50" s="1638"/>
      <c r="GI50" s="1638"/>
      <c r="GJ50" s="411" t="s">
        <v>24</v>
      </c>
      <c r="GK50" s="411"/>
      <c r="GL50" s="453"/>
      <c r="GM50" s="447" t="str">
        <f>IF(AND($I45&lt;&gt;"",COUNTIF(GN50:GQ50,TRUE)=0),"未入力","")</f>
        <v/>
      </c>
      <c r="GN50" s="451"/>
      <c r="GO50" s="451"/>
      <c r="GP50" s="451"/>
      <c r="GQ50" s="451"/>
      <c r="GR50" s="451"/>
    </row>
    <row r="51" spans="1:200" ht="3.9" customHeight="1">
      <c r="A51" s="388"/>
      <c r="B51" s="416"/>
      <c r="C51" s="416"/>
      <c r="D51" s="416"/>
      <c r="E51" s="416"/>
      <c r="F51" s="416"/>
      <c r="G51" s="416"/>
      <c r="H51" s="416"/>
      <c r="I51" s="416"/>
      <c r="AJ51" s="387"/>
      <c r="AK51" s="387"/>
      <c r="AL51" s="415"/>
      <c r="AM51" s="387" t="str">
        <f>IF(AND($I45="",COUNTA(M54,S54,Z54,AG54)&gt;0),"回答不要",  IF(AND($I45&lt;&gt;"",OR($R$16&lt;&gt;"",$R$17&lt;&gt;""),COUNTIF(AN43:AP43,TRUE)&gt;0),  IF(AND($I45&lt;&gt;"",COUNTA(M54,S54,Z54,AG54)=0),"未入力",""),""))</f>
        <v/>
      </c>
      <c r="AS51" s="413"/>
      <c r="BA51" s="388"/>
      <c r="BB51" s="416"/>
      <c r="BC51" s="416"/>
      <c r="BD51" s="416"/>
      <c r="BE51" s="416"/>
      <c r="BF51" s="416"/>
      <c r="BG51" s="416"/>
      <c r="BH51" s="416"/>
      <c r="BI51" s="416"/>
      <c r="CJ51" s="387"/>
      <c r="CK51" s="387"/>
      <c r="CL51" s="415"/>
      <c r="CM51" s="387" t="str">
        <f>IF(AND($I45="",COUNTA(BM54,BS54,BZ54,CG54)&gt;0),"回答不要",  IF(AND($I45&lt;&gt;"",OR($R$16&lt;&gt;"",$R$17&lt;&gt;""),COUNTIF(CN43:CP43,TRUE)&gt;0),  IF(AND($I45&lt;&gt;"",COUNTA(BM54,BS54,BZ54,CG54)=0),"未入力",""),""))</f>
        <v/>
      </c>
      <c r="CS51" s="413"/>
      <c r="DA51" s="388"/>
      <c r="DB51" s="416"/>
      <c r="DC51" s="416"/>
      <c r="DD51" s="416"/>
      <c r="DE51" s="416"/>
      <c r="DF51" s="416"/>
      <c r="DG51" s="416"/>
      <c r="DH51" s="416"/>
      <c r="DI51" s="416"/>
      <c r="EJ51" s="387"/>
      <c r="EK51" s="387"/>
      <c r="EL51" s="415"/>
      <c r="EM51" s="387" t="str">
        <f>IF(AND($I45="",COUNTA(DM54,DS54,DZ54,EG54)&gt;0),"回答不要",  IF(AND($I45&lt;&gt;"",OR($R$16&lt;&gt;"",$R$17&lt;&gt;""),COUNTIF(EN43:EP43,TRUE)&gt;0),  IF(AND($I45&lt;&gt;"",COUNTA(DM54,DS54,DZ54,EG54)=0),"未入力",""),""))</f>
        <v/>
      </c>
      <c r="ES51" s="413"/>
      <c r="FA51" s="388"/>
      <c r="FB51" s="416"/>
      <c r="FC51" s="416"/>
      <c r="FD51" s="416"/>
      <c r="FE51" s="416"/>
      <c r="FF51" s="416"/>
      <c r="FG51" s="416"/>
      <c r="FH51" s="416"/>
      <c r="FI51" s="416"/>
      <c r="GJ51" s="387"/>
      <c r="GK51" s="387"/>
      <c r="GL51" s="415"/>
      <c r="GM51" s="387" t="str">
        <f>IF(AND($I45="",COUNTA(FM54,FS54,FZ54,GG54)&gt;0),"回答不要",  IF(AND($I45&lt;&gt;"",OR($R$16&lt;&gt;"",$R$17&lt;&gt;""),COUNTIF(GN43:GP43,TRUE)&gt;0),  IF(AND($I45&lt;&gt;"",COUNTA(FM54,FS54,FZ54,GG54)=0),"未入力",""),""))</f>
        <v/>
      </c>
    </row>
    <row r="52" spans="1:200" ht="3.9" customHeight="1">
      <c r="A52" s="388"/>
      <c r="B52" s="416"/>
      <c r="C52" s="416"/>
      <c r="D52" s="416"/>
      <c r="E52" s="416"/>
      <c r="F52" s="416"/>
      <c r="G52" s="416"/>
      <c r="H52" s="416"/>
      <c r="I52" s="416"/>
      <c r="AJ52" s="387"/>
      <c r="AK52" s="387"/>
      <c r="AL52" s="415"/>
      <c r="AM52" s="387" t="str">
        <f>IF(AND($I45&lt;&gt;"",COUNTA(M55,S55,Z55,AG55)=0),"未入力","")</f>
        <v/>
      </c>
      <c r="AS52" s="413"/>
      <c r="BA52" s="388"/>
      <c r="BB52" s="416"/>
      <c r="BC52" s="416"/>
      <c r="BD52" s="416"/>
      <c r="BE52" s="416"/>
      <c r="BF52" s="416"/>
      <c r="BG52" s="416"/>
      <c r="BH52" s="416"/>
      <c r="BI52" s="416"/>
      <c r="CJ52" s="387"/>
      <c r="CK52" s="387"/>
      <c r="CL52" s="415"/>
      <c r="CM52" s="387" t="str">
        <f>IF(AND($I45&lt;&gt;"",COUNTA(BM55,BS55,BZ55,CG55)=0),"未入力","")</f>
        <v/>
      </c>
      <c r="CS52" s="413"/>
      <c r="DA52" s="388"/>
      <c r="DB52" s="416"/>
      <c r="DC52" s="416"/>
      <c r="DD52" s="416"/>
      <c r="DE52" s="416"/>
      <c r="DF52" s="416"/>
      <c r="DG52" s="416"/>
      <c r="DH52" s="416"/>
      <c r="DI52" s="416"/>
      <c r="EJ52" s="387"/>
      <c r="EK52" s="387"/>
      <c r="EL52" s="415"/>
      <c r="EM52" s="387" t="str">
        <f>IF(AND($I45&lt;&gt;"",COUNTA(DM55,DS55,DZ55,EG55)=0),"未入力","")</f>
        <v/>
      </c>
      <c r="ES52" s="413"/>
      <c r="FA52" s="388"/>
      <c r="FB52" s="416"/>
      <c r="FC52" s="416"/>
      <c r="FD52" s="416"/>
      <c r="FE52" s="416"/>
      <c r="FF52" s="416"/>
      <c r="FG52" s="416"/>
      <c r="FH52" s="416"/>
      <c r="FI52" s="416"/>
      <c r="GJ52" s="387"/>
      <c r="GK52" s="387"/>
      <c r="GL52" s="415"/>
      <c r="GM52" s="387" t="str">
        <f>IF(AND($I45&lt;&gt;"",COUNTA(FM55,FS55,FZ55,GG55)=0),"未入力","")</f>
        <v/>
      </c>
    </row>
    <row r="53" spans="1:200" ht="18" customHeight="1">
      <c r="A53" s="388"/>
      <c r="B53" s="1619" t="s">
        <v>3098</v>
      </c>
      <c r="C53" s="1620"/>
      <c r="D53" s="1620"/>
      <c r="E53" s="1620"/>
      <c r="F53" s="1620"/>
      <c r="G53" s="1620"/>
      <c r="H53" s="1620"/>
      <c r="I53" s="1620"/>
      <c r="J53" s="1688"/>
      <c r="K53" s="1689"/>
      <c r="L53" s="1689"/>
      <c r="M53" s="1689"/>
      <c r="N53" s="1689"/>
      <c r="O53" s="1689"/>
      <c r="P53" s="1690"/>
      <c r="Q53" s="446"/>
      <c r="R53" s="446"/>
      <c r="S53" s="446"/>
      <c r="T53" s="446"/>
      <c r="U53" s="446"/>
      <c r="V53" s="446"/>
      <c r="W53" s="446"/>
      <c r="X53" s="446"/>
      <c r="Y53" s="446"/>
      <c r="Z53" s="446"/>
      <c r="AA53" s="446"/>
      <c r="AB53" s="446"/>
      <c r="AC53" s="446"/>
      <c r="AD53" s="446"/>
      <c r="AE53" s="446"/>
      <c r="AF53" s="446"/>
      <c r="AG53" s="446"/>
      <c r="AH53" s="446"/>
      <c r="AI53" s="446"/>
      <c r="AJ53" s="387"/>
      <c r="AK53" s="387"/>
      <c r="AL53" s="415"/>
      <c r="AM53" s="387"/>
      <c r="AS53" s="413"/>
      <c r="BA53" s="388"/>
      <c r="BB53" s="1619" t="s">
        <v>3098</v>
      </c>
      <c r="BC53" s="1620"/>
      <c r="BD53" s="1620"/>
      <c r="BE53" s="1620"/>
      <c r="BF53" s="1620"/>
      <c r="BG53" s="1620"/>
      <c r="BH53" s="1620"/>
      <c r="BI53" s="1620"/>
      <c r="BJ53" s="1688"/>
      <c r="BK53" s="1689"/>
      <c r="BL53" s="1689"/>
      <c r="BM53" s="1689"/>
      <c r="BN53" s="1689"/>
      <c r="BO53" s="1689"/>
      <c r="BP53" s="1690"/>
      <c r="BQ53" s="446"/>
      <c r="BR53" s="446"/>
      <c r="BS53" s="446"/>
      <c r="BT53" s="446"/>
      <c r="BU53" s="446"/>
      <c r="BV53" s="446"/>
      <c r="BW53" s="446"/>
      <c r="BX53" s="446"/>
      <c r="BY53" s="446"/>
      <c r="BZ53" s="446"/>
      <c r="CA53" s="446"/>
      <c r="CB53" s="446"/>
      <c r="CC53" s="446"/>
      <c r="CD53" s="446"/>
      <c r="CE53" s="446"/>
      <c r="CF53" s="446"/>
      <c r="CG53" s="446"/>
      <c r="CH53" s="446"/>
      <c r="CI53" s="446"/>
      <c r="CJ53" s="387"/>
      <c r="CK53" s="387"/>
      <c r="CL53" s="415"/>
      <c r="CM53" s="387"/>
      <c r="CS53" s="413"/>
      <c r="DA53" s="388"/>
      <c r="DB53" s="1619" t="s">
        <v>3098</v>
      </c>
      <c r="DC53" s="1620"/>
      <c r="DD53" s="1620"/>
      <c r="DE53" s="1620"/>
      <c r="DF53" s="1620"/>
      <c r="DG53" s="1620"/>
      <c r="DH53" s="1620"/>
      <c r="DI53" s="1620"/>
      <c r="DJ53" s="1688"/>
      <c r="DK53" s="1689"/>
      <c r="DL53" s="1689"/>
      <c r="DM53" s="1689"/>
      <c r="DN53" s="1689"/>
      <c r="DO53" s="1689"/>
      <c r="DP53" s="1690"/>
      <c r="DQ53" s="446"/>
      <c r="DR53" s="446"/>
      <c r="DS53" s="446"/>
      <c r="DT53" s="446"/>
      <c r="DU53" s="446"/>
      <c r="DV53" s="446"/>
      <c r="DW53" s="446"/>
      <c r="DX53" s="446"/>
      <c r="DY53" s="446"/>
      <c r="DZ53" s="446"/>
      <c r="EA53" s="446"/>
      <c r="EB53" s="446"/>
      <c r="EC53" s="446"/>
      <c r="ED53" s="446"/>
      <c r="EE53" s="446"/>
      <c r="EF53" s="446"/>
      <c r="EG53" s="446"/>
      <c r="EH53" s="446"/>
      <c r="EI53" s="446"/>
      <c r="EJ53" s="387"/>
      <c r="EK53" s="387"/>
      <c r="EL53" s="415"/>
      <c r="EM53" s="387"/>
      <c r="ES53" s="413"/>
      <c r="FA53" s="388"/>
      <c r="FB53" s="1619" t="s">
        <v>3098</v>
      </c>
      <c r="FC53" s="1620"/>
      <c r="FD53" s="1620"/>
      <c r="FE53" s="1620"/>
      <c r="FF53" s="1620"/>
      <c r="FG53" s="1620"/>
      <c r="FH53" s="1620"/>
      <c r="FI53" s="1620"/>
      <c r="FJ53" s="1688"/>
      <c r="FK53" s="1689"/>
      <c r="FL53" s="1689"/>
      <c r="FM53" s="1689"/>
      <c r="FN53" s="1689"/>
      <c r="FO53" s="1689"/>
      <c r="FP53" s="1690"/>
      <c r="FQ53" s="446"/>
      <c r="FR53" s="446"/>
      <c r="FS53" s="446"/>
      <c r="FT53" s="446"/>
      <c r="FU53" s="446"/>
      <c r="FV53" s="446"/>
      <c r="FW53" s="446"/>
      <c r="FX53" s="446"/>
      <c r="FY53" s="446"/>
      <c r="FZ53" s="446"/>
      <c r="GA53" s="446"/>
      <c r="GB53" s="446"/>
      <c r="GC53" s="446"/>
      <c r="GD53" s="446"/>
      <c r="GE53" s="446"/>
      <c r="GF53" s="446"/>
      <c r="GG53" s="446"/>
      <c r="GH53" s="446"/>
      <c r="GI53" s="446"/>
      <c r="GJ53" s="387"/>
      <c r="GK53" s="387"/>
      <c r="GL53" s="415"/>
      <c r="GM53" s="387"/>
    </row>
    <row r="54" spans="1:200" ht="30.9" customHeight="1">
      <c r="A54" s="388"/>
      <c r="B54" s="1645" t="s">
        <v>3115</v>
      </c>
      <c r="C54" s="1666"/>
      <c r="D54" s="1666"/>
      <c r="E54" s="1666"/>
      <c r="F54" s="1666"/>
      <c r="G54" s="1666"/>
      <c r="H54" s="1666"/>
      <c r="I54" s="1672"/>
      <c r="J54" s="426"/>
      <c r="K54" s="420" t="s">
        <v>2825</v>
      </c>
      <c r="L54" s="420"/>
      <c r="M54" s="420"/>
      <c r="N54" s="420"/>
      <c r="O54" s="427"/>
      <c r="P54" s="416"/>
      <c r="Q54" s="449" t="s">
        <v>2826</v>
      </c>
      <c r="R54" s="407"/>
      <c r="S54" s="407"/>
      <c r="T54" s="427"/>
      <c r="U54" s="407"/>
      <c r="V54" s="407"/>
      <c r="W54" s="427"/>
      <c r="X54" s="407"/>
      <c r="Y54" s="407"/>
      <c r="Z54" s="431"/>
      <c r="AA54" s="388"/>
      <c r="AB54" s="387"/>
      <c r="AC54" s="387"/>
      <c r="AD54" s="387"/>
      <c r="AE54" s="387"/>
      <c r="AF54" s="387"/>
      <c r="AG54" s="387"/>
      <c r="AH54" s="387"/>
      <c r="AI54" s="387"/>
      <c r="AJ54" s="387"/>
      <c r="AK54" s="387"/>
      <c r="AL54" s="415"/>
      <c r="AM54" s="387"/>
      <c r="AN54" s="386" t="b">
        <v>0</v>
      </c>
      <c r="AO54" s="386" t="b">
        <v>0</v>
      </c>
      <c r="AS54" s="413"/>
      <c r="BA54" s="388"/>
      <c r="BB54" s="1645" t="s">
        <v>3115</v>
      </c>
      <c r="BC54" s="1666"/>
      <c r="BD54" s="1666"/>
      <c r="BE54" s="1666"/>
      <c r="BF54" s="1666"/>
      <c r="BG54" s="1666"/>
      <c r="BH54" s="1666"/>
      <c r="BI54" s="1672"/>
      <c r="BJ54" s="426"/>
      <c r="BK54" s="420" t="s">
        <v>2825</v>
      </c>
      <c r="BL54" s="420"/>
      <c r="BM54" s="420"/>
      <c r="BN54" s="420"/>
      <c r="BO54" s="427"/>
      <c r="BP54" s="416"/>
      <c r="BQ54" s="449" t="s">
        <v>2826</v>
      </c>
      <c r="BR54" s="407"/>
      <c r="BS54" s="407"/>
      <c r="BT54" s="427"/>
      <c r="BU54" s="407"/>
      <c r="BV54" s="407"/>
      <c r="BW54" s="427"/>
      <c r="BX54" s="407"/>
      <c r="BY54" s="407"/>
      <c r="BZ54" s="431"/>
      <c r="CA54" s="388"/>
      <c r="CB54" s="387"/>
      <c r="CC54" s="387"/>
      <c r="CD54" s="387"/>
      <c r="CE54" s="387"/>
      <c r="CF54" s="387"/>
      <c r="CG54" s="387"/>
      <c r="CH54" s="387"/>
      <c r="CI54" s="387"/>
      <c r="CJ54" s="387"/>
      <c r="CK54" s="387"/>
      <c r="CL54" s="415"/>
      <c r="CM54" s="387"/>
      <c r="CN54" s="386" t="b">
        <v>0</v>
      </c>
      <c r="CO54" s="386" t="b">
        <v>0</v>
      </c>
      <c r="CS54" s="413"/>
      <c r="DA54" s="388"/>
      <c r="DB54" s="1645" t="s">
        <v>3115</v>
      </c>
      <c r="DC54" s="1666"/>
      <c r="DD54" s="1666"/>
      <c r="DE54" s="1666"/>
      <c r="DF54" s="1666"/>
      <c r="DG54" s="1666"/>
      <c r="DH54" s="1666"/>
      <c r="DI54" s="1672"/>
      <c r="DJ54" s="426"/>
      <c r="DK54" s="420" t="s">
        <v>2825</v>
      </c>
      <c r="DL54" s="420"/>
      <c r="DM54" s="420"/>
      <c r="DN54" s="420"/>
      <c r="DO54" s="427"/>
      <c r="DP54" s="416"/>
      <c r="DQ54" s="449" t="s">
        <v>2826</v>
      </c>
      <c r="DR54" s="407"/>
      <c r="DS54" s="407"/>
      <c r="DT54" s="427"/>
      <c r="DU54" s="407"/>
      <c r="DV54" s="407"/>
      <c r="DW54" s="427"/>
      <c r="DX54" s="407"/>
      <c r="DY54" s="407"/>
      <c r="DZ54" s="431"/>
      <c r="EA54" s="388"/>
      <c r="EB54" s="387"/>
      <c r="EC54" s="387"/>
      <c r="ED54" s="387"/>
      <c r="EE54" s="387"/>
      <c r="EF54" s="387"/>
      <c r="EG54" s="387"/>
      <c r="EH54" s="387"/>
      <c r="EI54" s="387"/>
      <c r="EJ54" s="387"/>
      <c r="EK54" s="387"/>
      <c r="EL54" s="415"/>
      <c r="EM54" s="387"/>
      <c r="EN54" s="386" t="b">
        <v>0</v>
      </c>
      <c r="EO54" s="386" t="b">
        <v>0</v>
      </c>
      <c r="ES54" s="413"/>
      <c r="FA54" s="388"/>
      <c r="FB54" s="1645" t="s">
        <v>3115</v>
      </c>
      <c r="FC54" s="1666"/>
      <c r="FD54" s="1666"/>
      <c r="FE54" s="1666"/>
      <c r="FF54" s="1666"/>
      <c r="FG54" s="1666"/>
      <c r="FH54" s="1666"/>
      <c r="FI54" s="1672"/>
      <c r="FJ54" s="426"/>
      <c r="FK54" s="420" t="s">
        <v>2825</v>
      </c>
      <c r="FL54" s="420"/>
      <c r="FM54" s="420"/>
      <c r="FN54" s="420"/>
      <c r="FO54" s="427"/>
      <c r="FP54" s="416"/>
      <c r="FQ54" s="449" t="s">
        <v>2826</v>
      </c>
      <c r="FR54" s="407"/>
      <c r="FS54" s="407"/>
      <c r="FT54" s="427"/>
      <c r="FU54" s="407"/>
      <c r="FV54" s="407"/>
      <c r="FW54" s="427"/>
      <c r="FX54" s="407"/>
      <c r="FY54" s="407"/>
      <c r="FZ54" s="431"/>
      <c r="GA54" s="388"/>
      <c r="GB54" s="387"/>
      <c r="GC54" s="387"/>
      <c r="GD54" s="387"/>
      <c r="GE54" s="387"/>
      <c r="GF54" s="387"/>
      <c r="GG54" s="387"/>
      <c r="GH54" s="387"/>
      <c r="GI54" s="387"/>
      <c r="GJ54" s="387"/>
      <c r="GK54" s="387"/>
      <c r="GL54" s="415"/>
      <c r="GM54" s="387"/>
      <c r="GN54" s="386" t="b">
        <v>0</v>
      </c>
      <c r="GO54" s="386" t="b">
        <v>0</v>
      </c>
    </row>
    <row r="55" spans="1:200" ht="17.100000000000001" customHeight="1">
      <c r="A55" s="388"/>
      <c r="B55" s="1684" t="s">
        <v>3116</v>
      </c>
      <c r="C55" s="1650"/>
      <c r="D55" s="1650"/>
      <c r="E55" s="1650"/>
      <c r="F55" s="1650"/>
      <c r="G55" s="1650"/>
      <c r="H55" s="1650"/>
      <c r="I55" s="1691"/>
      <c r="J55" s="426"/>
      <c r="K55" s="427" t="s">
        <v>3117</v>
      </c>
      <c r="L55" s="427"/>
      <c r="M55" s="427"/>
      <c r="N55" s="427"/>
      <c r="O55" s="427"/>
      <c r="P55" s="427"/>
      <c r="Q55" s="427"/>
      <c r="R55" s="427"/>
      <c r="S55" s="1654" t="s">
        <v>3240</v>
      </c>
      <c r="T55" s="1654"/>
      <c r="U55" s="1654"/>
      <c r="V55" s="1654"/>
      <c r="W55" s="1654"/>
      <c r="X55" s="427"/>
      <c r="Y55" s="427"/>
      <c r="Z55" s="1646" t="s">
        <v>2828</v>
      </c>
      <c r="AA55" s="1646"/>
      <c r="AB55" s="1646"/>
      <c r="AC55" s="1646"/>
      <c r="AD55" s="1646"/>
      <c r="AE55" s="1646"/>
      <c r="AF55" s="1646"/>
      <c r="AG55" s="1646"/>
      <c r="AH55" s="1646"/>
      <c r="AI55" s="1693"/>
      <c r="AJ55" s="387"/>
      <c r="AK55" s="387"/>
      <c r="AL55" s="415"/>
      <c r="AN55" s="386" t="b">
        <v>0</v>
      </c>
      <c r="AO55" s="386" t="b">
        <v>0</v>
      </c>
      <c r="AP55" s="386" t="b">
        <v>0</v>
      </c>
      <c r="AS55" s="413"/>
      <c r="BA55" s="388"/>
      <c r="BB55" s="1684" t="s">
        <v>3116</v>
      </c>
      <c r="BC55" s="1650"/>
      <c r="BD55" s="1650"/>
      <c r="BE55" s="1650"/>
      <c r="BF55" s="1650"/>
      <c r="BG55" s="1650"/>
      <c r="BH55" s="1650"/>
      <c r="BI55" s="1691"/>
      <c r="BJ55" s="426"/>
      <c r="BK55" s="427" t="s">
        <v>3117</v>
      </c>
      <c r="BL55" s="427"/>
      <c r="BM55" s="427"/>
      <c r="BN55" s="427"/>
      <c r="BO55" s="427"/>
      <c r="BP55" s="427"/>
      <c r="BQ55" s="427"/>
      <c r="BR55" s="427"/>
      <c r="BS55" s="1654" t="s">
        <v>3240</v>
      </c>
      <c r="BT55" s="1654"/>
      <c r="BU55" s="1654"/>
      <c r="BV55" s="1654"/>
      <c r="BW55" s="1654"/>
      <c r="BX55" s="427"/>
      <c r="BY55" s="427"/>
      <c r="BZ55" s="1646" t="s">
        <v>2828</v>
      </c>
      <c r="CA55" s="1646"/>
      <c r="CB55" s="1646"/>
      <c r="CC55" s="1646"/>
      <c r="CD55" s="1646"/>
      <c r="CE55" s="1646"/>
      <c r="CF55" s="1646"/>
      <c r="CG55" s="1646"/>
      <c r="CH55" s="1646"/>
      <c r="CI55" s="1693"/>
      <c r="CJ55" s="387"/>
      <c r="CK55" s="387"/>
      <c r="CL55" s="415"/>
      <c r="CN55" s="386" t="b">
        <v>0</v>
      </c>
      <c r="CO55" s="386" t="b">
        <v>0</v>
      </c>
      <c r="CP55" s="386" t="b">
        <v>0</v>
      </c>
      <c r="CS55" s="413"/>
      <c r="DA55" s="388"/>
      <c r="DB55" s="1684" t="s">
        <v>3116</v>
      </c>
      <c r="DC55" s="1650"/>
      <c r="DD55" s="1650"/>
      <c r="DE55" s="1650"/>
      <c r="DF55" s="1650"/>
      <c r="DG55" s="1650"/>
      <c r="DH55" s="1650"/>
      <c r="DI55" s="1691"/>
      <c r="DJ55" s="426"/>
      <c r="DK55" s="427" t="s">
        <v>3117</v>
      </c>
      <c r="DL55" s="427"/>
      <c r="DM55" s="427"/>
      <c r="DN55" s="427"/>
      <c r="DO55" s="427"/>
      <c r="DP55" s="427"/>
      <c r="DQ55" s="427"/>
      <c r="DR55" s="427"/>
      <c r="DS55" s="1654" t="s">
        <v>3240</v>
      </c>
      <c r="DT55" s="1654"/>
      <c r="DU55" s="1654"/>
      <c r="DV55" s="1654"/>
      <c r="DW55" s="1654"/>
      <c r="DX55" s="427"/>
      <c r="DY55" s="427"/>
      <c r="DZ55" s="1646" t="s">
        <v>2828</v>
      </c>
      <c r="EA55" s="1646"/>
      <c r="EB55" s="1646"/>
      <c r="EC55" s="1646"/>
      <c r="ED55" s="1646"/>
      <c r="EE55" s="1646"/>
      <c r="EF55" s="1646"/>
      <c r="EG55" s="1646"/>
      <c r="EH55" s="1646"/>
      <c r="EI55" s="1693"/>
      <c r="EJ55" s="387"/>
      <c r="EK55" s="387"/>
      <c r="EL55" s="415"/>
      <c r="EN55" s="386" t="b">
        <v>0</v>
      </c>
      <c r="EO55" s="386" t="b">
        <v>0</v>
      </c>
      <c r="EP55" s="386" t="b">
        <v>0</v>
      </c>
      <c r="ES55" s="413"/>
      <c r="FA55" s="388"/>
      <c r="FB55" s="1684" t="s">
        <v>3116</v>
      </c>
      <c r="FC55" s="1650"/>
      <c r="FD55" s="1650"/>
      <c r="FE55" s="1650"/>
      <c r="FF55" s="1650"/>
      <c r="FG55" s="1650"/>
      <c r="FH55" s="1650"/>
      <c r="FI55" s="1691"/>
      <c r="FJ55" s="426"/>
      <c r="FK55" s="427" t="s">
        <v>3117</v>
      </c>
      <c r="FL55" s="427"/>
      <c r="FM55" s="427"/>
      <c r="FN55" s="427"/>
      <c r="FO55" s="427"/>
      <c r="FP55" s="427"/>
      <c r="FQ55" s="427"/>
      <c r="FR55" s="427"/>
      <c r="FS55" s="1654" t="s">
        <v>3240</v>
      </c>
      <c r="FT55" s="1654"/>
      <c r="FU55" s="1654"/>
      <c r="FV55" s="1654"/>
      <c r="FW55" s="1654"/>
      <c r="FX55" s="427"/>
      <c r="FY55" s="427"/>
      <c r="FZ55" s="1646" t="s">
        <v>2828</v>
      </c>
      <c r="GA55" s="1646"/>
      <c r="GB55" s="1646"/>
      <c r="GC55" s="1646"/>
      <c r="GD55" s="1646"/>
      <c r="GE55" s="1646"/>
      <c r="GF55" s="1646"/>
      <c r="GG55" s="1646"/>
      <c r="GH55" s="1646"/>
      <c r="GI55" s="1693"/>
      <c r="GJ55" s="387"/>
      <c r="GK55" s="387"/>
      <c r="GL55" s="415"/>
      <c r="GN55" s="386" t="b">
        <v>0</v>
      </c>
      <c r="GO55" s="386" t="b">
        <v>0</v>
      </c>
      <c r="GP55" s="386" t="b">
        <v>0</v>
      </c>
    </row>
    <row r="56" spans="1:200" ht="17.100000000000001" customHeight="1">
      <c r="A56" s="388"/>
      <c r="B56" s="1685"/>
      <c r="C56" s="1686"/>
      <c r="D56" s="1686"/>
      <c r="E56" s="1686"/>
      <c r="F56" s="1686"/>
      <c r="G56" s="1686"/>
      <c r="H56" s="1686"/>
      <c r="I56" s="1692"/>
      <c r="J56" s="433"/>
      <c r="K56" s="1648" t="s">
        <v>2829</v>
      </c>
      <c r="L56" s="1648"/>
      <c r="M56" s="1648"/>
      <c r="N56" s="1648"/>
      <c r="O56" s="1648"/>
      <c r="P56" s="1648"/>
      <c r="Q56" s="1648"/>
      <c r="R56" s="1648"/>
      <c r="S56" s="443"/>
      <c r="T56" s="443"/>
      <c r="U56" s="1648" t="s">
        <v>2830</v>
      </c>
      <c r="V56" s="1648"/>
      <c r="W56" s="1648"/>
      <c r="X56" s="1648"/>
      <c r="Y56" s="443"/>
      <c r="Z56" s="443"/>
      <c r="AA56" s="443"/>
      <c r="AB56" s="443"/>
      <c r="AC56" s="443"/>
      <c r="AD56" s="443"/>
      <c r="AE56" s="443"/>
      <c r="AF56" s="443"/>
      <c r="AG56" s="443"/>
      <c r="AH56" s="443"/>
      <c r="AI56" s="437"/>
      <c r="AJ56" s="387"/>
      <c r="AK56" s="387"/>
      <c r="AL56" s="415"/>
      <c r="AN56" s="386" t="b">
        <v>0</v>
      </c>
      <c r="AO56" s="386" t="b">
        <v>0</v>
      </c>
      <c r="AS56" s="413"/>
      <c r="BA56" s="388"/>
      <c r="BB56" s="1685"/>
      <c r="BC56" s="1686"/>
      <c r="BD56" s="1686"/>
      <c r="BE56" s="1686"/>
      <c r="BF56" s="1686"/>
      <c r="BG56" s="1686"/>
      <c r="BH56" s="1686"/>
      <c r="BI56" s="1692"/>
      <c r="BJ56" s="433"/>
      <c r="BK56" s="1648" t="s">
        <v>2829</v>
      </c>
      <c r="BL56" s="1648"/>
      <c r="BM56" s="1648"/>
      <c r="BN56" s="1648"/>
      <c r="BO56" s="1648"/>
      <c r="BP56" s="1648"/>
      <c r="BQ56" s="1648"/>
      <c r="BR56" s="1648"/>
      <c r="BS56" s="443"/>
      <c r="BT56" s="443"/>
      <c r="BU56" s="1648" t="s">
        <v>2830</v>
      </c>
      <c r="BV56" s="1648"/>
      <c r="BW56" s="1648"/>
      <c r="BX56" s="1648"/>
      <c r="BY56" s="443"/>
      <c r="BZ56" s="443"/>
      <c r="CA56" s="443"/>
      <c r="CB56" s="443"/>
      <c r="CC56" s="443"/>
      <c r="CD56" s="443"/>
      <c r="CE56" s="443"/>
      <c r="CF56" s="443"/>
      <c r="CG56" s="443"/>
      <c r="CH56" s="443"/>
      <c r="CI56" s="437"/>
      <c r="CJ56" s="387"/>
      <c r="CK56" s="387"/>
      <c r="CL56" s="415"/>
      <c r="CN56" s="386" t="b">
        <v>0</v>
      </c>
      <c r="CO56" s="386" t="b">
        <v>0</v>
      </c>
      <c r="CS56" s="413"/>
      <c r="DA56" s="388"/>
      <c r="DB56" s="1685"/>
      <c r="DC56" s="1686"/>
      <c r="DD56" s="1686"/>
      <c r="DE56" s="1686"/>
      <c r="DF56" s="1686"/>
      <c r="DG56" s="1686"/>
      <c r="DH56" s="1686"/>
      <c r="DI56" s="1692"/>
      <c r="DJ56" s="433"/>
      <c r="DK56" s="1648" t="s">
        <v>2829</v>
      </c>
      <c r="DL56" s="1648"/>
      <c r="DM56" s="1648"/>
      <c r="DN56" s="1648"/>
      <c r="DO56" s="1648"/>
      <c r="DP56" s="1648"/>
      <c r="DQ56" s="1648"/>
      <c r="DR56" s="1648"/>
      <c r="DS56" s="443"/>
      <c r="DT56" s="443"/>
      <c r="DU56" s="1648" t="s">
        <v>2830</v>
      </c>
      <c r="DV56" s="1648"/>
      <c r="DW56" s="1648"/>
      <c r="DX56" s="1648"/>
      <c r="DY56" s="443"/>
      <c r="DZ56" s="443"/>
      <c r="EA56" s="443"/>
      <c r="EB56" s="443"/>
      <c r="EC56" s="443"/>
      <c r="ED56" s="443"/>
      <c r="EE56" s="443"/>
      <c r="EF56" s="443"/>
      <c r="EG56" s="443"/>
      <c r="EH56" s="443"/>
      <c r="EI56" s="437"/>
      <c r="EJ56" s="387"/>
      <c r="EK56" s="387"/>
      <c r="EL56" s="415"/>
      <c r="EN56" s="386" t="b">
        <v>0</v>
      </c>
      <c r="EO56" s="386" t="b">
        <v>0</v>
      </c>
      <c r="ES56" s="413"/>
      <c r="FA56" s="388"/>
      <c r="FB56" s="1685"/>
      <c r="FC56" s="1686"/>
      <c r="FD56" s="1686"/>
      <c r="FE56" s="1686"/>
      <c r="FF56" s="1686"/>
      <c r="FG56" s="1686"/>
      <c r="FH56" s="1686"/>
      <c r="FI56" s="1692"/>
      <c r="FJ56" s="433"/>
      <c r="FK56" s="1648" t="s">
        <v>2829</v>
      </c>
      <c r="FL56" s="1648"/>
      <c r="FM56" s="1648"/>
      <c r="FN56" s="1648"/>
      <c r="FO56" s="1648"/>
      <c r="FP56" s="1648"/>
      <c r="FQ56" s="1648"/>
      <c r="FR56" s="1648"/>
      <c r="FS56" s="443"/>
      <c r="FT56" s="443"/>
      <c r="FU56" s="1648" t="s">
        <v>2830</v>
      </c>
      <c r="FV56" s="1648"/>
      <c r="FW56" s="1648"/>
      <c r="FX56" s="1648"/>
      <c r="FY56" s="443"/>
      <c r="FZ56" s="443"/>
      <c r="GA56" s="443"/>
      <c r="GB56" s="443"/>
      <c r="GC56" s="443"/>
      <c r="GD56" s="443"/>
      <c r="GE56" s="443"/>
      <c r="GF56" s="443"/>
      <c r="GG56" s="443"/>
      <c r="GH56" s="443"/>
      <c r="GI56" s="437"/>
      <c r="GJ56" s="387"/>
      <c r="GK56" s="387"/>
      <c r="GL56" s="415"/>
      <c r="GN56" s="386" t="b">
        <v>0</v>
      </c>
      <c r="GO56" s="386" t="b">
        <v>0</v>
      </c>
    </row>
    <row r="57" spans="1:200" ht="17.100000000000001" customHeight="1">
      <c r="A57" s="388"/>
      <c r="B57" s="1663" t="s">
        <v>3118</v>
      </c>
      <c r="C57" s="1664"/>
      <c r="D57" s="1664"/>
      <c r="E57" s="1664"/>
      <c r="F57" s="1664"/>
      <c r="G57" s="1664"/>
      <c r="H57" s="1664"/>
      <c r="I57" s="1694"/>
      <c r="J57" s="410"/>
      <c r="K57" s="1620" t="s">
        <v>3119</v>
      </c>
      <c r="L57" s="1620"/>
      <c r="M57" s="1620"/>
      <c r="N57" s="1620"/>
      <c r="O57" s="1620"/>
      <c r="P57" s="452"/>
      <c r="Q57" s="411"/>
      <c r="R57" s="1664" t="s">
        <v>3120</v>
      </c>
      <c r="S57" s="1664"/>
      <c r="T57" s="1664"/>
      <c r="U57" s="1664"/>
      <c r="V57" s="1664"/>
      <c r="W57" s="1664"/>
      <c r="X57" s="411"/>
      <c r="Y57" s="1620" t="s">
        <v>3121</v>
      </c>
      <c r="Z57" s="1620"/>
      <c r="AA57" s="1620"/>
      <c r="AB57" s="1620"/>
      <c r="AC57" s="1620"/>
      <c r="AD57" s="1621"/>
      <c r="AE57" s="387"/>
      <c r="AF57" s="387"/>
      <c r="AG57" s="387"/>
      <c r="AH57" s="387"/>
      <c r="AJ57" s="387"/>
      <c r="AK57" s="387"/>
      <c r="AL57" s="415"/>
      <c r="AN57" s="386" t="b">
        <v>0</v>
      </c>
      <c r="AO57" s="386" t="b">
        <v>0</v>
      </c>
      <c r="AP57" s="386" t="b">
        <v>0</v>
      </c>
      <c r="AS57" s="413"/>
      <c r="BA57" s="388"/>
      <c r="BB57" s="1663" t="s">
        <v>3118</v>
      </c>
      <c r="BC57" s="1664"/>
      <c r="BD57" s="1664"/>
      <c r="BE57" s="1664"/>
      <c r="BF57" s="1664"/>
      <c r="BG57" s="1664"/>
      <c r="BH57" s="1664"/>
      <c r="BI57" s="1694"/>
      <c r="BJ57" s="410"/>
      <c r="BK57" s="1620" t="s">
        <v>3119</v>
      </c>
      <c r="BL57" s="1620"/>
      <c r="BM57" s="1620"/>
      <c r="BN57" s="1620"/>
      <c r="BO57" s="1620"/>
      <c r="BP57" s="452"/>
      <c r="BQ57" s="411"/>
      <c r="BR57" s="1664" t="s">
        <v>3120</v>
      </c>
      <c r="BS57" s="1664"/>
      <c r="BT57" s="1664"/>
      <c r="BU57" s="1664"/>
      <c r="BV57" s="1664"/>
      <c r="BW57" s="1664"/>
      <c r="BX57" s="411"/>
      <c r="BY57" s="1620" t="s">
        <v>3121</v>
      </c>
      <c r="BZ57" s="1620"/>
      <c r="CA57" s="1620"/>
      <c r="CB57" s="1620"/>
      <c r="CC57" s="1620"/>
      <c r="CD57" s="1621"/>
      <c r="CE57" s="387"/>
      <c r="CF57" s="387"/>
      <c r="CG57" s="387"/>
      <c r="CH57" s="387"/>
      <c r="CJ57" s="387"/>
      <c r="CK57" s="387"/>
      <c r="CL57" s="415"/>
      <c r="CN57" s="386" t="b">
        <v>0</v>
      </c>
      <c r="CO57" s="386" t="b">
        <v>0</v>
      </c>
      <c r="CP57" s="386" t="b">
        <v>0</v>
      </c>
      <c r="CS57" s="413"/>
      <c r="DA57" s="388"/>
      <c r="DB57" s="1663" t="s">
        <v>3118</v>
      </c>
      <c r="DC57" s="1664"/>
      <c r="DD57" s="1664"/>
      <c r="DE57" s="1664"/>
      <c r="DF57" s="1664"/>
      <c r="DG57" s="1664"/>
      <c r="DH57" s="1664"/>
      <c r="DI57" s="1694"/>
      <c r="DJ57" s="410"/>
      <c r="DK57" s="1620" t="s">
        <v>3119</v>
      </c>
      <c r="DL57" s="1620"/>
      <c r="DM57" s="1620"/>
      <c r="DN57" s="1620"/>
      <c r="DO57" s="1620"/>
      <c r="DP57" s="452"/>
      <c r="DQ57" s="411"/>
      <c r="DR57" s="1664" t="s">
        <v>3120</v>
      </c>
      <c r="DS57" s="1664"/>
      <c r="DT57" s="1664"/>
      <c r="DU57" s="1664"/>
      <c r="DV57" s="1664"/>
      <c r="DW57" s="1664"/>
      <c r="DX57" s="411"/>
      <c r="DY57" s="1620" t="s">
        <v>3121</v>
      </c>
      <c r="DZ57" s="1620"/>
      <c r="EA57" s="1620"/>
      <c r="EB57" s="1620"/>
      <c r="EC57" s="1620"/>
      <c r="ED57" s="1621"/>
      <c r="EE57" s="387"/>
      <c r="EF57" s="387"/>
      <c r="EG57" s="387"/>
      <c r="EH57" s="387"/>
      <c r="EJ57" s="387"/>
      <c r="EK57" s="387"/>
      <c r="EL57" s="415"/>
      <c r="EN57" s="386" t="b">
        <v>0</v>
      </c>
      <c r="EO57" s="386" t="b">
        <v>0</v>
      </c>
      <c r="EP57" s="386" t="b">
        <v>0</v>
      </c>
      <c r="ES57" s="413"/>
      <c r="FA57" s="388"/>
      <c r="FB57" s="1663" t="s">
        <v>3118</v>
      </c>
      <c r="FC57" s="1664"/>
      <c r="FD57" s="1664"/>
      <c r="FE57" s="1664"/>
      <c r="FF57" s="1664"/>
      <c r="FG57" s="1664"/>
      <c r="FH57" s="1664"/>
      <c r="FI57" s="1694"/>
      <c r="FJ57" s="410"/>
      <c r="FK57" s="1620" t="s">
        <v>3119</v>
      </c>
      <c r="FL57" s="1620"/>
      <c r="FM57" s="1620"/>
      <c r="FN57" s="1620"/>
      <c r="FO57" s="1620"/>
      <c r="FP57" s="452"/>
      <c r="FQ57" s="411"/>
      <c r="FR57" s="1664" t="s">
        <v>3120</v>
      </c>
      <c r="FS57" s="1664"/>
      <c r="FT57" s="1664"/>
      <c r="FU57" s="1664"/>
      <c r="FV57" s="1664"/>
      <c r="FW57" s="1664"/>
      <c r="FX57" s="411"/>
      <c r="FY57" s="1620" t="s">
        <v>3121</v>
      </c>
      <c r="FZ57" s="1620"/>
      <c r="GA57" s="1620"/>
      <c r="GB57" s="1620"/>
      <c r="GC57" s="1620"/>
      <c r="GD57" s="1621"/>
      <c r="GE57" s="387"/>
      <c r="GF57" s="387"/>
      <c r="GG57" s="387"/>
      <c r="GH57" s="387"/>
      <c r="GJ57" s="387"/>
      <c r="GK57" s="387"/>
      <c r="GL57" s="415"/>
      <c r="GN57" s="386" t="b">
        <v>0</v>
      </c>
      <c r="GO57" s="386" t="b">
        <v>0</v>
      </c>
      <c r="GP57" s="386" t="b">
        <v>0</v>
      </c>
    </row>
    <row r="58" spans="1:200" ht="17.100000000000001" customHeight="1">
      <c r="A58" s="388"/>
      <c r="B58" s="1619" t="s">
        <v>3122</v>
      </c>
      <c r="C58" s="1620"/>
      <c r="D58" s="1620"/>
      <c r="E58" s="1620"/>
      <c r="F58" s="1620"/>
      <c r="G58" s="1620"/>
      <c r="H58" s="1620"/>
      <c r="I58" s="1621"/>
      <c r="J58" s="410"/>
      <c r="K58" s="1620" t="s">
        <v>3123</v>
      </c>
      <c r="L58" s="1620"/>
      <c r="M58" s="1620"/>
      <c r="N58" s="1620"/>
      <c r="O58" s="1620"/>
      <c r="P58" s="452"/>
      <c r="Q58" s="411"/>
      <c r="R58" s="1620" t="s">
        <v>3124</v>
      </c>
      <c r="S58" s="1620"/>
      <c r="T58" s="1620"/>
      <c r="U58" s="1620"/>
      <c r="V58" s="1620"/>
      <c r="W58" s="1620"/>
      <c r="X58" s="411"/>
      <c r="Y58" s="1664" t="s">
        <v>3125</v>
      </c>
      <c r="Z58" s="1664"/>
      <c r="AA58" s="1664"/>
      <c r="AB58" s="1664"/>
      <c r="AC58" s="1664"/>
      <c r="AD58" s="1694"/>
      <c r="AE58" s="387"/>
      <c r="AF58" s="387"/>
      <c r="AG58" s="387"/>
      <c r="AH58" s="387"/>
      <c r="AJ58" s="387"/>
      <c r="AK58" s="387"/>
      <c r="AL58" s="415"/>
      <c r="AM58" s="387"/>
      <c r="AN58" s="386" t="b">
        <v>0</v>
      </c>
      <c r="AO58" s="386" t="b">
        <v>0</v>
      </c>
      <c r="AP58" s="386" t="b">
        <v>0</v>
      </c>
      <c r="AS58" s="413"/>
      <c r="BA58" s="388"/>
      <c r="BB58" s="1619" t="s">
        <v>3122</v>
      </c>
      <c r="BC58" s="1620"/>
      <c r="BD58" s="1620"/>
      <c r="BE58" s="1620"/>
      <c r="BF58" s="1620"/>
      <c r="BG58" s="1620"/>
      <c r="BH58" s="1620"/>
      <c r="BI58" s="1621"/>
      <c r="BJ58" s="410"/>
      <c r="BK58" s="1620" t="s">
        <v>3123</v>
      </c>
      <c r="BL58" s="1620"/>
      <c r="BM58" s="1620"/>
      <c r="BN58" s="1620"/>
      <c r="BO58" s="1620"/>
      <c r="BP58" s="452"/>
      <c r="BQ58" s="411"/>
      <c r="BR58" s="1620" t="s">
        <v>3124</v>
      </c>
      <c r="BS58" s="1620"/>
      <c r="BT58" s="1620"/>
      <c r="BU58" s="1620"/>
      <c r="BV58" s="1620"/>
      <c r="BW58" s="1620"/>
      <c r="BX58" s="411"/>
      <c r="BY58" s="1664" t="s">
        <v>3125</v>
      </c>
      <c r="BZ58" s="1664"/>
      <c r="CA58" s="1664"/>
      <c r="CB58" s="1664"/>
      <c r="CC58" s="1664"/>
      <c r="CD58" s="1694"/>
      <c r="CE58" s="387"/>
      <c r="CF58" s="387"/>
      <c r="CG58" s="387"/>
      <c r="CH58" s="387"/>
      <c r="CJ58" s="387"/>
      <c r="CK58" s="387"/>
      <c r="CL58" s="415"/>
      <c r="CM58" s="387"/>
      <c r="CN58" s="386" t="b">
        <v>0</v>
      </c>
      <c r="CO58" s="386" t="b">
        <v>0</v>
      </c>
      <c r="CP58" s="386" t="b">
        <v>0</v>
      </c>
      <c r="CS58" s="413"/>
      <c r="DA58" s="388"/>
      <c r="DB58" s="1619" t="s">
        <v>3122</v>
      </c>
      <c r="DC58" s="1620"/>
      <c r="DD58" s="1620"/>
      <c r="DE58" s="1620"/>
      <c r="DF58" s="1620"/>
      <c r="DG58" s="1620"/>
      <c r="DH58" s="1620"/>
      <c r="DI58" s="1621"/>
      <c r="DJ58" s="410"/>
      <c r="DK58" s="1620" t="s">
        <v>3123</v>
      </c>
      <c r="DL58" s="1620"/>
      <c r="DM58" s="1620"/>
      <c r="DN58" s="1620"/>
      <c r="DO58" s="1620"/>
      <c r="DP58" s="452"/>
      <c r="DQ58" s="411"/>
      <c r="DR58" s="1620" t="s">
        <v>3124</v>
      </c>
      <c r="DS58" s="1620"/>
      <c r="DT58" s="1620"/>
      <c r="DU58" s="1620"/>
      <c r="DV58" s="1620"/>
      <c r="DW58" s="1620"/>
      <c r="DX58" s="411"/>
      <c r="DY58" s="1664" t="s">
        <v>3125</v>
      </c>
      <c r="DZ58" s="1664"/>
      <c r="EA58" s="1664"/>
      <c r="EB58" s="1664"/>
      <c r="EC58" s="1664"/>
      <c r="ED58" s="1694"/>
      <c r="EE58" s="387"/>
      <c r="EF58" s="387"/>
      <c r="EG58" s="387"/>
      <c r="EH58" s="387"/>
      <c r="EJ58" s="387"/>
      <c r="EK58" s="387"/>
      <c r="EL58" s="415"/>
      <c r="EM58" s="387"/>
      <c r="EN58" s="386" t="b">
        <v>0</v>
      </c>
      <c r="EO58" s="386" t="b">
        <v>0</v>
      </c>
      <c r="EP58" s="386" t="b">
        <v>0</v>
      </c>
      <c r="ES58" s="413"/>
      <c r="FA58" s="388"/>
      <c r="FB58" s="1619" t="s">
        <v>3122</v>
      </c>
      <c r="FC58" s="1620"/>
      <c r="FD58" s="1620"/>
      <c r="FE58" s="1620"/>
      <c r="FF58" s="1620"/>
      <c r="FG58" s="1620"/>
      <c r="FH58" s="1620"/>
      <c r="FI58" s="1621"/>
      <c r="FJ58" s="410"/>
      <c r="FK58" s="1620" t="s">
        <v>3123</v>
      </c>
      <c r="FL58" s="1620"/>
      <c r="FM58" s="1620"/>
      <c r="FN58" s="1620"/>
      <c r="FO58" s="1620"/>
      <c r="FP58" s="452"/>
      <c r="FQ58" s="411"/>
      <c r="FR58" s="1620" t="s">
        <v>3124</v>
      </c>
      <c r="FS58" s="1620"/>
      <c r="FT58" s="1620"/>
      <c r="FU58" s="1620"/>
      <c r="FV58" s="1620"/>
      <c r="FW58" s="1620"/>
      <c r="FX58" s="411"/>
      <c r="FY58" s="1664" t="s">
        <v>3125</v>
      </c>
      <c r="FZ58" s="1664"/>
      <c r="GA58" s="1664"/>
      <c r="GB58" s="1664"/>
      <c r="GC58" s="1664"/>
      <c r="GD58" s="1694"/>
      <c r="GE58" s="387"/>
      <c r="GF58" s="387"/>
      <c r="GG58" s="387"/>
      <c r="GH58" s="387"/>
      <c r="GJ58" s="387"/>
      <c r="GK58" s="387"/>
      <c r="GL58" s="415"/>
      <c r="GM58" s="387"/>
      <c r="GN58" s="386" t="b">
        <v>0</v>
      </c>
      <c r="GO58" s="386" t="b">
        <v>0</v>
      </c>
      <c r="GP58" s="386" t="b">
        <v>0</v>
      </c>
    </row>
    <row r="59" spans="1:200" ht="17.100000000000001" customHeight="1">
      <c r="A59" s="388"/>
      <c r="B59" s="1619" t="s">
        <v>3126</v>
      </c>
      <c r="C59" s="1620"/>
      <c r="D59" s="1620"/>
      <c r="E59" s="1620"/>
      <c r="F59" s="1620"/>
      <c r="G59" s="1620"/>
      <c r="H59" s="1620"/>
      <c r="I59" s="1621"/>
      <c r="J59" s="426"/>
      <c r="K59" s="1664" t="s">
        <v>17</v>
      </c>
      <c r="L59" s="1664"/>
      <c r="M59" s="1664"/>
      <c r="N59" s="1664"/>
      <c r="O59" s="1664"/>
      <c r="P59" s="1664"/>
      <c r="Q59" s="427"/>
      <c r="R59" s="1646" t="s">
        <v>18</v>
      </c>
      <c r="S59" s="1646"/>
      <c r="T59" s="1646"/>
      <c r="U59" s="1646"/>
      <c r="V59" s="1646"/>
      <c r="W59" s="1646"/>
      <c r="X59" s="427"/>
      <c r="Y59" s="1646" t="s">
        <v>2831</v>
      </c>
      <c r="Z59" s="1646"/>
      <c r="AA59" s="1646"/>
      <c r="AB59" s="1646"/>
      <c r="AC59" s="1646"/>
      <c r="AD59" s="431"/>
      <c r="AE59" s="1642"/>
      <c r="AF59" s="1642"/>
      <c r="AG59" s="1642"/>
      <c r="AH59" s="1642"/>
      <c r="AI59" s="1642"/>
      <c r="AJ59" s="387"/>
      <c r="AK59" s="387"/>
      <c r="AL59" s="415"/>
      <c r="AM59" s="387"/>
      <c r="AN59" s="386" t="b">
        <v>0</v>
      </c>
      <c r="AO59" s="386" t="b">
        <v>0</v>
      </c>
      <c r="AP59" s="386" t="b">
        <v>0</v>
      </c>
      <c r="AS59" s="413"/>
      <c r="AT59" s="455"/>
      <c r="AU59" s="455"/>
      <c r="AV59" s="455"/>
      <c r="AW59" s="455"/>
      <c r="AX59" s="455"/>
      <c r="AY59" s="455"/>
      <c r="BA59" s="388"/>
      <c r="BB59" s="1619" t="s">
        <v>3126</v>
      </c>
      <c r="BC59" s="1620"/>
      <c r="BD59" s="1620"/>
      <c r="BE59" s="1620"/>
      <c r="BF59" s="1620"/>
      <c r="BG59" s="1620"/>
      <c r="BH59" s="1620"/>
      <c r="BI59" s="1621"/>
      <c r="BJ59" s="426"/>
      <c r="BK59" s="1664" t="s">
        <v>17</v>
      </c>
      <c r="BL59" s="1664"/>
      <c r="BM59" s="1664"/>
      <c r="BN59" s="1664"/>
      <c r="BO59" s="1664"/>
      <c r="BP59" s="1664"/>
      <c r="BQ59" s="427"/>
      <c r="BR59" s="1646" t="s">
        <v>18</v>
      </c>
      <c r="BS59" s="1646"/>
      <c r="BT59" s="1646"/>
      <c r="BU59" s="1646"/>
      <c r="BV59" s="1646"/>
      <c r="BW59" s="1646"/>
      <c r="BX59" s="427"/>
      <c r="BY59" s="1646" t="s">
        <v>2831</v>
      </c>
      <c r="BZ59" s="1646"/>
      <c r="CA59" s="1646"/>
      <c r="CB59" s="1646"/>
      <c r="CC59" s="1646"/>
      <c r="CD59" s="431"/>
      <c r="CE59" s="1642"/>
      <c r="CF59" s="1642"/>
      <c r="CG59" s="1642"/>
      <c r="CH59" s="1642"/>
      <c r="CI59" s="1642"/>
      <c r="CJ59" s="387"/>
      <c r="CK59" s="387"/>
      <c r="CL59" s="415"/>
      <c r="CM59" s="387"/>
      <c r="CN59" s="386" t="b">
        <v>0</v>
      </c>
      <c r="CO59" s="386" t="b">
        <v>0</v>
      </c>
      <c r="CP59" s="386" t="b">
        <v>0</v>
      </c>
      <c r="CS59" s="413"/>
      <c r="CT59" s="455"/>
      <c r="CU59" s="455"/>
      <c r="CV59" s="455"/>
      <c r="CW59" s="455"/>
      <c r="CX59" s="455"/>
      <c r="CY59" s="455"/>
      <c r="DA59" s="388"/>
      <c r="DB59" s="1619" t="s">
        <v>3126</v>
      </c>
      <c r="DC59" s="1620"/>
      <c r="DD59" s="1620"/>
      <c r="DE59" s="1620"/>
      <c r="DF59" s="1620"/>
      <c r="DG59" s="1620"/>
      <c r="DH59" s="1620"/>
      <c r="DI59" s="1621"/>
      <c r="DJ59" s="426"/>
      <c r="DK59" s="1664" t="s">
        <v>17</v>
      </c>
      <c r="DL59" s="1664"/>
      <c r="DM59" s="1664"/>
      <c r="DN59" s="1664"/>
      <c r="DO59" s="1664"/>
      <c r="DP59" s="1664"/>
      <c r="DQ59" s="427"/>
      <c r="DR59" s="1646" t="s">
        <v>18</v>
      </c>
      <c r="DS59" s="1646"/>
      <c r="DT59" s="1646"/>
      <c r="DU59" s="1646"/>
      <c r="DV59" s="1646"/>
      <c r="DW59" s="1646"/>
      <c r="DX59" s="427"/>
      <c r="DY59" s="1646" t="s">
        <v>2831</v>
      </c>
      <c r="DZ59" s="1646"/>
      <c r="EA59" s="1646"/>
      <c r="EB59" s="1646"/>
      <c r="EC59" s="1646"/>
      <c r="ED59" s="431"/>
      <c r="EE59" s="1642"/>
      <c r="EF59" s="1642"/>
      <c r="EG59" s="1642"/>
      <c r="EH59" s="1642"/>
      <c r="EI59" s="1642"/>
      <c r="EJ59" s="387"/>
      <c r="EK59" s="387"/>
      <c r="EL59" s="415"/>
      <c r="EM59" s="387"/>
      <c r="EN59" s="386" t="b">
        <v>0</v>
      </c>
      <c r="EO59" s="386" t="b">
        <v>0</v>
      </c>
      <c r="EP59" s="386" t="b">
        <v>0</v>
      </c>
      <c r="ES59" s="413"/>
      <c r="ET59" s="455"/>
      <c r="FA59" s="388"/>
      <c r="FB59" s="1619" t="s">
        <v>3126</v>
      </c>
      <c r="FC59" s="1620"/>
      <c r="FD59" s="1620"/>
      <c r="FE59" s="1620"/>
      <c r="FF59" s="1620"/>
      <c r="FG59" s="1620"/>
      <c r="FH59" s="1620"/>
      <c r="FI59" s="1621"/>
      <c r="FJ59" s="426"/>
      <c r="FK59" s="1664" t="s">
        <v>17</v>
      </c>
      <c r="FL59" s="1664"/>
      <c r="FM59" s="1664"/>
      <c r="FN59" s="1664"/>
      <c r="FO59" s="1664"/>
      <c r="FP59" s="1664"/>
      <c r="FQ59" s="427"/>
      <c r="FR59" s="1646" t="s">
        <v>18</v>
      </c>
      <c r="FS59" s="1646"/>
      <c r="FT59" s="1646"/>
      <c r="FU59" s="1646"/>
      <c r="FV59" s="1646"/>
      <c r="FW59" s="1646"/>
      <c r="FX59" s="427"/>
      <c r="FY59" s="1646" t="s">
        <v>2831</v>
      </c>
      <c r="FZ59" s="1646"/>
      <c r="GA59" s="1646"/>
      <c r="GB59" s="1646"/>
      <c r="GC59" s="1646"/>
      <c r="GD59" s="431"/>
      <c r="GE59" s="1642"/>
      <c r="GF59" s="1642"/>
      <c r="GG59" s="1642"/>
      <c r="GH59" s="1642"/>
      <c r="GI59" s="1642"/>
      <c r="GJ59" s="387"/>
      <c r="GK59" s="387"/>
      <c r="GL59" s="415"/>
      <c r="GM59" s="387"/>
      <c r="GN59" s="386" t="b">
        <v>0</v>
      </c>
      <c r="GO59" s="386" t="b">
        <v>0</v>
      </c>
      <c r="GP59" s="386" t="b">
        <v>0</v>
      </c>
    </row>
    <row r="60" spans="1:200" ht="17.100000000000001" customHeight="1">
      <c r="A60" s="388"/>
      <c r="B60" s="1619" t="s">
        <v>3127</v>
      </c>
      <c r="C60" s="1620"/>
      <c r="D60" s="1620"/>
      <c r="E60" s="1620"/>
      <c r="F60" s="1620"/>
      <c r="G60" s="1620"/>
      <c r="H60" s="1620"/>
      <c r="I60" s="1621"/>
      <c r="J60" s="410"/>
      <c r="K60" s="1620" t="s">
        <v>3128</v>
      </c>
      <c r="L60" s="1620"/>
      <c r="M60" s="1620"/>
      <c r="N60" s="1620"/>
      <c r="O60" s="1620"/>
      <c r="P60" s="1695"/>
      <c r="Q60" s="425"/>
      <c r="R60" s="1620" t="s">
        <v>3129</v>
      </c>
      <c r="S60" s="1620"/>
      <c r="T60" s="1620"/>
      <c r="U60" s="1620"/>
      <c r="V60" s="1620"/>
      <c r="W60" s="411"/>
      <c r="X60" s="425"/>
      <c r="Y60" s="1620" t="s">
        <v>21</v>
      </c>
      <c r="Z60" s="1620"/>
      <c r="AA60" s="1620"/>
      <c r="AB60" s="1620"/>
      <c r="AC60" s="1620"/>
      <c r="AD60" s="411"/>
      <c r="AE60" s="429"/>
      <c r="AF60" s="1646" t="s">
        <v>22</v>
      </c>
      <c r="AG60" s="1646"/>
      <c r="AH60" s="1646"/>
      <c r="AI60" s="1646"/>
      <c r="AJ60" s="1646"/>
      <c r="AK60" s="420"/>
      <c r="AL60" s="453"/>
      <c r="AM60" s="404"/>
      <c r="AN60" s="386" t="b">
        <v>0</v>
      </c>
      <c r="AO60" s="386" t="b">
        <v>0</v>
      </c>
      <c r="AP60" s="386" t="b">
        <v>0</v>
      </c>
      <c r="AQ60" s="386" t="b">
        <v>0</v>
      </c>
      <c r="AS60" s="413"/>
      <c r="BA60" s="388"/>
      <c r="BB60" s="1619" t="s">
        <v>3127</v>
      </c>
      <c r="BC60" s="1620"/>
      <c r="BD60" s="1620"/>
      <c r="BE60" s="1620"/>
      <c r="BF60" s="1620"/>
      <c r="BG60" s="1620"/>
      <c r="BH60" s="1620"/>
      <c r="BI60" s="1621"/>
      <c r="BJ60" s="410"/>
      <c r="BK60" s="1620" t="s">
        <v>3128</v>
      </c>
      <c r="BL60" s="1620"/>
      <c r="BM60" s="1620"/>
      <c r="BN60" s="1620"/>
      <c r="BO60" s="1620"/>
      <c r="BP60" s="1695"/>
      <c r="BQ60" s="425"/>
      <c r="BR60" s="1620" t="s">
        <v>3129</v>
      </c>
      <c r="BS60" s="1620"/>
      <c r="BT60" s="1620"/>
      <c r="BU60" s="1620"/>
      <c r="BV60" s="1620"/>
      <c r="BW60" s="411"/>
      <c r="BX60" s="425"/>
      <c r="BY60" s="1620" t="s">
        <v>21</v>
      </c>
      <c r="BZ60" s="1620"/>
      <c r="CA60" s="1620"/>
      <c r="CB60" s="1620"/>
      <c r="CC60" s="1620"/>
      <c r="CD60" s="411"/>
      <c r="CE60" s="429"/>
      <c r="CF60" s="1646" t="s">
        <v>22</v>
      </c>
      <c r="CG60" s="1646"/>
      <c r="CH60" s="1646"/>
      <c r="CI60" s="1646"/>
      <c r="CJ60" s="1646"/>
      <c r="CK60" s="420"/>
      <c r="CL60" s="453"/>
      <c r="CM60" s="404"/>
      <c r="CN60" s="386" t="b">
        <v>0</v>
      </c>
      <c r="CO60" s="386" t="b">
        <v>0</v>
      </c>
      <c r="CP60" s="386" t="b">
        <v>0</v>
      </c>
      <c r="CQ60" s="386" t="b">
        <v>0</v>
      </c>
      <c r="CS60" s="413"/>
      <c r="DA60" s="388"/>
      <c r="DB60" s="1619" t="s">
        <v>3127</v>
      </c>
      <c r="DC60" s="1620"/>
      <c r="DD60" s="1620"/>
      <c r="DE60" s="1620"/>
      <c r="DF60" s="1620"/>
      <c r="DG60" s="1620"/>
      <c r="DH60" s="1620"/>
      <c r="DI60" s="1621"/>
      <c r="DJ60" s="410"/>
      <c r="DK60" s="1620" t="s">
        <v>3128</v>
      </c>
      <c r="DL60" s="1620"/>
      <c r="DM60" s="1620"/>
      <c r="DN60" s="1620"/>
      <c r="DO60" s="1620"/>
      <c r="DP60" s="1695"/>
      <c r="DQ60" s="425"/>
      <c r="DR60" s="1620" t="s">
        <v>3129</v>
      </c>
      <c r="DS60" s="1620"/>
      <c r="DT60" s="1620"/>
      <c r="DU60" s="1620"/>
      <c r="DV60" s="1620"/>
      <c r="DW60" s="411"/>
      <c r="DX60" s="425"/>
      <c r="DY60" s="1620" t="s">
        <v>21</v>
      </c>
      <c r="DZ60" s="1620"/>
      <c r="EA60" s="1620"/>
      <c r="EB60" s="1620"/>
      <c r="EC60" s="1620"/>
      <c r="ED60" s="411"/>
      <c r="EE60" s="429"/>
      <c r="EF60" s="1646" t="s">
        <v>22</v>
      </c>
      <c r="EG60" s="1646"/>
      <c r="EH60" s="1646"/>
      <c r="EI60" s="1646"/>
      <c r="EJ60" s="1646"/>
      <c r="EK60" s="420"/>
      <c r="EL60" s="453"/>
      <c r="EM60" s="404"/>
      <c r="EN60" s="386" t="b">
        <v>0</v>
      </c>
      <c r="EO60" s="386" t="b">
        <v>0</v>
      </c>
      <c r="EP60" s="386" t="b">
        <v>0</v>
      </c>
      <c r="EQ60" s="386" t="b">
        <v>0</v>
      </c>
      <c r="ES60" s="413"/>
      <c r="FA60" s="388"/>
      <c r="FB60" s="1619" t="s">
        <v>3127</v>
      </c>
      <c r="FC60" s="1620"/>
      <c r="FD60" s="1620"/>
      <c r="FE60" s="1620"/>
      <c r="FF60" s="1620"/>
      <c r="FG60" s="1620"/>
      <c r="FH60" s="1620"/>
      <c r="FI60" s="1621"/>
      <c r="FJ60" s="410"/>
      <c r="FK60" s="1620" t="s">
        <v>3128</v>
      </c>
      <c r="FL60" s="1620"/>
      <c r="FM60" s="1620"/>
      <c r="FN60" s="1620"/>
      <c r="FO60" s="1620"/>
      <c r="FP60" s="1695"/>
      <c r="FQ60" s="425"/>
      <c r="FR60" s="1620" t="s">
        <v>3129</v>
      </c>
      <c r="FS60" s="1620"/>
      <c r="FT60" s="1620"/>
      <c r="FU60" s="1620"/>
      <c r="FV60" s="1620"/>
      <c r="FW60" s="411"/>
      <c r="FX60" s="425"/>
      <c r="FY60" s="1620" t="s">
        <v>21</v>
      </c>
      <c r="FZ60" s="1620"/>
      <c r="GA60" s="1620"/>
      <c r="GB60" s="1620"/>
      <c r="GC60" s="1620"/>
      <c r="GD60" s="411"/>
      <c r="GE60" s="429"/>
      <c r="GF60" s="1646" t="s">
        <v>22</v>
      </c>
      <c r="GG60" s="1646"/>
      <c r="GH60" s="1646"/>
      <c r="GI60" s="1646"/>
      <c r="GJ60" s="1646"/>
      <c r="GK60" s="420"/>
      <c r="GL60" s="453"/>
      <c r="GM60" s="404"/>
      <c r="GN60" s="386" t="b">
        <v>0</v>
      </c>
      <c r="GO60" s="386" t="b">
        <v>0</v>
      </c>
      <c r="GP60" s="386" t="b">
        <v>0</v>
      </c>
      <c r="GQ60" s="386" t="b">
        <v>0</v>
      </c>
    </row>
    <row r="61" spans="1:200" ht="20.100000000000001" customHeight="1">
      <c r="A61" s="388"/>
      <c r="B61" s="1619" t="s">
        <v>3130</v>
      </c>
      <c r="C61" s="1620"/>
      <c r="D61" s="1620"/>
      <c r="E61" s="1620"/>
      <c r="F61" s="1620"/>
      <c r="G61" s="1620"/>
      <c r="H61" s="1620"/>
      <c r="I61" s="1621"/>
      <c r="J61" s="1688"/>
      <c r="K61" s="1689"/>
      <c r="L61" s="1689"/>
      <c r="M61" s="1689"/>
      <c r="N61" s="1689"/>
      <c r="O61" s="411" t="s">
        <v>23</v>
      </c>
      <c r="P61" s="411"/>
      <c r="Q61" s="1697"/>
      <c r="R61" s="1689"/>
      <c r="S61" s="1689"/>
      <c r="T61" s="1689"/>
      <c r="U61" s="1689"/>
      <c r="V61" s="411" t="s">
        <v>23</v>
      </c>
      <c r="W61" s="411"/>
      <c r="X61" s="1697"/>
      <c r="Y61" s="1689"/>
      <c r="Z61" s="1689"/>
      <c r="AA61" s="1689"/>
      <c r="AB61" s="1689"/>
      <c r="AC61" s="411" t="s">
        <v>23</v>
      </c>
      <c r="AD61" s="411"/>
      <c r="AE61" s="1696"/>
      <c r="AF61" s="1638"/>
      <c r="AG61" s="1638"/>
      <c r="AH61" s="1638"/>
      <c r="AI61" s="1638"/>
      <c r="AJ61" s="427" t="s">
        <v>23</v>
      </c>
      <c r="AK61" s="427"/>
      <c r="AL61" s="453"/>
      <c r="AM61" s="387"/>
      <c r="AS61" s="413"/>
      <c r="BA61" s="388"/>
      <c r="BB61" s="1619" t="s">
        <v>3130</v>
      </c>
      <c r="BC61" s="1620"/>
      <c r="BD61" s="1620"/>
      <c r="BE61" s="1620"/>
      <c r="BF61" s="1620"/>
      <c r="BG61" s="1620"/>
      <c r="BH61" s="1620"/>
      <c r="BI61" s="1621"/>
      <c r="BJ61" s="1688"/>
      <c r="BK61" s="1689"/>
      <c r="BL61" s="1689"/>
      <c r="BM61" s="1689"/>
      <c r="BN61" s="1689"/>
      <c r="BO61" s="411" t="s">
        <v>23</v>
      </c>
      <c r="BP61" s="411"/>
      <c r="BQ61" s="1697"/>
      <c r="BR61" s="1689"/>
      <c r="BS61" s="1689"/>
      <c r="BT61" s="1689"/>
      <c r="BU61" s="1689"/>
      <c r="BV61" s="411" t="s">
        <v>23</v>
      </c>
      <c r="BW61" s="411"/>
      <c r="BX61" s="1697"/>
      <c r="BY61" s="1689"/>
      <c r="BZ61" s="1689"/>
      <c r="CA61" s="1689"/>
      <c r="CB61" s="1689"/>
      <c r="CC61" s="411" t="s">
        <v>23</v>
      </c>
      <c r="CD61" s="411"/>
      <c r="CE61" s="1696"/>
      <c r="CF61" s="1638"/>
      <c r="CG61" s="1638"/>
      <c r="CH61" s="1638"/>
      <c r="CI61" s="1638"/>
      <c r="CJ61" s="427" t="s">
        <v>23</v>
      </c>
      <c r="CK61" s="427"/>
      <c r="CL61" s="453"/>
      <c r="CM61" s="387"/>
      <c r="CS61" s="413"/>
      <c r="DA61" s="388"/>
      <c r="DB61" s="1619" t="s">
        <v>3130</v>
      </c>
      <c r="DC61" s="1620"/>
      <c r="DD61" s="1620"/>
      <c r="DE61" s="1620"/>
      <c r="DF61" s="1620"/>
      <c r="DG61" s="1620"/>
      <c r="DH61" s="1620"/>
      <c r="DI61" s="1621"/>
      <c r="DJ61" s="1688"/>
      <c r="DK61" s="1689"/>
      <c r="DL61" s="1689"/>
      <c r="DM61" s="1689"/>
      <c r="DN61" s="1689"/>
      <c r="DO61" s="411" t="s">
        <v>23</v>
      </c>
      <c r="DP61" s="411"/>
      <c r="DQ61" s="1697"/>
      <c r="DR61" s="1689"/>
      <c r="DS61" s="1689"/>
      <c r="DT61" s="1689"/>
      <c r="DU61" s="1689"/>
      <c r="DV61" s="411" t="s">
        <v>23</v>
      </c>
      <c r="DW61" s="411"/>
      <c r="DX61" s="1697"/>
      <c r="DY61" s="1689"/>
      <c r="DZ61" s="1689"/>
      <c r="EA61" s="1689"/>
      <c r="EB61" s="1689"/>
      <c r="EC61" s="411" t="s">
        <v>23</v>
      </c>
      <c r="ED61" s="411"/>
      <c r="EE61" s="1696"/>
      <c r="EF61" s="1638"/>
      <c r="EG61" s="1638"/>
      <c r="EH61" s="1638"/>
      <c r="EI61" s="1638"/>
      <c r="EJ61" s="427" t="s">
        <v>23</v>
      </c>
      <c r="EK61" s="427"/>
      <c r="EL61" s="453"/>
      <c r="EM61" s="387"/>
      <c r="ES61" s="413"/>
      <c r="FA61" s="388"/>
      <c r="FB61" s="1619" t="s">
        <v>3130</v>
      </c>
      <c r="FC61" s="1620"/>
      <c r="FD61" s="1620"/>
      <c r="FE61" s="1620"/>
      <c r="FF61" s="1620"/>
      <c r="FG61" s="1620"/>
      <c r="FH61" s="1620"/>
      <c r="FI61" s="1621"/>
      <c r="FJ61" s="1688"/>
      <c r="FK61" s="1689"/>
      <c r="FL61" s="1689"/>
      <c r="FM61" s="1689"/>
      <c r="FN61" s="1689"/>
      <c r="FO61" s="411" t="s">
        <v>23</v>
      </c>
      <c r="FP61" s="411"/>
      <c r="FQ61" s="1697"/>
      <c r="FR61" s="1689"/>
      <c r="FS61" s="1689"/>
      <c r="FT61" s="1689"/>
      <c r="FU61" s="1689"/>
      <c r="FV61" s="411" t="s">
        <v>23</v>
      </c>
      <c r="FW61" s="411"/>
      <c r="FX61" s="1697"/>
      <c r="FY61" s="1689"/>
      <c r="FZ61" s="1689"/>
      <c r="GA61" s="1689"/>
      <c r="GB61" s="1689"/>
      <c r="GC61" s="411" t="s">
        <v>23</v>
      </c>
      <c r="GD61" s="411"/>
      <c r="GE61" s="1696"/>
      <c r="GF61" s="1638"/>
      <c r="GG61" s="1638"/>
      <c r="GH61" s="1638"/>
      <c r="GI61" s="1638"/>
      <c r="GJ61" s="427" t="s">
        <v>23</v>
      </c>
      <c r="GK61" s="427"/>
      <c r="GL61" s="453"/>
      <c r="GM61" s="387"/>
    </row>
    <row r="62" spans="1:200" ht="27" customHeight="1">
      <c r="A62" s="388"/>
      <c r="B62" s="1667" t="s">
        <v>3131</v>
      </c>
      <c r="C62" s="1668"/>
      <c r="D62" s="1668"/>
      <c r="E62" s="1668"/>
      <c r="F62" s="1668"/>
      <c r="G62" s="1668"/>
      <c r="H62" s="1668"/>
      <c r="I62" s="1675"/>
      <c r="J62" s="1637"/>
      <c r="K62" s="1638"/>
      <c r="L62" s="1638"/>
      <c r="M62" s="1638"/>
      <c r="N62" s="1638"/>
      <c r="O62" s="411" t="s">
        <v>24</v>
      </c>
      <c r="P62" s="411"/>
      <c r="Q62" s="1696"/>
      <c r="R62" s="1638"/>
      <c r="S62" s="1638"/>
      <c r="T62" s="1638"/>
      <c r="U62" s="1638"/>
      <c r="V62" s="411" t="s">
        <v>24</v>
      </c>
      <c r="W62" s="411"/>
      <c r="X62" s="1696"/>
      <c r="Y62" s="1638"/>
      <c r="Z62" s="1638"/>
      <c r="AA62" s="1638"/>
      <c r="AB62" s="1638"/>
      <c r="AC62" s="411" t="s">
        <v>24</v>
      </c>
      <c r="AD62" s="411"/>
      <c r="AE62" s="1696"/>
      <c r="AF62" s="1638"/>
      <c r="AG62" s="1638"/>
      <c r="AH62" s="1638"/>
      <c r="AI62" s="1638"/>
      <c r="AJ62" s="411" t="s">
        <v>24</v>
      </c>
      <c r="AK62" s="411"/>
      <c r="AL62" s="453"/>
      <c r="AM62" s="387"/>
      <c r="AS62" s="413"/>
      <c r="BA62" s="388"/>
      <c r="BB62" s="1667" t="s">
        <v>3131</v>
      </c>
      <c r="BC62" s="1668"/>
      <c r="BD62" s="1668"/>
      <c r="BE62" s="1668"/>
      <c r="BF62" s="1668"/>
      <c r="BG62" s="1668"/>
      <c r="BH62" s="1668"/>
      <c r="BI62" s="1675"/>
      <c r="BJ62" s="1637"/>
      <c r="BK62" s="1638"/>
      <c r="BL62" s="1638"/>
      <c r="BM62" s="1638"/>
      <c r="BN62" s="1638"/>
      <c r="BO62" s="411" t="s">
        <v>24</v>
      </c>
      <c r="BP62" s="411"/>
      <c r="BQ62" s="1696"/>
      <c r="BR62" s="1638"/>
      <c r="BS62" s="1638"/>
      <c r="BT62" s="1638"/>
      <c r="BU62" s="1638"/>
      <c r="BV62" s="411" t="s">
        <v>24</v>
      </c>
      <c r="BW62" s="411"/>
      <c r="BX62" s="1696"/>
      <c r="BY62" s="1638"/>
      <c r="BZ62" s="1638"/>
      <c r="CA62" s="1638"/>
      <c r="CB62" s="1638"/>
      <c r="CC62" s="411" t="s">
        <v>24</v>
      </c>
      <c r="CD62" s="411"/>
      <c r="CE62" s="1696"/>
      <c r="CF62" s="1638"/>
      <c r="CG62" s="1638"/>
      <c r="CH62" s="1638"/>
      <c r="CI62" s="1638"/>
      <c r="CJ62" s="411" t="s">
        <v>24</v>
      </c>
      <c r="CK62" s="411"/>
      <c r="CL62" s="453"/>
      <c r="CM62" s="387"/>
      <c r="CS62" s="413"/>
      <c r="DA62" s="388"/>
      <c r="DB62" s="1667" t="s">
        <v>3131</v>
      </c>
      <c r="DC62" s="1668"/>
      <c r="DD62" s="1668"/>
      <c r="DE62" s="1668"/>
      <c r="DF62" s="1668"/>
      <c r="DG62" s="1668"/>
      <c r="DH62" s="1668"/>
      <c r="DI62" s="1675"/>
      <c r="DJ62" s="1637"/>
      <c r="DK62" s="1638"/>
      <c r="DL62" s="1638"/>
      <c r="DM62" s="1638"/>
      <c r="DN62" s="1638"/>
      <c r="DO62" s="411" t="s">
        <v>24</v>
      </c>
      <c r="DP62" s="411"/>
      <c r="DQ62" s="1696"/>
      <c r="DR62" s="1638"/>
      <c r="DS62" s="1638"/>
      <c r="DT62" s="1638"/>
      <c r="DU62" s="1638"/>
      <c r="DV62" s="411" t="s">
        <v>24</v>
      </c>
      <c r="DW62" s="411"/>
      <c r="DX62" s="1696"/>
      <c r="DY62" s="1638"/>
      <c r="DZ62" s="1638"/>
      <c r="EA62" s="1638"/>
      <c r="EB62" s="1638"/>
      <c r="EC62" s="411" t="s">
        <v>24</v>
      </c>
      <c r="ED62" s="411"/>
      <c r="EE62" s="1696"/>
      <c r="EF62" s="1638"/>
      <c r="EG62" s="1638"/>
      <c r="EH62" s="1638"/>
      <c r="EI62" s="1638"/>
      <c r="EJ62" s="411" t="s">
        <v>24</v>
      </c>
      <c r="EK62" s="411"/>
      <c r="EL62" s="453"/>
      <c r="EM62" s="387"/>
      <c r="ES62" s="413"/>
      <c r="FA62" s="388"/>
      <c r="FB62" s="1667" t="s">
        <v>3131</v>
      </c>
      <c r="FC62" s="1668"/>
      <c r="FD62" s="1668"/>
      <c r="FE62" s="1668"/>
      <c r="FF62" s="1668"/>
      <c r="FG62" s="1668"/>
      <c r="FH62" s="1668"/>
      <c r="FI62" s="1675"/>
      <c r="FJ62" s="1637"/>
      <c r="FK62" s="1638"/>
      <c r="FL62" s="1638"/>
      <c r="FM62" s="1638"/>
      <c r="FN62" s="1638"/>
      <c r="FO62" s="411" t="s">
        <v>24</v>
      </c>
      <c r="FP62" s="411"/>
      <c r="FQ62" s="1696"/>
      <c r="FR62" s="1638"/>
      <c r="FS62" s="1638"/>
      <c r="FT62" s="1638"/>
      <c r="FU62" s="1638"/>
      <c r="FV62" s="411" t="s">
        <v>24</v>
      </c>
      <c r="FW62" s="411"/>
      <c r="FX62" s="1696"/>
      <c r="FY62" s="1638"/>
      <c r="FZ62" s="1638"/>
      <c r="GA62" s="1638"/>
      <c r="GB62" s="1638"/>
      <c r="GC62" s="411" t="s">
        <v>24</v>
      </c>
      <c r="GD62" s="411"/>
      <c r="GE62" s="1696"/>
      <c r="GF62" s="1638"/>
      <c r="GG62" s="1638"/>
      <c r="GH62" s="1638"/>
      <c r="GI62" s="1638"/>
      <c r="GJ62" s="411" t="s">
        <v>24</v>
      </c>
      <c r="GK62" s="411"/>
      <c r="GL62" s="453"/>
      <c r="GM62" s="387"/>
    </row>
    <row r="63" spans="1:200" ht="3.9" customHeight="1">
      <c r="A63" s="388"/>
      <c r="B63" s="392"/>
      <c r="C63" s="392"/>
      <c r="D63" s="392"/>
      <c r="E63" s="392"/>
      <c r="F63" s="392"/>
      <c r="G63" s="392"/>
      <c r="H63" s="392"/>
      <c r="I63" s="392"/>
      <c r="AJ63" s="387"/>
      <c r="AK63" s="387"/>
      <c r="AL63" s="415"/>
      <c r="AM63" s="387"/>
      <c r="AS63" s="413"/>
      <c r="BA63" s="388"/>
      <c r="BB63" s="392"/>
      <c r="BC63" s="392"/>
      <c r="BD63" s="392"/>
      <c r="BE63" s="392"/>
      <c r="BF63" s="392"/>
      <c r="BG63" s="392"/>
      <c r="BH63" s="392"/>
      <c r="BI63" s="392"/>
      <c r="CJ63" s="387"/>
      <c r="CK63" s="387"/>
      <c r="CL63" s="415"/>
      <c r="CM63" s="387"/>
      <c r="CS63" s="413"/>
      <c r="DA63" s="388"/>
      <c r="DB63" s="392"/>
      <c r="DC63" s="392"/>
      <c r="DD63" s="392"/>
      <c r="DE63" s="392"/>
      <c r="DF63" s="392"/>
      <c r="DG63" s="392"/>
      <c r="DH63" s="392"/>
      <c r="DI63" s="392"/>
      <c r="EJ63" s="387"/>
      <c r="EK63" s="387"/>
      <c r="EL63" s="415"/>
      <c r="EM63" s="387"/>
      <c r="ES63" s="413"/>
      <c r="FA63" s="388"/>
      <c r="FB63" s="392"/>
      <c r="FC63" s="392"/>
      <c r="FD63" s="392"/>
      <c r="FE63" s="392"/>
      <c r="FF63" s="392"/>
      <c r="FG63" s="392"/>
      <c r="FH63" s="392"/>
      <c r="FI63" s="392"/>
      <c r="GJ63" s="387"/>
      <c r="GK63" s="387"/>
      <c r="GL63" s="415"/>
      <c r="GM63" s="387"/>
    </row>
    <row r="64" spans="1:200" ht="3.9" customHeight="1">
      <c r="A64" s="388"/>
      <c r="B64" s="392"/>
      <c r="C64" s="392"/>
      <c r="D64" s="392"/>
      <c r="E64" s="392"/>
      <c r="F64" s="392"/>
      <c r="G64" s="392"/>
      <c r="H64" s="392"/>
      <c r="I64" s="392"/>
      <c r="AJ64" s="387"/>
      <c r="AK64" s="387"/>
      <c r="AL64" s="415"/>
      <c r="AM64" s="387"/>
      <c r="AS64" s="413"/>
      <c r="BA64" s="388"/>
      <c r="BB64" s="392"/>
      <c r="BC64" s="392"/>
      <c r="BD64" s="392"/>
      <c r="BE64" s="392"/>
      <c r="BF64" s="392"/>
      <c r="BG64" s="392"/>
      <c r="BH64" s="392"/>
      <c r="BI64" s="392"/>
      <c r="CJ64" s="387"/>
      <c r="CK64" s="387"/>
      <c r="CL64" s="415"/>
      <c r="CM64" s="387"/>
      <c r="CS64" s="413"/>
      <c r="DA64" s="388"/>
      <c r="DB64" s="392"/>
      <c r="DC64" s="392"/>
      <c r="DD64" s="392"/>
      <c r="DE64" s="392"/>
      <c r="DF64" s="392"/>
      <c r="DG64" s="392"/>
      <c r="DH64" s="392"/>
      <c r="DI64" s="392"/>
      <c r="EJ64" s="387"/>
      <c r="EK64" s="387"/>
      <c r="EL64" s="415"/>
      <c r="EM64" s="387"/>
      <c r="ES64" s="413"/>
      <c r="FA64" s="388"/>
      <c r="FB64" s="392"/>
      <c r="FC64" s="392"/>
      <c r="FD64" s="392"/>
      <c r="FE64" s="392"/>
      <c r="FF64" s="392"/>
      <c r="FG64" s="392"/>
      <c r="FH64" s="392"/>
      <c r="FI64" s="392"/>
      <c r="GJ64" s="387"/>
      <c r="GK64" s="387"/>
      <c r="GL64" s="415"/>
      <c r="GM64" s="387"/>
    </row>
    <row r="65" spans="1:199" ht="18" customHeight="1">
      <c r="A65" s="388"/>
      <c r="B65" s="1619" t="s">
        <v>3098</v>
      </c>
      <c r="C65" s="1620"/>
      <c r="D65" s="1620"/>
      <c r="E65" s="1620"/>
      <c r="F65" s="1620"/>
      <c r="G65" s="1620"/>
      <c r="H65" s="1620"/>
      <c r="I65" s="1620"/>
      <c r="J65" s="1688"/>
      <c r="K65" s="1689"/>
      <c r="L65" s="1689"/>
      <c r="M65" s="1689"/>
      <c r="N65" s="1689"/>
      <c r="O65" s="1689"/>
      <c r="P65" s="1690"/>
      <c r="Q65" s="446"/>
      <c r="R65" s="446"/>
      <c r="S65" s="446"/>
      <c r="T65" s="446"/>
      <c r="U65" s="446"/>
      <c r="V65" s="446"/>
      <c r="W65" s="446"/>
      <c r="X65" s="446"/>
      <c r="Y65" s="446"/>
      <c r="Z65" s="446"/>
      <c r="AA65" s="446"/>
      <c r="AB65" s="446"/>
      <c r="AC65" s="446"/>
      <c r="AD65" s="446"/>
      <c r="AE65" s="446"/>
      <c r="AF65" s="446"/>
      <c r="AG65" s="446"/>
      <c r="AH65" s="446"/>
      <c r="AI65" s="446"/>
      <c r="AJ65" s="387"/>
      <c r="AK65" s="387"/>
      <c r="AL65" s="415"/>
      <c r="AM65" s="387"/>
      <c r="AS65" s="413"/>
      <c r="BA65" s="388"/>
      <c r="BB65" s="1619" t="s">
        <v>3098</v>
      </c>
      <c r="BC65" s="1620"/>
      <c r="BD65" s="1620"/>
      <c r="BE65" s="1620"/>
      <c r="BF65" s="1620"/>
      <c r="BG65" s="1620"/>
      <c r="BH65" s="1620"/>
      <c r="BI65" s="1620"/>
      <c r="BJ65" s="1688"/>
      <c r="BK65" s="1689"/>
      <c r="BL65" s="1689"/>
      <c r="BM65" s="1689"/>
      <c r="BN65" s="1689"/>
      <c r="BO65" s="1689"/>
      <c r="BP65" s="1690"/>
      <c r="BQ65" s="446"/>
      <c r="BR65" s="446"/>
      <c r="BS65" s="446"/>
      <c r="BT65" s="446"/>
      <c r="BU65" s="446"/>
      <c r="BV65" s="446"/>
      <c r="BW65" s="446"/>
      <c r="BX65" s="446"/>
      <c r="BY65" s="446"/>
      <c r="BZ65" s="446"/>
      <c r="CA65" s="446"/>
      <c r="CB65" s="446"/>
      <c r="CC65" s="446"/>
      <c r="CD65" s="446"/>
      <c r="CE65" s="446"/>
      <c r="CF65" s="446"/>
      <c r="CG65" s="446"/>
      <c r="CH65" s="446"/>
      <c r="CI65" s="446"/>
      <c r="CJ65" s="387"/>
      <c r="CK65" s="387"/>
      <c r="CL65" s="415"/>
      <c r="CM65" s="387"/>
      <c r="CS65" s="413"/>
      <c r="DA65" s="388"/>
      <c r="DB65" s="1619" t="s">
        <v>3098</v>
      </c>
      <c r="DC65" s="1620"/>
      <c r="DD65" s="1620"/>
      <c r="DE65" s="1620"/>
      <c r="DF65" s="1620"/>
      <c r="DG65" s="1620"/>
      <c r="DH65" s="1620"/>
      <c r="DI65" s="1620"/>
      <c r="DJ65" s="1688"/>
      <c r="DK65" s="1689"/>
      <c r="DL65" s="1689"/>
      <c r="DM65" s="1689"/>
      <c r="DN65" s="1689"/>
      <c r="DO65" s="1689"/>
      <c r="DP65" s="1690"/>
      <c r="DQ65" s="446"/>
      <c r="DR65" s="446"/>
      <c r="DS65" s="446"/>
      <c r="DT65" s="446"/>
      <c r="DU65" s="446"/>
      <c r="DV65" s="446"/>
      <c r="DW65" s="446"/>
      <c r="DX65" s="446"/>
      <c r="DY65" s="446"/>
      <c r="DZ65" s="446"/>
      <c r="EA65" s="446"/>
      <c r="EB65" s="446"/>
      <c r="EC65" s="446"/>
      <c r="ED65" s="446"/>
      <c r="EE65" s="446"/>
      <c r="EF65" s="446"/>
      <c r="EG65" s="446"/>
      <c r="EH65" s="446"/>
      <c r="EI65" s="446"/>
      <c r="EJ65" s="387"/>
      <c r="EK65" s="387"/>
      <c r="EL65" s="415"/>
      <c r="EM65" s="387"/>
      <c r="ES65" s="413"/>
      <c r="FA65" s="388"/>
      <c r="FB65" s="1619" t="s">
        <v>3098</v>
      </c>
      <c r="FC65" s="1620"/>
      <c r="FD65" s="1620"/>
      <c r="FE65" s="1620"/>
      <c r="FF65" s="1620"/>
      <c r="FG65" s="1620"/>
      <c r="FH65" s="1620"/>
      <c r="FI65" s="1620"/>
      <c r="FJ65" s="1688"/>
      <c r="FK65" s="1689"/>
      <c r="FL65" s="1689"/>
      <c r="FM65" s="1689"/>
      <c r="FN65" s="1689"/>
      <c r="FO65" s="1689"/>
      <c r="FP65" s="1690"/>
      <c r="FQ65" s="446"/>
      <c r="FR65" s="446"/>
      <c r="FS65" s="446"/>
      <c r="FT65" s="446"/>
      <c r="FU65" s="446"/>
      <c r="FV65" s="446"/>
      <c r="FW65" s="446"/>
      <c r="FX65" s="446"/>
      <c r="FY65" s="446"/>
      <c r="FZ65" s="446"/>
      <c r="GA65" s="446"/>
      <c r="GB65" s="446"/>
      <c r="GC65" s="446"/>
      <c r="GD65" s="446"/>
      <c r="GE65" s="446"/>
      <c r="GF65" s="446"/>
      <c r="GG65" s="446"/>
      <c r="GH65" s="446"/>
      <c r="GI65" s="446"/>
      <c r="GJ65" s="387"/>
      <c r="GK65" s="387"/>
      <c r="GL65" s="415"/>
      <c r="GM65" s="387"/>
    </row>
    <row r="66" spans="1:199" ht="30.9" customHeight="1">
      <c r="A66" s="388"/>
      <c r="B66" s="1645" t="s">
        <v>3115</v>
      </c>
      <c r="C66" s="1666"/>
      <c r="D66" s="1666"/>
      <c r="E66" s="1666"/>
      <c r="F66" s="1666"/>
      <c r="G66" s="1666"/>
      <c r="H66" s="1666"/>
      <c r="I66" s="1672"/>
      <c r="J66" s="426"/>
      <c r="K66" s="420" t="s">
        <v>2825</v>
      </c>
      <c r="L66" s="420"/>
      <c r="M66" s="420"/>
      <c r="N66" s="420"/>
      <c r="O66" s="427"/>
      <c r="P66" s="416"/>
      <c r="Q66" s="449" t="s">
        <v>2826</v>
      </c>
      <c r="R66" s="407"/>
      <c r="S66" s="407"/>
      <c r="T66" s="427"/>
      <c r="U66" s="407"/>
      <c r="V66" s="407"/>
      <c r="W66" s="427"/>
      <c r="X66" s="407"/>
      <c r="Y66" s="407"/>
      <c r="Z66" s="431"/>
      <c r="AA66" s="388"/>
      <c r="AB66" s="387"/>
      <c r="AC66" s="387"/>
      <c r="AD66" s="387"/>
      <c r="AE66" s="387"/>
      <c r="AF66" s="387"/>
      <c r="AG66" s="387"/>
      <c r="AH66" s="387"/>
      <c r="AI66" s="387"/>
      <c r="AJ66" s="387"/>
      <c r="AK66" s="387"/>
      <c r="AL66" s="415"/>
      <c r="AM66" s="387" t="str">
        <f>IF(AND($AN$13=TRUE,COUNTIF(AN66:AP66,TRUE)=0),"未入力",IF(COUNTIF(AN66:AP66,TRUE)=2,"複数選択",""))</f>
        <v/>
      </c>
      <c r="AN66" s="418" t="b">
        <v>0</v>
      </c>
      <c r="AO66" s="418" t="b">
        <v>0</v>
      </c>
      <c r="AS66" s="413"/>
      <c r="BA66" s="388"/>
      <c r="BB66" s="1645" t="s">
        <v>3115</v>
      </c>
      <c r="BC66" s="1666"/>
      <c r="BD66" s="1666"/>
      <c r="BE66" s="1666"/>
      <c r="BF66" s="1666"/>
      <c r="BG66" s="1666"/>
      <c r="BH66" s="1666"/>
      <c r="BI66" s="1672"/>
      <c r="BJ66" s="426"/>
      <c r="BK66" s="420" t="s">
        <v>2825</v>
      </c>
      <c r="BL66" s="420"/>
      <c r="BM66" s="420"/>
      <c r="BN66" s="420"/>
      <c r="BO66" s="427"/>
      <c r="BP66" s="416"/>
      <c r="BQ66" s="449" t="s">
        <v>2826</v>
      </c>
      <c r="BR66" s="407"/>
      <c r="BS66" s="407"/>
      <c r="BT66" s="427"/>
      <c r="BU66" s="407"/>
      <c r="BV66" s="407"/>
      <c r="BW66" s="427"/>
      <c r="BX66" s="407"/>
      <c r="BY66" s="407"/>
      <c r="BZ66" s="431"/>
      <c r="CA66" s="388"/>
      <c r="CB66" s="387"/>
      <c r="CC66" s="387"/>
      <c r="CD66" s="387"/>
      <c r="CE66" s="387"/>
      <c r="CF66" s="387"/>
      <c r="CG66" s="387"/>
      <c r="CH66" s="387"/>
      <c r="CI66" s="387"/>
      <c r="CJ66" s="387"/>
      <c r="CK66" s="387"/>
      <c r="CL66" s="415"/>
      <c r="CM66" s="387" t="str">
        <f>IF(AND($AN$13=TRUE,COUNTIF(CN66:CP66,TRUE)=0),"未入力",IF(COUNTIF(CN66:CP66,TRUE)=2,"複数選択",""))</f>
        <v/>
      </c>
      <c r="CN66" s="418" t="b">
        <v>0</v>
      </c>
      <c r="CO66" s="418" t="b">
        <v>0</v>
      </c>
      <c r="CS66" s="413"/>
      <c r="DA66" s="388"/>
      <c r="DB66" s="1645" t="s">
        <v>3115</v>
      </c>
      <c r="DC66" s="1666"/>
      <c r="DD66" s="1666"/>
      <c r="DE66" s="1666"/>
      <c r="DF66" s="1666"/>
      <c r="DG66" s="1666"/>
      <c r="DH66" s="1666"/>
      <c r="DI66" s="1672"/>
      <c r="DJ66" s="426"/>
      <c r="DK66" s="420" t="s">
        <v>2825</v>
      </c>
      <c r="DL66" s="420"/>
      <c r="DM66" s="420"/>
      <c r="DN66" s="420"/>
      <c r="DO66" s="427"/>
      <c r="DP66" s="416"/>
      <c r="DQ66" s="449" t="s">
        <v>2826</v>
      </c>
      <c r="DR66" s="407"/>
      <c r="DS66" s="407"/>
      <c r="DT66" s="427"/>
      <c r="DU66" s="407"/>
      <c r="DV66" s="407"/>
      <c r="DW66" s="427"/>
      <c r="DX66" s="407"/>
      <c r="DY66" s="407"/>
      <c r="DZ66" s="431"/>
      <c r="EA66" s="388"/>
      <c r="EB66" s="387"/>
      <c r="EC66" s="387"/>
      <c r="ED66" s="387"/>
      <c r="EE66" s="387"/>
      <c r="EF66" s="387"/>
      <c r="EG66" s="387"/>
      <c r="EH66" s="387"/>
      <c r="EI66" s="387"/>
      <c r="EJ66" s="387"/>
      <c r="EK66" s="387"/>
      <c r="EL66" s="415"/>
      <c r="EM66" s="387" t="str">
        <f>IF(AND($AN$13=TRUE,COUNTIF(EN66:EP66,TRUE)=0),"未入力",IF(COUNTIF(EN66:EP66,TRUE)=2,"複数選択",""))</f>
        <v/>
      </c>
      <c r="EN66" s="386" t="b">
        <v>0</v>
      </c>
      <c r="EO66" s="386" t="b">
        <v>0</v>
      </c>
      <c r="ES66" s="413"/>
      <c r="FA66" s="388"/>
      <c r="FB66" s="1645" t="s">
        <v>3115</v>
      </c>
      <c r="FC66" s="1666"/>
      <c r="FD66" s="1666"/>
      <c r="FE66" s="1666"/>
      <c r="FF66" s="1666"/>
      <c r="FG66" s="1666"/>
      <c r="FH66" s="1666"/>
      <c r="FI66" s="1672"/>
      <c r="FJ66" s="426"/>
      <c r="FK66" s="420" t="s">
        <v>2825</v>
      </c>
      <c r="FL66" s="420"/>
      <c r="FM66" s="420"/>
      <c r="FN66" s="420"/>
      <c r="FO66" s="427"/>
      <c r="FP66" s="416"/>
      <c r="FQ66" s="449" t="s">
        <v>2826</v>
      </c>
      <c r="FR66" s="407"/>
      <c r="FS66" s="407"/>
      <c r="FT66" s="427"/>
      <c r="FU66" s="407"/>
      <c r="FV66" s="407"/>
      <c r="FW66" s="427"/>
      <c r="FX66" s="407"/>
      <c r="FY66" s="407"/>
      <c r="FZ66" s="431"/>
      <c r="GA66" s="388"/>
      <c r="GB66" s="387"/>
      <c r="GC66" s="387"/>
      <c r="GD66" s="387"/>
      <c r="GE66" s="387"/>
      <c r="GF66" s="387"/>
      <c r="GG66" s="387"/>
      <c r="GH66" s="387"/>
      <c r="GI66" s="387"/>
      <c r="GJ66" s="387"/>
      <c r="GK66" s="387"/>
      <c r="GL66" s="415"/>
      <c r="GM66" s="387" t="str">
        <f>IF(AND($AN$13=TRUE,COUNTIF(GN66:GP66,TRUE)=0),"未入力",IF(COUNTIF(GN66:GP66,TRUE)=2,"複数選択",""))</f>
        <v/>
      </c>
      <c r="GN66" s="386" t="b">
        <v>0</v>
      </c>
      <c r="GO66" s="386" t="b">
        <v>0</v>
      </c>
    </row>
    <row r="67" spans="1:199" ht="17.100000000000001" customHeight="1">
      <c r="A67" s="388"/>
      <c r="B67" s="1684" t="s">
        <v>3116</v>
      </c>
      <c r="C67" s="1650"/>
      <c r="D67" s="1650"/>
      <c r="E67" s="1650"/>
      <c r="F67" s="1650"/>
      <c r="G67" s="1650"/>
      <c r="H67" s="1650"/>
      <c r="I67" s="1691"/>
      <c r="J67" s="426"/>
      <c r="K67" s="427" t="s">
        <v>3117</v>
      </c>
      <c r="L67" s="427"/>
      <c r="M67" s="427"/>
      <c r="N67" s="427"/>
      <c r="O67" s="427"/>
      <c r="P67" s="427"/>
      <c r="Q67" s="427"/>
      <c r="R67" s="427"/>
      <c r="S67" s="1646" t="s">
        <v>2827</v>
      </c>
      <c r="T67" s="1646"/>
      <c r="U67" s="1646"/>
      <c r="V67" s="1646"/>
      <c r="W67" s="1646"/>
      <c r="X67" s="427"/>
      <c r="Y67" s="427"/>
      <c r="Z67" s="1646" t="s">
        <v>2828</v>
      </c>
      <c r="AA67" s="1646"/>
      <c r="AB67" s="1646"/>
      <c r="AC67" s="1646"/>
      <c r="AD67" s="1646"/>
      <c r="AE67" s="1646"/>
      <c r="AF67" s="1646"/>
      <c r="AG67" s="1646"/>
      <c r="AH67" s="1646"/>
      <c r="AI67" s="1693"/>
      <c r="AJ67" s="387"/>
      <c r="AK67" s="387"/>
      <c r="AL67" s="415"/>
      <c r="AM67" s="387" t="str">
        <f>IF(AND($AN$13=TRUE,COUNTIF(AN67:AP67,TRUE)=0),"未入力",IF(COUNTIF(AN67:AP67,TRUE)=2,"複数選択",""))</f>
        <v/>
      </c>
      <c r="AN67" s="418" t="b">
        <v>0</v>
      </c>
      <c r="AO67" s="418" t="b">
        <v>0</v>
      </c>
      <c r="AP67" s="386" t="b">
        <v>0</v>
      </c>
      <c r="AS67" s="413"/>
      <c r="BA67" s="388"/>
      <c r="BB67" s="1684" t="s">
        <v>3116</v>
      </c>
      <c r="BC67" s="1650"/>
      <c r="BD67" s="1650"/>
      <c r="BE67" s="1650"/>
      <c r="BF67" s="1650"/>
      <c r="BG67" s="1650"/>
      <c r="BH67" s="1650"/>
      <c r="BI67" s="1691"/>
      <c r="BJ67" s="426"/>
      <c r="BK67" s="427" t="s">
        <v>3117</v>
      </c>
      <c r="BL67" s="427"/>
      <c r="BM67" s="427"/>
      <c r="BN67" s="427"/>
      <c r="BO67" s="427"/>
      <c r="BP67" s="427"/>
      <c r="BQ67" s="427"/>
      <c r="BR67" s="427"/>
      <c r="BS67" s="1646" t="s">
        <v>2827</v>
      </c>
      <c r="BT67" s="1646"/>
      <c r="BU67" s="1646"/>
      <c r="BV67" s="1646"/>
      <c r="BW67" s="1646"/>
      <c r="BX67" s="427"/>
      <c r="BY67" s="427"/>
      <c r="BZ67" s="1646" t="s">
        <v>2828</v>
      </c>
      <c r="CA67" s="1646"/>
      <c r="CB67" s="1646"/>
      <c r="CC67" s="1646"/>
      <c r="CD67" s="1646"/>
      <c r="CE67" s="1646"/>
      <c r="CF67" s="1646"/>
      <c r="CG67" s="1646"/>
      <c r="CH67" s="1646"/>
      <c r="CI67" s="1693"/>
      <c r="CJ67" s="387"/>
      <c r="CK67" s="387"/>
      <c r="CL67" s="415"/>
      <c r="CM67" s="387" t="str">
        <f>IF(AND($AN$13=TRUE,COUNTIF(CN67:CP67,TRUE)=0),"未入力",IF(COUNTIF(CN67:CP67,TRUE)=2,"複数選択",""))</f>
        <v/>
      </c>
      <c r="CN67" s="418" t="b">
        <v>0</v>
      </c>
      <c r="CO67" s="418" t="b">
        <v>0</v>
      </c>
      <c r="CP67" s="386" t="b">
        <v>0</v>
      </c>
      <c r="CS67" s="413"/>
      <c r="DA67" s="388"/>
      <c r="DB67" s="1684" t="s">
        <v>3116</v>
      </c>
      <c r="DC67" s="1650"/>
      <c r="DD67" s="1650"/>
      <c r="DE67" s="1650"/>
      <c r="DF67" s="1650"/>
      <c r="DG67" s="1650"/>
      <c r="DH67" s="1650"/>
      <c r="DI67" s="1691"/>
      <c r="DJ67" s="426"/>
      <c r="DK67" s="427" t="s">
        <v>3117</v>
      </c>
      <c r="DL67" s="427"/>
      <c r="DM67" s="427"/>
      <c r="DN67" s="427"/>
      <c r="DO67" s="427"/>
      <c r="DP67" s="427"/>
      <c r="DQ67" s="427"/>
      <c r="DR67" s="427"/>
      <c r="DS67" s="1646" t="s">
        <v>2827</v>
      </c>
      <c r="DT67" s="1646"/>
      <c r="DU67" s="1646"/>
      <c r="DV67" s="1646"/>
      <c r="DW67" s="1646"/>
      <c r="DX67" s="427"/>
      <c r="DY67" s="427"/>
      <c r="DZ67" s="1646" t="s">
        <v>2828</v>
      </c>
      <c r="EA67" s="1646"/>
      <c r="EB67" s="1646"/>
      <c r="EC67" s="1646"/>
      <c r="ED67" s="1646"/>
      <c r="EE67" s="1646"/>
      <c r="EF67" s="1646"/>
      <c r="EG67" s="1646"/>
      <c r="EH67" s="1646"/>
      <c r="EI67" s="1693"/>
      <c r="EJ67" s="387"/>
      <c r="EK67" s="387"/>
      <c r="EL67" s="415"/>
      <c r="EM67" s="387" t="str">
        <f>IF(AND($AN$13=TRUE,COUNTIF(EN67:EP67,TRUE)=0),"未入力",IF(COUNTIF(EN67:EP67,TRUE)=2,"複数選択",""))</f>
        <v/>
      </c>
      <c r="EN67" s="386" t="b">
        <v>0</v>
      </c>
      <c r="EO67" s="386" t="b">
        <v>0</v>
      </c>
      <c r="EP67" s="386" t="b">
        <v>0</v>
      </c>
      <c r="ES67" s="413"/>
      <c r="FA67" s="388"/>
      <c r="FB67" s="1684" t="s">
        <v>3116</v>
      </c>
      <c r="FC67" s="1650"/>
      <c r="FD67" s="1650"/>
      <c r="FE67" s="1650"/>
      <c r="FF67" s="1650"/>
      <c r="FG67" s="1650"/>
      <c r="FH67" s="1650"/>
      <c r="FI67" s="1691"/>
      <c r="FJ67" s="426"/>
      <c r="FK67" s="427" t="s">
        <v>3117</v>
      </c>
      <c r="FL67" s="427"/>
      <c r="FM67" s="427"/>
      <c r="FN67" s="427"/>
      <c r="FO67" s="427"/>
      <c r="FP67" s="427"/>
      <c r="FQ67" s="427"/>
      <c r="FR67" s="427"/>
      <c r="FS67" s="1646" t="s">
        <v>2827</v>
      </c>
      <c r="FT67" s="1646"/>
      <c r="FU67" s="1646"/>
      <c r="FV67" s="1646"/>
      <c r="FW67" s="1646"/>
      <c r="FX67" s="427"/>
      <c r="FY67" s="427"/>
      <c r="FZ67" s="1646" t="s">
        <v>2828</v>
      </c>
      <c r="GA67" s="1646"/>
      <c r="GB67" s="1646"/>
      <c r="GC67" s="1646"/>
      <c r="GD67" s="1646"/>
      <c r="GE67" s="1646"/>
      <c r="GF67" s="1646"/>
      <c r="GG67" s="1646"/>
      <c r="GH67" s="1646"/>
      <c r="GI67" s="1693"/>
      <c r="GJ67" s="387"/>
      <c r="GK67" s="387"/>
      <c r="GL67" s="415"/>
      <c r="GM67" s="387" t="str">
        <f>IF(AND($AN$13=TRUE,COUNTIF(GN67:GP67,TRUE)=0),"未入力",IF(COUNTIF(GN67:GP67,TRUE)=2,"複数選択",""))</f>
        <v/>
      </c>
      <c r="GN67" s="386" t="b">
        <v>0</v>
      </c>
      <c r="GO67" s="386" t="b">
        <v>0</v>
      </c>
      <c r="GP67" s="386" t="b">
        <v>0</v>
      </c>
    </row>
    <row r="68" spans="1:199" ht="17.100000000000001" customHeight="1">
      <c r="A68" s="388"/>
      <c r="B68" s="1685"/>
      <c r="C68" s="1686"/>
      <c r="D68" s="1686"/>
      <c r="E68" s="1686"/>
      <c r="F68" s="1686"/>
      <c r="G68" s="1686"/>
      <c r="H68" s="1686"/>
      <c r="I68" s="1692"/>
      <c r="J68" s="433"/>
      <c r="K68" s="1648" t="s">
        <v>2829</v>
      </c>
      <c r="L68" s="1648"/>
      <c r="M68" s="1648"/>
      <c r="N68" s="1648"/>
      <c r="O68" s="1648"/>
      <c r="P68" s="1648"/>
      <c r="Q68" s="1648"/>
      <c r="R68" s="1648"/>
      <c r="S68" s="443"/>
      <c r="T68" s="443"/>
      <c r="U68" s="1648" t="s">
        <v>2830</v>
      </c>
      <c r="V68" s="1648"/>
      <c r="W68" s="1648"/>
      <c r="X68" s="1648"/>
      <c r="Y68" s="443"/>
      <c r="Z68" s="443"/>
      <c r="AA68" s="443"/>
      <c r="AB68" s="443"/>
      <c r="AC68" s="443"/>
      <c r="AD68" s="443"/>
      <c r="AE68" s="443"/>
      <c r="AF68" s="443"/>
      <c r="AG68" s="443"/>
      <c r="AH68" s="443"/>
      <c r="AI68" s="437"/>
      <c r="AJ68" s="387"/>
      <c r="AK68" s="387"/>
      <c r="AL68" s="415"/>
      <c r="AM68" s="387" t="str">
        <f>IF(AND($AN$13=TRUE,K68=""),"未入力","")</f>
        <v/>
      </c>
      <c r="AN68" s="386" t="b">
        <v>0</v>
      </c>
      <c r="AO68" s="386" t="b">
        <v>0</v>
      </c>
      <c r="AS68" s="413"/>
      <c r="BA68" s="388"/>
      <c r="BB68" s="1685"/>
      <c r="BC68" s="1686"/>
      <c r="BD68" s="1686"/>
      <c r="BE68" s="1686"/>
      <c r="BF68" s="1686"/>
      <c r="BG68" s="1686"/>
      <c r="BH68" s="1686"/>
      <c r="BI68" s="1692"/>
      <c r="BJ68" s="433"/>
      <c r="BK68" s="1648" t="s">
        <v>2829</v>
      </c>
      <c r="BL68" s="1648"/>
      <c r="BM68" s="1648"/>
      <c r="BN68" s="1648"/>
      <c r="BO68" s="1648"/>
      <c r="BP68" s="1648"/>
      <c r="BQ68" s="1648"/>
      <c r="BR68" s="1648"/>
      <c r="BS68" s="443"/>
      <c r="BT68" s="443"/>
      <c r="BU68" s="1648" t="s">
        <v>2830</v>
      </c>
      <c r="BV68" s="1648"/>
      <c r="BW68" s="1648"/>
      <c r="BX68" s="1648"/>
      <c r="BY68" s="443"/>
      <c r="BZ68" s="443"/>
      <c r="CA68" s="443"/>
      <c r="CB68" s="443"/>
      <c r="CC68" s="443"/>
      <c r="CD68" s="443"/>
      <c r="CE68" s="443"/>
      <c r="CF68" s="443"/>
      <c r="CG68" s="443"/>
      <c r="CH68" s="443"/>
      <c r="CI68" s="437"/>
      <c r="CJ68" s="387"/>
      <c r="CK68" s="387"/>
      <c r="CL68" s="415"/>
      <c r="CM68" s="387" t="str">
        <f>IF(AND($AN$13=TRUE,BK68=""),"未入力","")</f>
        <v/>
      </c>
      <c r="CN68" s="386" t="b">
        <v>0</v>
      </c>
      <c r="CO68" s="386" t="b">
        <v>0</v>
      </c>
      <c r="CS68" s="413"/>
      <c r="DA68" s="388"/>
      <c r="DB68" s="1685"/>
      <c r="DC68" s="1686"/>
      <c r="DD68" s="1686"/>
      <c r="DE68" s="1686"/>
      <c r="DF68" s="1686"/>
      <c r="DG68" s="1686"/>
      <c r="DH68" s="1686"/>
      <c r="DI68" s="1692"/>
      <c r="DJ68" s="433"/>
      <c r="DK68" s="1648" t="s">
        <v>2829</v>
      </c>
      <c r="DL68" s="1648"/>
      <c r="DM68" s="1648"/>
      <c r="DN68" s="1648"/>
      <c r="DO68" s="1648"/>
      <c r="DP68" s="1648"/>
      <c r="DQ68" s="1648"/>
      <c r="DR68" s="1648"/>
      <c r="DS68" s="443"/>
      <c r="DT68" s="443"/>
      <c r="DU68" s="1648" t="s">
        <v>2830</v>
      </c>
      <c r="DV68" s="1648"/>
      <c r="DW68" s="1648"/>
      <c r="DX68" s="1648"/>
      <c r="DY68" s="443"/>
      <c r="DZ68" s="443"/>
      <c r="EA68" s="443"/>
      <c r="EB68" s="443"/>
      <c r="EC68" s="443"/>
      <c r="ED68" s="443"/>
      <c r="EE68" s="443"/>
      <c r="EF68" s="443"/>
      <c r="EG68" s="443"/>
      <c r="EH68" s="443"/>
      <c r="EI68" s="437"/>
      <c r="EJ68" s="387"/>
      <c r="EK68" s="387"/>
      <c r="EL68" s="415"/>
      <c r="EM68" s="387" t="str">
        <f>IF(AND($AN$13=TRUE,DK68=""),"未入力","")</f>
        <v/>
      </c>
      <c r="EN68" s="386" t="b">
        <v>0</v>
      </c>
      <c r="EO68" s="386" t="b">
        <v>0</v>
      </c>
      <c r="ES68" s="413"/>
      <c r="FA68" s="388"/>
      <c r="FB68" s="1685"/>
      <c r="FC68" s="1686"/>
      <c r="FD68" s="1686"/>
      <c r="FE68" s="1686"/>
      <c r="FF68" s="1686"/>
      <c r="FG68" s="1686"/>
      <c r="FH68" s="1686"/>
      <c r="FI68" s="1692"/>
      <c r="FJ68" s="433"/>
      <c r="FK68" s="1648" t="s">
        <v>2829</v>
      </c>
      <c r="FL68" s="1648"/>
      <c r="FM68" s="1648"/>
      <c r="FN68" s="1648"/>
      <c r="FO68" s="1648"/>
      <c r="FP68" s="1648"/>
      <c r="FQ68" s="1648"/>
      <c r="FR68" s="1648"/>
      <c r="FS68" s="443"/>
      <c r="FT68" s="443"/>
      <c r="FU68" s="1648" t="s">
        <v>2830</v>
      </c>
      <c r="FV68" s="1648"/>
      <c r="FW68" s="1648"/>
      <c r="FX68" s="1648"/>
      <c r="FY68" s="443"/>
      <c r="FZ68" s="443"/>
      <c r="GA68" s="443"/>
      <c r="GB68" s="443"/>
      <c r="GC68" s="443"/>
      <c r="GD68" s="443"/>
      <c r="GE68" s="443"/>
      <c r="GF68" s="443"/>
      <c r="GG68" s="443"/>
      <c r="GH68" s="443"/>
      <c r="GI68" s="437"/>
      <c r="GJ68" s="387"/>
      <c r="GK68" s="387"/>
      <c r="GL68" s="415"/>
      <c r="GM68" s="387" t="str">
        <f>IF(AND($AN$13=TRUE,FK68=""),"未入力","")</f>
        <v/>
      </c>
      <c r="GN68" s="386" t="b">
        <v>0</v>
      </c>
      <c r="GO68" s="386" t="b">
        <v>0</v>
      </c>
    </row>
    <row r="69" spans="1:199" ht="17.100000000000001" customHeight="1">
      <c r="A69" s="388"/>
      <c r="B69" s="1663" t="s">
        <v>3118</v>
      </c>
      <c r="C69" s="1664"/>
      <c r="D69" s="1664"/>
      <c r="E69" s="1664"/>
      <c r="F69" s="1664"/>
      <c r="G69" s="1664"/>
      <c r="H69" s="1664"/>
      <c r="I69" s="1694"/>
      <c r="J69" s="410"/>
      <c r="K69" s="1620" t="s">
        <v>3119</v>
      </c>
      <c r="L69" s="1620"/>
      <c r="M69" s="1620"/>
      <c r="N69" s="1620"/>
      <c r="O69" s="1620"/>
      <c r="P69" s="452"/>
      <c r="Q69" s="411"/>
      <c r="R69" s="1664" t="s">
        <v>3120</v>
      </c>
      <c r="S69" s="1664"/>
      <c r="T69" s="1664"/>
      <c r="U69" s="1664"/>
      <c r="V69" s="1664"/>
      <c r="W69" s="1664"/>
      <c r="X69" s="411"/>
      <c r="Y69" s="1620" t="s">
        <v>3121</v>
      </c>
      <c r="Z69" s="1620"/>
      <c r="AA69" s="1620"/>
      <c r="AB69" s="1620"/>
      <c r="AC69" s="1620"/>
      <c r="AD69" s="1621"/>
      <c r="AE69" s="387"/>
      <c r="AF69" s="387"/>
      <c r="AG69" s="387"/>
      <c r="AH69" s="387"/>
      <c r="AJ69" s="387"/>
      <c r="AK69" s="387"/>
      <c r="AL69" s="415"/>
      <c r="AM69" s="387" t="str">
        <f>IF(AND($AN$13=TRUE,M69=""),"未入力","")</f>
        <v/>
      </c>
      <c r="AN69" s="386" t="b">
        <v>0</v>
      </c>
      <c r="AO69" s="386" t="b">
        <v>0</v>
      </c>
      <c r="AP69" s="386" t="b">
        <v>0</v>
      </c>
      <c r="AS69" s="413"/>
      <c r="BA69" s="388"/>
      <c r="BB69" s="1663" t="s">
        <v>3118</v>
      </c>
      <c r="BC69" s="1664"/>
      <c r="BD69" s="1664"/>
      <c r="BE69" s="1664"/>
      <c r="BF69" s="1664"/>
      <c r="BG69" s="1664"/>
      <c r="BH69" s="1664"/>
      <c r="BI69" s="1694"/>
      <c r="BJ69" s="410"/>
      <c r="BK69" s="1620" t="s">
        <v>3119</v>
      </c>
      <c r="BL69" s="1620"/>
      <c r="BM69" s="1620"/>
      <c r="BN69" s="1620"/>
      <c r="BO69" s="1620"/>
      <c r="BP69" s="452"/>
      <c r="BQ69" s="411"/>
      <c r="BR69" s="1664" t="s">
        <v>3120</v>
      </c>
      <c r="BS69" s="1664"/>
      <c r="BT69" s="1664"/>
      <c r="BU69" s="1664"/>
      <c r="BV69" s="1664"/>
      <c r="BW69" s="1664"/>
      <c r="BX69" s="411"/>
      <c r="BY69" s="1620" t="s">
        <v>3121</v>
      </c>
      <c r="BZ69" s="1620"/>
      <c r="CA69" s="1620"/>
      <c r="CB69" s="1620"/>
      <c r="CC69" s="1620"/>
      <c r="CD69" s="1621"/>
      <c r="CE69" s="387"/>
      <c r="CF69" s="387"/>
      <c r="CH69" s="387"/>
      <c r="CJ69" s="387"/>
      <c r="CK69" s="387"/>
      <c r="CL69" s="415"/>
      <c r="CM69" s="387" t="str">
        <f>IF(AND($AN$13=TRUE,BM69=""),"未入力","")</f>
        <v/>
      </c>
      <c r="CN69" s="386" t="b">
        <v>0</v>
      </c>
      <c r="CO69" s="386" t="b">
        <v>0</v>
      </c>
      <c r="CP69" s="386" t="b">
        <v>0</v>
      </c>
      <c r="CS69" s="413"/>
      <c r="DA69" s="388"/>
      <c r="DB69" s="1663" t="s">
        <v>3118</v>
      </c>
      <c r="DC69" s="1664"/>
      <c r="DD69" s="1664"/>
      <c r="DE69" s="1664"/>
      <c r="DF69" s="1664"/>
      <c r="DG69" s="1664"/>
      <c r="DH69" s="1664"/>
      <c r="DI69" s="1694"/>
      <c r="DJ69" s="410"/>
      <c r="DK69" s="1620" t="s">
        <v>3119</v>
      </c>
      <c r="DL69" s="1620"/>
      <c r="DM69" s="1620"/>
      <c r="DN69" s="1620"/>
      <c r="DO69" s="1620"/>
      <c r="DP69" s="452"/>
      <c r="DQ69" s="411"/>
      <c r="DR69" s="1664" t="s">
        <v>3120</v>
      </c>
      <c r="DS69" s="1664"/>
      <c r="DT69" s="1664"/>
      <c r="DU69" s="1664"/>
      <c r="DV69" s="1664"/>
      <c r="DW69" s="1664"/>
      <c r="DX69" s="411"/>
      <c r="DY69" s="1620" t="s">
        <v>3121</v>
      </c>
      <c r="DZ69" s="1620"/>
      <c r="EA69" s="1620"/>
      <c r="EB69" s="1620"/>
      <c r="EC69" s="1620"/>
      <c r="ED69" s="1621"/>
      <c r="EE69" s="387"/>
      <c r="EF69" s="387"/>
      <c r="EH69" s="387"/>
      <c r="EJ69" s="387"/>
      <c r="EK69" s="387"/>
      <c r="EL69" s="415"/>
      <c r="EM69" s="387" t="str">
        <f>IF(AND($AN$13=TRUE,DM69=""),"未入力","")</f>
        <v/>
      </c>
      <c r="EN69" s="386" t="b">
        <v>0</v>
      </c>
      <c r="EO69" s="386" t="b">
        <v>0</v>
      </c>
      <c r="EP69" s="386" t="b">
        <v>0</v>
      </c>
      <c r="ES69" s="413"/>
      <c r="FA69" s="388"/>
      <c r="FB69" s="1663" t="s">
        <v>3118</v>
      </c>
      <c r="FC69" s="1664"/>
      <c r="FD69" s="1664"/>
      <c r="FE69" s="1664"/>
      <c r="FF69" s="1664"/>
      <c r="FG69" s="1664"/>
      <c r="FH69" s="1664"/>
      <c r="FI69" s="1694"/>
      <c r="FJ69" s="410"/>
      <c r="FK69" s="1620" t="s">
        <v>3119</v>
      </c>
      <c r="FL69" s="1620"/>
      <c r="FM69" s="1620"/>
      <c r="FN69" s="1620"/>
      <c r="FO69" s="1620"/>
      <c r="FP69" s="452"/>
      <c r="FQ69" s="411"/>
      <c r="FR69" s="1664" t="s">
        <v>3120</v>
      </c>
      <c r="FS69" s="1664"/>
      <c r="FT69" s="1664"/>
      <c r="FU69" s="1664"/>
      <c r="FV69" s="1664"/>
      <c r="FW69" s="1664"/>
      <c r="FX69" s="411"/>
      <c r="FY69" s="1620" t="s">
        <v>3121</v>
      </c>
      <c r="FZ69" s="1620"/>
      <c r="GA69" s="1620"/>
      <c r="GB69" s="1620"/>
      <c r="GC69" s="1620"/>
      <c r="GD69" s="1621"/>
      <c r="GE69" s="387"/>
      <c r="GF69" s="387"/>
      <c r="GH69" s="387"/>
      <c r="GJ69" s="387"/>
      <c r="GK69" s="387"/>
      <c r="GL69" s="415"/>
      <c r="GM69" s="387" t="str">
        <f>IF(AND($AN$13=TRUE,FM69=""),"未入力","")</f>
        <v/>
      </c>
      <c r="GN69" s="386" t="b">
        <v>0</v>
      </c>
      <c r="GO69" s="386" t="b">
        <v>0</v>
      </c>
      <c r="GP69" s="386" t="b">
        <v>0</v>
      </c>
    </row>
    <row r="70" spans="1:199" ht="17.100000000000001" customHeight="1">
      <c r="A70" s="388"/>
      <c r="B70" s="1619" t="s">
        <v>3122</v>
      </c>
      <c r="C70" s="1620"/>
      <c r="D70" s="1620"/>
      <c r="E70" s="1620"/>
      <c r="F70" s="1620"/>
      <c r="G70" s="1620"/>
      <c r="H70" s="1620"/>
      <c r="I70" s="1621"/>
      <c r="J70" s="410"/>
      <c r="K70" s="1620" t="s">
        <v>3123</v>
      </c>
      <c r="L70" s="1620"/>
      <c r="M70" s="1620"/>
      <c r="N70" s="1620"/>
      <c r="O70" s="1620"/>
      <c r="P70" s="452"/>
      <c r="Q70" s="411"/>
      <c r="R70" s="1620" t="s">
        <v>3124</v>
      </c>
      <c r="S70" s="1620"/>
      <c r="T70" s="1620"/>
      <c r="U70" s="1620"/>
      <c r="V70" s="1620"/>
      <c r="W70" s="1620"/>
      <c r="X70" s="411"/>
      <c r="Y70" s="1664" t="s">
        <v>3125</v>
      </c>
      <c r="Z70" s="1664"/>
      <c r="AA70" s="1664"/>
      <c r="AB70" s="1664"/>
      <c r="AC70" s="1664"/>
      <c r="AD70" s="1694"/>
      <c r="AE70" s="387"/>
      <c r="AF70" s="387"/>
      <c r="AG70" s="387"/>
      <c r="AH70" s="387"/>
      <c r="AJ70" s="387"/>
      <c r="AK70" s="387"/>
      <c r="AL70" s="415"/>
      <c r="AM70" s="387" t="str">
        <f>IF(AND($AN$13=TRUE,COUNTIF(AN70:AP70,TRUE)=0),"未入力","")</f>
        <v/>
      </c>
      <c r="AN70" s="418" t="b">
        <v>0</v>
      </c>
      <c r="AO70" s="418" t="b">
        <v>0</v>
      </c>
      <c r="AP70" s="418" t="b">
        <v>0</v>
      </c>
      <c r="AS70" s="413"/>
      <c r="BA70" s="388"/>
      <c r="BB70" s="1619" t="s">
        <v>3122</v>
      </c>
      <c r="BC70" s="1620"/>
      <c r="BD70" s="1620"/>
      <c r="BE70" s="1620"/>
      <c r="BF70" s="1620"/>
      <c r="BG70" s="1620"/>
      <c r="BH70" s="1620"/>
      <c r="BI70" s="1621"/>
      <c r="BJ70" s="410"/>
      <c r="BK70" s="1620" t="s">
        <v>3123</v>
      </c>
      <c r="BL70" s="1620"/>
      <c r="BM70" s="1620"/>
      <c r="BN70" s="1620"/>
      <c r="BO70" s="1620"/>
      <c r="BP70" s="452"/>
      <c r="BQ70" s="411"/>
      <c r="BR70" s="1620" t="s">
        <v>3124</v>
      </c>
      <c r="BS70" s="1620"/>
      <c r="BT70" s="1620"/>
      <c r="BU70" s="1620"/>
      <c r="BV70" s="1620"/>
      <c r="BW70" s="1620"/>
      <c r="BX70" s="411"/>
      <c r="BY70" s="1664" t="s">
        <v>3125</v>
      </c>
      <c r="BZ70" s="1664"/>
      <c r="CA70" s="1664"/>
      <c r="CB70" s="1664"/>
      <c r="CC70" s="1664"/>
      <c r="CD70" s="1694"/>
      <c r="CE70" s="387"/>
      <c r="CF70" s="387"/>
      <c r="CG70" s="387"/>
      <c r="CH70" s="387"/>
      <c r="CJ70" s="387"/>
      <c r="CK70" s="387"/>
      <c r="CL70" s="415"/>
      <c r="CM70" s="387" t="str">
        <f>IF(AND($AN$13=TRUE,COUNTIF(CN70:CP70,TRUE)=0),"未入力","")</f>
        <v/>
      </c>
      <c r="CN70" s="418" t="b">
        <v>0</v>
      </c>
      <c r="CO70" s="418" t="b">
        <v>0</v>
      </c>
      <c r="CP70" s="418" t="b">
        <v>0</v>
      </c>
      <c r="CS70" s="413"/>
      <c r="DA70" s="388"/>
      <c r="DB70" s="1619" t="s">
        <v>3122</v>
      </c>
      <c r="DC70" s="1620"/>
      <c r="DD70" s="1620"/>
      <c r="DE70" s="1620"/>
      <c r="DF70" s="1620"/>
      <c r="DG70" s="1620"/>
      <c r="DH70" s="1620"/>
      <c r="DI70" s="1621"/>
      <c r="DJ70" s="410"/>
      <c r="DK70" s="1620" t="s">
        <v>3123</v>
      </c>
      <c r="DL70" s="1620"/>
      <c r="DM70" s="1620"/>
      <c r="DN70" s="1620"/>
      <c r="DO70" s="1620"/>
      <c r="DP70" s="452"/>
      <c r="DQ70" s="411"/>
      <c r="DR70" s="1620" t="s">
        <v>3124</v>
      </c>
      <c r="DS70" s="1620"/>
      <c r="DT70" s="1620"/>
      <c r="DU70" s="1620"/>
      <c r="DV70" s="1620"/>
      <c r="DW70" s="1620"/>
      <c r="DX70" s="411"/>
      <c r="DY70" s="1664" t="s">
        <v>3125</v>
      </c>
      <c r="DZ70" s="1664"/>
      <c r="EA70" s="1664"/>
      <c r="EB70" s="1664"/>
      <c r="EC70" s="1664"/>
      <c r="ED70" s="1694"/>
      <c r="EE70" s="387"/>
      <c r="EF70" s="387"/>
      <c r="EG70" s="387"/>
      <c r="EH70" s="387"/>
      <c r="EJ70" s="387"/>
      <c r="EK70" s="387"/>
      <c r="EL70" s="415"/>
      <c r="EM70" s="387" t="str">
        <f>IF(AND($AN$13=TRUE,COUNTIF(EN70:EP70,TRUE)=0),"未入力","")</f>
        <v/>
      </c>
      <c r="EN70" s="386" t="b">
        <v>0</v>
      </c>
      <c r="EO70" s="386" t="b">
        <v>0</v>
      </c>
      <c r="EP70" s="386" t="b">
        <v>0</v>
      </c>
      <c r="ES70" s="413"/>
      <c r="FA70" s="388"/>
      <c r="FB70" s="1619" t="s">
        <v>3122</v>
      </c>
      <c r="FC70" s="1620"/>
      <c r="FD70" s="1620"/>
      <c r="FE70" s="1620"/>
      <c r="FF70" s="1620"/>
      <c r="FG70" s="1620"/>
      <c r="FH70" s="1620"/>
      <c r="FI70" s="1621"/>
      <c r="FJ70" s="410"/>
      <c r="FK70" s="1620" t="s">
        <v>3123</v>
      </c>
      <c r="FL70" s="1620"/>
      <c r="FM70" s="1620"/>
      <c r="FN70" s="1620"/>
      <c r="FO70" s="1620"/>
      <c r="FP70" s="452"/>
      <c r="FQ70" s="411"/>
      <c r="FR70" s="1620" t="s">
        <v>3124</v>
      </c>
      <c r="FS70" s="1620"/>
      <c r="FT70" s="1620"/>
      <c r="FU70" s="1620"/>
      <c r="FV70" s="1620"/>
      <c r="FW70" s="1620"/>
      <c r="FX70" s="411"/>
      <c r="FY70" s="1664" t="s">
        <v>3125</v>
      </c>
      <c r="FZ70" s="1664"/>
      <c r="GA70" s="1664"/>
      <c r="GB70" s="1664"/>
      <c r="GC70" s="1664"/>
      <c r="GD70" s="1694"/>
      <c r="GE70" s="387"/>
      <c r="GF70" s="387"/>
      <c r="GG70" s="387"/>
      <c r="GH70" s="387"/>
      <c r="GJ70" s="387"/>
      <c r="GK70" s="387"/>
      <c r="GL70" s="415"/>
      <c r="GM70" s="387" t="str">
        <f>IF(AND($AN$13=TRUE,COUNTIF(GN70:GP70,TRUE)=0),"未入力","")</f>
        <v/>
      </c>
      <c r="GN70" s="386" t="b">
        <v>0</v>
      </c>
      <c r="GO70" s="386" t="b">
        <v>0</v>
      </c>
      <c r="GP70" s="386" t="b">
        <v>0</v>
      </c>
    </row>
    <row r="71" spans="1:199" ht="17.100000000000001" customHeight="1">
      <c r="A71" s="388"/>
      <c r="B71" s="1619" t="s">
        <v>3126</v>
      </c>
      <c r="C71" s="1620"/>
      <c r="D71" s="1620"/>
      <c r="E71" s="1620"/>
      <c r="F71" s="1620"/>
      <c r="G71" s="1620"/>
      <c r="H71" s="1620"/>
      <c r="I71" s="1621"/>
      <c r="J71" s="426"/>
      <c r="K71" s="1664" t="s">
        <v>17</v>
      </c>
      <c r="L71" s="1664"/>
      <c r="M71" s="1664"/>
      <c r="N71" s="1664"/>
      <c r="O71" s="1664"/>
      <c r="P71" s="1664"/>
      <c r="Q71" s="427"/>
      <c r="R71" s="1646" t="s">
        <v>18</v>
      </c>
      <c r="S71" s="1646"/>
      <c r="T71" s="1646"/>
      <c r="U71" s="1646"/>
      <c r="V71" s="1646"/>
      <c r="W71" s="1646"/>
      <c r="X71" s="427"/>
      <c r="Y71" s="1646" t="s">
        <v>2831</v>
      </c>
      <c r="Z71" s="1646"/>
      <c r="AA71" s="1646"/>
      <c r="AB71" s="1646"/>
      <c r="AC71" s="1646"/>
      <c r="AD71" s="431"/>
      <c r="AE71" s="1642"/>
      <c r="AF71" s="1642"/>
      <c r="AG71" s="1642"/>
      <c r="AH71" s="1642"/>
      <c r="AI71" s="1642"/>
      <c r="AJ71" s="387"/>
      <c r="AK71" s="387"/>
      <c r="AL71" s="415"/>
      <c r="AM71" s="387" t="str">
        <f>IF(AND($AN$13=TRUE,N71=""),"未入力","")</f>
        <v/>
      </c>
      <c r="AN71" s="386" t="b">
        <v>0</v>
      </c>
      <c r="AO71" s="386" t="b">
        <v>0</v>
      </c>
      <c r="AP71" s="386" t="b">
        <v>0</v>
      </c>
      <c r="AS71" s="413"/>
      <c r="BA71" s="388"/>
      <c r="BB71" s="1619" t="s">
        <v>3126</v>
      </c>
      <c r="BC71" s="1620"/>
      <c r="BD71" s="1620"/>
      <c r="BE71" s="1620"/>
      <c r="BF71" s="1620"/>
      <c r="BG71" s="1620"/>
      <c r="BH71" s="1620"/>
      <c r="BI71" s="1621"/>
      <c r="BJ71" s="426"/>
      <c r="BK71" s="1664" t="s">
        <v>17</v>
      </c>
      <c r="BL71" s="1664"/>
      <c r="BM71" s="1664"/>
      <c r="BN71" s="1664"/>
      <c r="BO71" s="1664"/>
      <c r="BP71" s="1664"/>
      <c r="BQ71" s="427"/>
      <c r="BR71" s="1646" t="s">
        <v>18</v>
      </c>
      <c r="BS71" s="1646"/>
      <c r="BT71" s="1646"/>
      <c r="BU71" s="1646"/>
      <c r="BV71" s="1646"/>
      <c r="BW71" s="1646"/>
      <c r="BX71" s="427"/>
      <c r="BY71" s="1646" t="s">
        <v>2831</v>
      </c>
      <c r="BZ71" s="1646"/>
      <c r="CA71" s="1646"/>
      <c r="CB71" s="1646"/>
      <c r="CC71" s="1646"/>
      <c r="CD71" s="431"/>
      <c r="CE71" s="1642"/>
      <c r="CF71" s="1642"/>
      <c r="CG71" s="1642"/>
      <c r="CH71" s="1642"/>
      <c r="CI71" s="1642"/>
      <c r="CJ71" s="387"/>
      <c r="CK71" s="387"/>
      <c r="CL71" s="415"/>
      <c r="CM71" s="387" t="str">
        <f>IF(AND($AN$13=TRUE,BN71=""),"未入力","")</f>
        <v/>
      </c>
      <c r="CN71" s="386" t="b">
        <v>0</v>
      </c>
      <c r="CO71" s="386" t="b">
        <v>0</v>
      </c>
      <c r="CP71" s="386" t="b">
        <v>0</v>
      </c>
      <c r="CS71" s="413"/>
      <c r="DA71" s="388"/>
      <c r="DB71" s="1619" t="s">
        <v>3126</v>
      </c>
      <c r="DC71" s="1620"/>
      <c r="DD71" s="1620"/>
      <c r="DE71" s="1620"/>
      <c r="DF71" s="1620"/>
      <c r="DG71" s="1620"/>
      <c r="DH71" s="1620"/>
      <c r="DI71" s="1621"/>
      <c r="DJ71" s="426"/>
      <c r="DK71" s="1664" t="s">
        <v>17</v>
      </c>
      <c r="DL71" s="1664"/>
      <c r="DM71" s="1664"/>
      <c r="DN71" s="1664"/>
      <c r="DO71" s="1664"/>
      <c r="DP71" s="1664"/>
      <c r="DQ71" s="427"/>
      <c r="DR71" s="1646" t="s">
        <v>18</v>
      </c>
      <c r="DS71" s="1646"/>
      <c r="DT71" s="1646"/>
      <c r="DU71" s="1646"/>
      <c r="DV71" s="1646"/>
      <c r="DW71" s="1646"/>
      <c r="DX71" s="427"/>
      <c r="DY71" s="1646" t="s">
        <v>2831</v>
      </c>
      <c r="DZ71" s="1646"/>
      <c r="EA71" s="1646"/>
      <c r="EB71" s="1646"/>
      <c r="EC71" s="1646"/>
      <c r="ED71" s="431"/>
      <c r="EE71" s="1642"/>
      <c r="EF71" s="1642"/>
      <c r="EG71" s="1642"/>
      <c r="EH71" s="1642"/>
      <c r="EI71" s="1642"/>
      <c r="EJ71" s="387"/>
      <c r="EK71" s="387"/>
      <c r="EL71" s="415"/>
      <c r="EM71" s="387" t="str">
        <f>IF(AND($AN$13=TRUE,DN71=""),"未入力","")</f>
        <v/>
      </c>
      <c r="EN71" s="386" t="b">
        <v>0</v>
      </c>
      <c r="EO71" s="386" t="b">
        <v>0</v>
      </c>
      <c r="EP71" s="386" t="b">
        <v>0</v>
      </c>
      <c r="ES71" s="413"/>
      <c r="FA71" s="388"/>
      <c r="FB71" s="1619" t="s">
        <v>3126</v>
      </c>
      <c r="FC71" s="1620"/>
      <c r="FD71" s="1620"/>
      <c r="FE71" s="1620"/>
      <c r="FF71" s="1620"/>
      <c r="FG71" s="1620"/>
      <c r="FH71" s="1620"/>
      <c r="FI71" s="1621"/>
      <c r="FJ71" s="426"/>
      <c r="FK71" s="1664" t="s">
        <v>17</v>
      </c>
      <c r="FL71" s="1664"/>
      <c r="FM71" s="1664"/>
      <c r="FN71" s="1664"/>
      <c r="FO71" s="1664"/>
      <c r="FP71" s="1664"/>
      <c r="FQ71" s="427"/>
      <c r="FR71" s="1646" t="s">
        <v>18</v>
      </c>
      <c r="FS71" s="1646"/>
      <c r="FT71" s="1646"/>
      <c r="FU71" s="1646"/>
      <c r="FV71" s="1646"/>
      <c r="FW71" s="1646"/>
      <c r="FX71" s="427"/>
      <c r="FY71" s="1646" t="s">
        <v>2831</v>
      </c>
      <c r="FZ71" s="1646"/>
      <c r="GA71" s="1646"/>
      <c r="GB71" s="1646"/>
      <c r="GC71" s="1646"/>
      <c r="GD71" s="431"/>
      <c r="GE71" s="1642"/>
      <c r="GF71" s="1642"/>
      <c r="GG71" s="1642"/>
      <c r="GH71" s="1642"/>
      <c r="GI71" s="1642"/>
      <c r="GJ71" s="387"/>
      <c r="GK71" s="387"/>
      <c r="GL71" s="415"/>
      <c r="GM71" s="387" t="str">
        <f>IF(AND($AN$13=TRUE,FN71=""),"未入力","")</f>
        <v/>
      </c>
      <c r="GN71" s="386" t="b">
        <v>0</v>
      </c>
      <c r="GO71" s="386" t="b">
        <v>0</v>
      </c>
      <c r="GP71" s="386" t="b">
        <v>0</v>
      </c>
    </row>
    <row r="72" spans="1:199" ht="17.100000000000001" customHeight="1">
      <c r="A72" s="388"/>
      <c r="B72" s="1619" t="s">
        <v>3127</v>
      </c>
      <c r="C72" s="1620"/>
      <c r="D72" s="1620"/>
      <c r="E72" s="1620"/>
      <c r="F72" s="1620"/>
      <c r="G72" s="1620"/>
      <c r="H72" s="1620"/>
      <c r="I72" s="1621"/>
      <c r="J72" s="410"/>
      <c r="K72" s="1620" t="s">
        <v>3128</v>
      </c>
      <c r="L72" s="1620"/>
      <c r="M72" s="1620"/>
      <c r="N72" s="1620"/>
      <c r="O72" s="1620"/>
      <c r="P72" s="1695"/>
      <c r="Q72" s="425"/>
      <c r="R72" s="1620" t="s">
        <v>3129</v>
      </c>
      <c r="S72" s="1620"/>
      <c r="T72" s="1620"/>
      <c r="U72" s="1620"/>
      <c r="V72" s="1620"/>
      <c r="W72" s="411"/>
      <c r="X72" s="425"/>
      <c r="Y72" s="1620" t="s">
        <v>21</v>
      </c>
      <c r="Z72" s="1620"/>
      <c r="AA72" s="1620"/>
      <c r="AB72" s="1620"/>
      <c r="AC72" s="1620"/>
      <c r="AD72" s="411"/>
      <c r="AE72" s="429"/>
      <c r="AF72" s="1646" t="s">
        <v>22</v>
      </c>
      <c r="AG72" s="1646"/>
      <c r="AH72" s="1646"/>
      <c r="AI72" s="1646"/>
      <c r="AJ72" s="1646"/>
      <c r="AK72" s="420"/>
      <c r="AL72" s="453"/>
      <c r="AM72" s="387" t="str">
        <f>IF(AND($AN$13=TRUE,N72=""),"未入力","")</f>
        <v/>
      </c>
      <c r="AN72" s="386" t="b">
        <v>0</v>
      </c>
      <c r="AO72" s="386" t="b">
        <v>0</v>
      </c>
      <c r="AP72" s="386" t="b">
        <v>0</v>
      </c>
      <c r="AQ72" s="386" t="b">
        <v>0</v>
      </c>
      <c r="AS72" s="413"/>
      <c r="BA72" s="388"/>
      <c r="BB72" s="1619" t="s">
        <v>3127</v>
      </c>
      <c r="BC72" s="1620"/>
      <c r="BD72" s="1620"/>
      <c r="BE72" s="1620"/>
      <c r="BF72" s="1620"/>
      <c r="BG72" s="1620"/>
      <c r="BH72" s="1620"/>
      <c r="BI72" s="1621"/>
      <c r="BJ72" s="410"/>
      <c r="BK72" s="1620" t="s">
        <v>3128</v>
      </c>
      <c r="BL72" s="1620"/>
      <c r="BM72" s="1620"/>
      <c r="BN72" s="1620"/>
      <c r="BO72" s="1620"/>
      <c r="BP72" s="1695"/>
      <c r="BQ72" s="425"/>
      <c r="BR72" s="1620" t="s">
        <v>3129</v>
      </c>
      <c r="BS72" s="1620"/>
      <c r="BT72" s="1620"/>
      <c r="BU72" s="1620"/>
      <c r="BV72" s="1620"/>
      <c r="BW72" s="411"/>
      <c r="BX72" s="425"/>
      <c r="BY72" s="1620" t="s">
        <v>21</v>
      </c>
      <c r="BZ72" s="1620"/>
      <c r="CA72" s="1620"/>
      <c r="CB72" s="1620"/>
      <c r="CC72" s="1620"/>
      <c r="CD72" s="411"/>
      <c r="CE72" s="429"/>
      <c r="CF72" s="1646" t="s">
        <v>22</v>
      </c>
      <c r="CG72" s="1646"/>
      <c r="CH72" s="1646"/>
      <c r="CI72" s="1646"/>
      <c r="CJ72" s="1646"/>
      <c r="CK72" s="420"/>
      <c r="CL72" s="453"/>
      <c r="CM72" s="387" t="str">
        <f>IF(AND($AN$13=TRUE,BN72=""),"未入力","")</f>
        <v/>
      </c>
      <c r="CN72" s="386" t="b">
        <v>0</v>
      </c>
      <c r="CO72" s="386" t="b">
        <v>0</v>
      </c>
      <c r="CP72" s="386" t="b">
        <v>0</v>
      </c>
      <c r="CQ72" s="386" t="b">
        <v>0</v>
      </c>
      <c r="CS72" s="413"/>
      <c r="DA72" s="388"/>
      <c r="DB72" s="1619" t="s">
        <v>3127</v>
      </c>
      <c r="DC72" s="1620"/>
      <c r="DD72" s="1620"/>
      <c r="DE72" s="1620"/>
      <c r="DF72" s="1620"/>
      <c r="DG72" s="1620"/>
      <c r="DH72" s="1620"/>
      <c r="DI72" s="1621"/>
      <c r="DJ72" s="410"/>
      <c r="DK72" s="1620" t="s">
        <v>3128</v>
      </c>
      <c r="DL72" s="1620"/>
      <c r="DM72" s="1620"/>
      <c r="DN72" s="1620"/>
      <c r="DO72" s="1620"/>
      <c r="DP72" s="1695"/>
      <c r="DQ72" s="425"/>
      <c r="DR72" s="1620" t="s">
        <v>3129</v>
      </c>
      <c r="DS72" s="1620"/>
      <c r="DT72" s="1620"/>
      <c r="DU72" s="1620"/>
      <c r="DV72" s="1620"/>
      <c r="DW72" s="411"/>
      <c r="DX72" s="425"/>
      <c r="DY72" s="1620" t="s">
        <v>21</v>
      </c>
      <c r="DZ72" s="1620"/>
      <c r="EA72" s="1620"/>
      <c r="EB72" s="1620"/>
      <c r="EC72" s="1620"/>
      <c r="ED72" s="411"/>
      <c r="EE72" s="429"/>
      <c r="EF72" s="1646" t="s">
        <v>22</v>
      </c>
      <c r="EG72" s="1646"/>
      <c r="EH72" s="1646"/>
      <c r="EI72" s="1646"/>
      <c r="EJ72" s="1646"/>
      <c r="EK72" s="420"/>
      <c r="EL72" s="453"/>
      <c r="EM72" s="387" t="str">
        <f>IF(AND($AN$13=TRUE,DN72=""),"未入力","")</f>
        <v/>
      </c>
      <c r="EN72" s="386" t="b">
        <v>0</v>
      </c>
      <c r="EO72" s="386" t="b">
        <v>0</v>
      </c>
      <c r="EP72" s="386" t="b">
        <v>0</v>
      </c>
      <c r="EQ72" s="386" t="b">
        <v>0</v>
      </c>
      <c r="ES72" s="413"/>
      <c r="FA72" s="388"/>
      <c r="FB72" s="1619" t="s">
        <v>3127</v>
      </c>
      <c r="FC72" s="1620"/>
      <c r="FD72" s="1620"/>
      <c r="FE72" s="1620"/>
      <c r="FF72" s="1620"/>
      <c r="FG72" s="1620"/>
      <c r="FH72" s="1620"/>
      <c r="FI72" s="1621"/>
      <c r="FJ72" s="410"/>
      <c r="FK72" s="1620" t="s">
        <v>3128</v>
      </c>
      <c r="FL72" s="1620"/>
      <c r="FM72" s="1620"/>
      <c r="FN72" s="1620"/>
      <c r="FO72" s="1620"/>
      <c r="FP72" s="1695"/>
      <c r="FQ72" s="425"/>
      <c r="FR72" s="1620" t="s">
        <v>3129</v>
      </c>
      <c r="FS72" s="1620"/>
      <c r="FT72" s="1620"/>
      <c r="FU72" s="1620"/>
      <c r="FV72" s="1620"/>
      <c r="FW72" s="411"/>
      <c r="FX72" s="425"/>
      <c r="FY72" s="1620" t="s">
        <v>21</v>
      </c>
      <c r="FZ72" s="1620"/>
      <c r="GA72" s="1620"/>
      <c r="GB72" s="1620"/>
      <c r="GC72" s="1620"/>
      <c r="GD72" s="411"/>
      <c r="GE72" s="429"/>
      <c r="GF72" s="1646" t="s">
        <v>22</v>
      </c>
      <c r="GG72" s="1646"/>
      <c r="GH72" s="1646"/>
      <c r="GI72" s="1646"/>
      <c r="GJ72" s="1646"/>
      <c r="GK72" s="420"/>
      <c r="GL72" s="453"/>
      <c r="GM72" s="387" t="str">
        <f>IF(AND($AN$13=TRUE,FN72=""),"未入力","")</f>
        <v/>
      </c>
      <c r="GN72" s="386" t="b">
        <v>0</v>
      </c>
      <c r="GO72" s="386" t="b">
        <v>0</v>
      </c>
      <c r="GP72" s="386" t="b">
        <v>0</v>
      </c>
      <c r="GQ72" s="386" t="b">
        <v>0</v>
      </c>
    </row>
    <row r="73" spans="1:199" ht="20.100000000000001" customHeight="1">
      <c r="A73" s="388"/>
      <c r="B73" s="1619" t="s">
        <v>3130</v>
      </c>
      <c r="C73" s="1620"/>
      <c r="D73" s="1620"/>
      <c r="E73" s="1620"/>
      <c r="F73" s="1620"/>
      <c r="G73" s="1620"/>
      <c r="H73" s="1620"/>
      <c r="I73" s="1621"/>
      <c r="J73" s="1688"/>
      <c r="K73" s="1689"/>
      <c r="L73" s="1689"/>
      <c r="M73" s="1689"/>
      <c r="N73" s="1689"/>
      <c r="O73" s="411" t="s">
        <v>23</v>
      </c>
      <c r="P73" s="411"/>
      <c r="Q73" s="1697"/>
      <c r="R73" s="1689"/>
      <c r="S73" s="1689"/>
      <c r="T73" s="1689"/>
      <c r="U73" s="1689"/>
      <c r="V73" s="411" t="s">
        <v>23</v>
      </c>
      <c r="W73" s="411"/>
      <c r="X73" s="1697"/>
      <c r="Y73" s="1689"/>
      <c r="Z73" s="1689"/>
      <c r="AA73" s="1689"/>
      <c r="AB73" s="1689"/>
      <c r="AC73" s="411" t="s">
        <v>23</v>
      </c>
      <c r="AD73" s="411"/>
      <c r="AE73" s="1696"/>
      <c r="AF73" s="1638"/>
      <c r="AG73" s="1638"/>
      <c r="AH73" s="1638"/>
      <c r="AI73" s="1638"/>
      <c r="AJ73" s="427" t="s">
        <v>23</v>
      </c>
      <c r="AK73" s="427"/>
      <c r="AL73" s="453"/>
      <c r="AM73" s="387"/>
      <c r="AS73" s="413"/>
      <c r="BA73" s="388"/>
      <c r="BB73" s="1619" t="s">
        <v>3130</v>
      </c>
      <c r="BC73" s="1620"/>
      <c r="BD73" s="1620"/>
      <c r="BE73" s="1620"/>
      <c r="BF73" s="1620"/>
      <c r="BG73" s="1620"/>
      <c r="BH73" s="1620"/>
      <c r="BI73" s="1621"/>
      <c r="BJ73" s="1688"/>
      <c r="BK73" s="1689"/>
      <c r="BL73" s="1689"/>
      <c r="BM73" s="1689"/>
      <c r="BN73" s="1689"/>
      <c r="BO73" s="411" t="s">
        <v>23</v>
      </c>
      <c r="BP73" s="411"/>
      <c r="BQ73" s="1697"/>
      <c r="BR73" s="1689"/>
      <c r="BS73" s="1689"/>
      <c r="BT73" s="1689"/>
      <c r="BU73" s="1689"/>
      <c r="BV73" s="411" t="s">
        <v>23</v>
      </c>
      <c r="BW73" s="411"/>
      <c r="BX73" s="1697"/>
      <c r="BY73" s="1689"/>
      <c r="BZ73" s="1689"/>
      <c r="CA73" s="1689"/>
      <c r="CB73" s="1689"/>
      <c r="CC73" s="411" t="s">
        <v>23</v>
      </c>
      <c r="CD73" s="411"/>
      <c r="CE73" s="1696"/>
      <c r="CF73" s="1638"/>
      <c r="CG73" s="1638"/>
      <c r="CH73" s="1638"/>
      <c r="CI73" s="1638"/>
      <c r="CJ73" s="427" t="s">
        <v>23</v>
      </c>
      <c r="CK73" s="427"/>
      <c r="CL73" s="453"/>
      <c r="CM73" s="387"/>
      <c r="CS73" s="413"/>
      <c r="DA73" s="388"/>
      <c r="DB73" s="1619" t="s">
        <v>3130</v>
      </c>
      <c r="DC73" s="1620"/>
      <c r="DD73" s="1620"/>
      <c r="DE73" s="1620"/>
      <c r="DF73" s="1620"/>
      <c r="DG73" s="1620"/>
      <c r="DH73" s="1620"/>
      <c r="DI73" s="1621"/>
      <c r="DJ73" s="1688"/>
      <c r="DK73" s="1689"/>
      <c r="DL73" s="1689"/>
      <c r="DM73" s="1689"/>
      <c r="DN73" s="1689"/>
      <c r="DO73" s="411" t="s">
        <v>23</v>
      </c>
      <c r="DP73" s="411"/>
      <c r="DQ73" s="1697"/>
      <c r="DR73" s="1689"/>
      <c r="DS73" s="1689"/>
      <c r="DT73" s="1689"/>
      <c r="DU73" s="1689"/>
      <c r="DV73" s="411" t="s">
        <v>23</v>
      </c>
      <c r="DW73" s="411"/>
      <c r="DX73" s="1697"/>
      <c r="DY73" s="1689"/>
      <c r="DZ73" s="1689"/>
      <c r="EA73" s="1689"/>
      <c r="EB73" s="1689"/>
      <c r="EC73" s="411" t="s">
        <v>23</v>
      </c>
      <c r="ED73" s="411"/>
      <c r="EE73" s="1696"/>
      <c r="EF73" s="1638"/>
      <c r="EG73" s="1638"/>
      <c r="EH73" s="1638"/>
      <c r="EI73" s="1638"/>
      <c r="EJ73" s="427" t="s">
        <v>23</v>
      </c>
      <c r="EK73" s="427"/>
      <c r="EL73" s="453"/>
      <c r="EM73" s="387"/>
      <c r="ES73" s="413"/>
      <c r="FA73" s="388"/>
      <c r="FB73" s="1619" t="s">
        <v>3130</v>
      </c>
      <c r="FC73" s="1620"/>
      <c r="FD73" s="1620"/>
      <c r="FE73" s="1620"/>
      <c r="FF73" s="1620"/>
      <c r="FG73" s="1620"/>
      <c r="FH73" s="1620"/>
      <c r="FI73" s="1621"/>
      <c r="FJ73" s="1688"/>
      <c r="FK73" s="1689"/>
      <c r="FL73" s="1689"/>
      <c r="FM73" s="1689"/>
      <c r="FN73" s="1689"/>
      <c r="FO73" s="411" t="s">
        <v>23</v>
      </c>
      <c r="FP73" s="411"/>
      <c r="FQ73" s="1697"/>
      <c r="FR73" s="1689"/>
      <c r="FS73" s="1689"/>
      <c r="FT73" s="1689"/>
      <c r="FU73" s="1689"/>
      <c r="FV73" s="411" t="s">
        <v>23</v>
      </c>
      <c r="FW73" s="411"/>
      <c r="FX73" s="1697"/>
      <c r="FY73" s="1689"/>
      <c r="FZ73" s="1689"/>
      <c r="GA73" s="1689"/>
      <c r="GB73" s="1689"/>
      <c r="GC73" s="411" t="s">
        <v>23</v>
      </c>
      <c r="GD73" s="411"/>
      <c r="GE73" s="1696"/>
      <c r="GF73" s="1638"/>
      <c r="GG73" s="1638"/>
      <c r="GH73" s="1638"/>
      <c r="GI73" s="1638"/>
      <c r="GJ73" s="427" t="s">
        <v>23</v>
      </c>
      <c r="GK73" s="427"/>
      <c r="GL73" s="453"/>
      <c r="GM73" s="387"/>
    </row>
    <row r="74" spans="1:199" ht="27" customHeight="1">
      <c r="A74" s="388"/>
      <c r="B74" s="1627" t="s">
        <v>3131</v>
      </c>
      <c r="C74" s="1628"/>
      <c r="D74" s="1628"/>
      <c r="E74" s="1628"/>
      <c r="F74" s="1628"/>
      <c r="G74" s="1628"/>
      <c r="H74" s="1628"/>
      <c r="I74" s="1629"/>
      <c r="J74" s="1637"/>
      <c r="K74" s="1638"/>
      <c r="L74" s="1638"/>
      <c r="M74" s="1638"/>
      <c r="N74" s="1638"/>
      <c r="O74" s="411" t="s">
        <v>24</v>
      </c>
      <c r="P74" s="411"/>
      <c r="Q74" s="1696"/>
      <c r="R74" s="1638"/>
      <c r="S74" s="1638"/>
      <c r="T74" s="1638"/>
      <c r="U74" s="1638"/>
      <c r="V74" s="411" t="s">
        <v>24</v>
      </c>
      <c r="W74" s="411"/>
      <c r="X74" s="1696"/>
      <c r="Y74" s="1638"/>
      <c r="Z74" s="1638"/>
      <c r="AA74" s="1638"/>
      <c r="AB74" s="1638"/>
      <c r="AC74" s="411" t="s">
        <v>24</v>
      </c>
      <c r="AD74" s="411"/>
      <c r="AE74" s="1696"/>
      <c r="AF74" s="1638"/>
      <c r="AG74" s="1638"/>
      <c r="AH74" s="1638"/>
      <c r="AI74" s="1638"/>
      <c r="AJ74" s="411" t="s">
        <v>24</v>
      </c>
      <c r="AK74" s="411"/>
      <c r="AL74" s="453"/>
      <c r="AM74" s="387"/>
      <c r="AS74" s="413"/>
      <c r="BA74" s="388"/>
      <c r="BB74" s="1627" t="s">
        <v>3131</v>
      </c>
      <c r="BC74" s="1628"/>
      <c r="BD74" s="1628"/>
      <c r="BE74" s="1628"/>
      <c r="BF74" s="1628"/>
      <c r="BG74" s="1628"/>
      <c r="BH74" s="1628"/>
      <c r="BI74" s="1629"/>
      <c r="BJ74" s="1637"/>
      <c r="BK74" s="1638"/>
      <c r="BL74" s="1638"/>
      <c r="BM74" s="1638"/>
      <c r="BN74" s="1638"/>
      <c r="BO74" s="411" t="s">
        <v>24</v>
      </c>
      <c r="BP74" s="411"/>
      <c r="BQ74" s="1696"/>
      <c r="BR74" s="1638"/>
      <c r="BS74" s="1638"/>
      <c r="BT74" s="1638"/>
      <c r="BU74" s="1638"/>
      <c r="BV74" s="411" t="s">
        <v>24</v>
      </c>
      <c r="BW74" s="411"/>
      <c r="BX74" s="1696"/>
      <c r="BY74" s="1638"/>
      <c r="BZ74" s="1638"/>
      <c r="CA74" s="1638"/>
      <c r="CB74" s="1638"/>
      <c r="CC74" s="411" t="s">
        <v>24</v>
      </c>
      <c r="CD74" s="411"/>
      <c r="CE74" s="1696"/>
      <c r="CF74" s="1638"/>
      <c r="CG74" s="1638"/>
      <c r="CH74" s="1638"/>
      <c r="CI74" s="1638"/>
      <c r="CJ74" s="411" t="s">
        <v>24</v>
      </c>
      <c r="CK74" s="411"/>
      <c r="CL74" s="453"/>
      <c r="CM74" s="387"/>
      <c r="CS74" s="413"/>
      <c r="DA74" s="388"/>
      <c r="DB74" s="1627" t="s">
        <v>3131</v>
      </c>
      <c r="DC74" s="1628"/>
      <c r="DD74" s="1628"/>
      <c r="DE74" s="1628"/>
      <c r="DF74" s="1628"/>
      <c r="DG74" s="1628"/>
      <c r="DH74" s="1628"/>
      <c r="DI74" s="1629"/>
      <c r="DJ74" s="1637"/>
      <c r="DK74" s="1638"/>
      <c r="DL74" s="1638"/>
      <c r="DM74" s="1638"/>
      <c r="DN74" s="1638"/>
      <c r="DO74" s="411" t="s">
        <v>24</v>
      </c>
      <c r="DP74" s="411"/>
      <c r="DQ74" s="1696"/>
      <c r="DR74" s="1638"/>
      <c r="DS74" s="1638"/>
      <c r="DT74" s="1638"/>
      <c r="DU74" s="1638"/>
      <c r="DV74" s="411" t="s">
        <v>24</v>
      </c>
      <c r="DW74" s="411"/>
      <c r="DX74" s="1696"/>
      <c r="DY74" s="1638"/>
      <c r="DZ74" s="1638"/>
      <c r="EA74" s="1638"/>
      <c r="EB74" s="1638"/>
      <c r="EC74" s="411" t="s">
        <v>24</v>
      </c>
      <c r="ED74" s="411"/>
      <c r="EE74" s="1696"/>
      <c r="EF74" s="1638"/>
      <c r="EG74" s="1638"/>
      <c r="EH74" s="1638"/>
      <c r="EI74" s="1638"/>
      <c r="EJ74" s="411" t="s">
        <v>24</v>
      </c>
      <c r="EK74" s="411"/>
      <c r="EL74" s="453"/>
      <c r="EM74" s="387"/>
      <c r="ES74" s="413"/>
      <c r="FA74" s="388"/>
      <c r="FB74" s="1627" t="s">
        <v>3131</v>
      </c>
      <c r="FC74" s="1628"/>
      <c r="FD74" s="1628"/>
      <c r="FE74" s="1628"/>
      <c r="FF74" s="1628"/>
      <c r="FG74" s="1628"/>
      <c r="FH74" s="1628"/>
      <c r="FI74" s="1629"/>
      <c r="FJ74" s="1637"/>
      <c r="FK74" s="1638"/>
      <c r="FL74" s="1638"/>
      <c r="FM74" s="1638"/>
      <c r="FN74" s="1638"/>
      <c r="FO74" s="411" t="s">
        <v>24</v>
      </c>
      <c r="FP74" s="411"/>
      <c r="FQ74" s="1696"/>
      <c r="FR74" s="1638"/>
      <c r="FS74" s="1638"/>
      <c r="FT74" s="1638"/>
      <c r="FU74" s="1638"/>
      <c r="FV74" s="411" t="s">
        <v>24</v>
      </c>
      <c r="FW74" s="411"/>
      <c r="FX74" s="1696"/>
      <c r="FY74" s="1638"/>
      <c r="FZ74" s="1638"/>
      <c r="GA74" s="1638"/>
      <c r="GB74" s="1638"/>
      <c r="GC74" s="411" t="s">
        <v>24</v>
      </c>
      <c r="GD74" s="411"/>
      <c r="GE74" s="1696"/>
      <c r="GF74" s="1638"/>
      <c r="GG74" s="1638"/>
      <c r="GH74" s="1638"/>
      <c r="GI74" s="1638"/>
      <c r="GJ74" s="411" t="s">
        <v>24</v>
      </c>
      <c r="GK74" s="411"/>
      <c r="GL74" s="453"/>
      <c r="GM74" s="387"/>
    </row>
    <row r="75" spans="1:199" ht="3.9" customHeight="1">
      <c r="A75" s="433"/>
      <c r="B75" s="432"/>
      <c r="C75" s="432"/>
      <c r="D75" s="432"/>
      <c r="E75" s="432"/>
      <c r="F75" s="432"/>
      <c r="G75" s="432"/>
      <c r="H75" s="432"/>
      <c r="I75" s="432"/>
      <c r="J75" s="456"/>
      <c r="K75" s="456"/>
      <c r="L75" s="456"/>
      <c r="M75" s="456"/>
      <c r="N75" s="456"/>
      <c r="O75" s="456"/>
      <c r="P75" s="456"/>
      <c r="Q75" s="456"/>
      <c r="R75" s="456"/>
      <c r="S75" s="456"/>
      <c r="T75" s="456"/>
      <c r="U75" s="456"/>
      <c r="V75" s="456"/>
      <c r="W75" s="456"/>
      <c r="X75" s="456"/>
      <c r="Y75" s="456"/>
      <c r="Z75" s="456"/>
      <c r="AA75" s="456"/>
      <c r="AB75" s="456"/>
      <c r="AC75" s="456"/>
      <c r="AD75" s="456"/>
      <c r="AE75" s="456"/>
      <c r="AF75" s="456"/>
      <c r="AG75" s="456"/>
      <c r="AH75" s="456"/>
      <c r="AI75" s="456"/>
      <c r="AJ75" s="443"/>
      <c r="AK75" s="443"/>
      <c r="AL75" s="437"/>
      <c r="AM75" s="387"/>
      <c r="AS75" s="413"/>
      <c r="BA75" s="433"/>
      <c r="BB75" s="432"/>
      <c r="BC75" s="432"/>
      <c r="BD75" s="432"/>
      <c r="BE75" s="432"/>
      <c r="BF75" s="432"/>
      <c r="BG75" s="432"/>
      <c r="BH75" s="432"/>
      <c r="BI75" s="432"/>
      <c r="BJ75" s="456"/>
      <c r="BK75" s="456"/>
      <c r="BL75" s="456"/>
      <c r="BM75" s="456"/>
      <c r="BN75" s="456"/>
      <c r="BO75" s="456"/>
      <c r="BP75" s="456"/>
      <c r="BQ75" s="456"/>
      <c r="BR75" s="456"/>
      <c r="BS75" s="456"/>
      <c r="BT75" s="456"/>
      <c r="BU75" s="456"/>
      <c r="BV75" s="456"/>
      <c r="BW75" s="456"/>
      <c r="BX75" s="456"/>
      <c r="BY75" s="456"/>
      <c r="BZ75" s="456"/>
      <c r="CA75" s="456"/>
      <c r="CB75" s="456"/>
      <c r="CC75" s="456"/>
      <c r="CD75" s="456"/>
      <c r="CE75" s="456"/>
      <c r="CF75" s="456"/>
      <c r="CG75" s="456"/>
      <c r="CH75" s="456"/>
      <c r="CI75" s="456"/>
      <c r="CJ75" s="443"/>
      <c r="CK75" s="443"/>
      <c r="CL75" s="437"/>
      <c r="CM75" s="387"/>
      <c r="CS75" s="413"/>
      <c r="DA75" s="433"/>
      <c r="DB75" s="432"/>
      <c r="DC75" s="432"/>
      <c r="DD75" s="432"/>
      <c r="DE75" s="432"/>
      <c r="DF75" s="432"/>
      <c r="DG75" s="432"/>
      <c r="DH75" s="432"/>
      <c r="DI75" s="432"/>
      <c r="DJ75" s="456"/>
      <c r="DK75" s="456"/>
      <c r="DL75" s="456"/>
      <c r="DM75" s="456"/>
      <c r="DN75" s="456"/>
      <c r="DO75" s="456"/>
      <c r="DP75" s="456"/>
      <c r="DQ75" s="456"/>
      <c r="DR75" s="456"/>
      <c r="DS75" s="456"/>
      <c r="DT75" s="456"/>
      <c r="DU75" s="456"/>
      <c r="DV75" s="456"/>
      <c r="DW75" s="456"/>
      <c r="DX75" s="456"/>
      <c r="DY75" s="456"/>
      <c r="DZ75" s="456"/>
      <c r="EA75" s="456"/>
      <c r="EB75" s="456"/>
      <c r="EC75" s="456"/>
      <c r="ED75" s="456"/>
      <c r="EE75" s="456"/>
      <c r="EF75" s="456"/>
      <c r="EG75" s="456"/>
      <c r="EH75" s="456"/>
      <c r="EI75" s="456"/>
      <c r="EJ75" s="443"/>
      <c r="EK75" s="443"/>
      <c r="EL75" s="437"/>
      <c r="EM75" s="387"/>
      <c r="ES75" s="413"/>
      <c r="FA75" s="433"/>
      <c r="FB75" s="432"/>
      <c r="FC75" s="432"/>
      <c r="FD75" s="432"/>
      <c r="FE75" s="432"/>
      <c r="FF75" s="432"/>
      <c r="FG75" s="432"/>
      <c r="FH75" s="432"/>
      <c r="FI75" s="432"/>
      <c r="FJ75" s="456"/>
      <c r="FK75" s="456"/>
      <c r="FL75" s="456"/>
      <c r="FM75" s="456"/>
      <c r="FN75" s="456"/>
      <c r="FO75" s="456"/>
      <c r="FP75" s="456"/>
      <c r="FQ75" s="456"/>
      <c r="FR75" s="456"/>
      <c r="FS75" s="456"/>
      <c r="FT75" s="456"/>
      <c r="FU75" s="456"/>
      <c r="FV75" s="456"/>
      <c r="FW75" s="456"/>
      <c r="FX75" s="456"/>
      <c r="FY75" s="456"/>
      <c r="FZ75" s="456"/>
      <c r="GA75" s="456"/>
      <c r="GB75" s="456"/>
      <c r="GC75" s="456"/>
      <c r="GD75" s="456"/>
      <c r="GE75" s="456"/>
      <c r="GF75" s="456"/>
      <c r="GG75" s="456"/>
      <c r="GH75" s="456"/>
      <c r="GI75" s="456"/>
      <c r="GJ75" s="443"/>
      <c r="GK75" s="443"/>
      <c r="GL75" s="437"/>
      <c r="GM75" s="387"/>
    </row>
    <row r="76" spans="1:199" ht="3.9" customHeight="1">
      <c r="A76" s="427"/>
      <c r="B76" s="387"/>
      <c r="C76" s="387"/>
      <c r="D76" s="387"/>
      <c r="E76" s="387"/>
      <c r="F76" s="387"/>
      <c r="G76" s="387"/>
      <c r="H76" s="387"/>
      <c r="I76" s="387"/>
      <c r="J76" s="387"/>
      <c r="K76" s="387"/>
      <c r="L76" s="387"/>
      <c r="M76" s="387"/>
      <c r="N76" s="387"/>
      <c r="O76" s="387"/>
      <c r="P76" s="387"/>
      <c r="Q76" s="387"/>
      <c r="R76" s="387"/>
      <c r="S76" s="387"/>
      <c r="T76" s="387"/>
      <c r="U76" s="387"/>
      <c r="V76" s="387"/>
      <c r="W76" s="387"/>
      <c r="X76" s="387"/>
      <c r="Y76" s="387"/>
      <c r="Z76" s="387"/>
      <c r="AA76" s="387"/>
      <c r="AB76" s="387"/>
      <c r="AC76" s="387"/>
      <c r="AD76" s="387"/>
      <c r="AE76" s="387"/>
      <c r="AF76" s="387"/>
      <c r="AG76" s="387"/>
      <c r="AH76" s="387"/>
      <c r="AI76" s="387"/>
      <c r="AJ76" s="387"/>
      <c r="AK76" s="387"/>
      <c r="AL76" s="427"/>
      <c r="AM76" s="387"/>
      <c r="BA76" s="427"/>
      <c r="BB76" s="387"/>
      <c r="BC76" s="387"/>
      <c r="BD76" s="387"/>
      <c r="BE76" s="387"/>
      <c r="BF76" s="387"/>
      <c r="BG76" s="387"/>
      <c r="BH76" s="387"/>
      <c r="BI76" s="387"/>
      <c r="BJ76" s="387"/>
      <c r="BK76" s="387"/>
      <c r="BL76" s="387"/>
      <c r="BM76" s="387"/>
      <c r="BN76" s="387"/>
      <c r="BO76" s="387"/>
      <c r="BP76" s="387"/>
      <c r="BQ76" s="387"/>
      <c r="BR76" s="387"/>
      <c r="BS76" s="387"/>
      <c r="BT76" s="387"/>
      <c r="BU76" s="387"/>
      <c r="BV76" s="387"/>
      <c r="BW76" s="387"/>
      <c r="BX76" s="387"/>
      <c r="BY76" s="387"/>
      <c r="BZ76" s="387"/>
      <c r="CA76" s="387"/>
      <c r="CB76" s="387"/>
      <c r="CC76" s="387"/>
      <c r="CD76" s="387"/>
      <c r="CE76" s="387"/>
      <c r="CF76" s="387"/>
      <c r="CG76" s="387"/>
      <c r="CH76" s="387"/>
      <c r="CI76" s="387"/>
      <c r="CJ76" s="387"/>
      <c r="CK76" s="387"/>
      <c r="CL76" s="427"/>
      <c r="CM76" s="387"/>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mergeCells count="832">
    <mergeCell ref="FB74:FI74"/>
    <mergeCell ref="FJ74:FN74"/>
    <mergeCell ref="FQ74:FU74"/>
    <mergeCell ref="FX74:GB74"/>
    <mergeCell ref="GE74:GI74"/>
    <mergeCell ref="BX74:CB74"/>
    <mergeCell ref="CE74:CI74"/>
    <mergeCell ref="DB74:DI74"/>
    <mergeCell ref="DJ74:DN74"/>
    <mergeCell ref="DQ74:DU74"/>
    <mergeCell ref="DX74:EB74"/>
    <mergeCell ref="GE73:GI73"/>
    <mergeCell ref="B74:I74"/>
    <mergeCell ref="J74:N74"/>
    <mergeCell ref="Q74:U74"/>
    <mergeCell ref="X74:AB74"/>
    <mergeCell ref="AE74:AI74"/>
    <mergeCell ref="BB74:BI74"/>
    <mergeCell ref="BJ74:BN74"/>
    <mergeCell ref="BQ74:BU74"/>
    <mergeCell ref="DQ73:DU73"/>
    <mergeCell ref="DX73:EB73"/>
    <mergeCell ref="EE73:EI73"/>
    <mergeCell ref="FB73:FI73"/>
    <mergeCell ref="FJ73:FN73"/>
    <mergeCell ref="FQ73:FU73"/>
    <mergeCell ref="BJ73:BN73"/>
    <mergeCell ref="BQ73:BU73"/>
    <mergeCell ref="BX73:CB73"/>
    <mergeCell ref="CE73:CI73"/>
    <mergeCell ref="DB73:DI73"/>
    <mergeCell ref="DJ73:DN73"/>
    <mergeCell ref="B73:I73"/>
    <mergeCell ref="J73:N73"/>
    <mergeCell ref="EE74:EI74"/>
    <mergeCell ref="Q73:U73"/>
    <mergeCell ref="X73:AB73"/>
    <mergeCell ref="AE73:AI73"/>
    <mergeCell ref="BB73:BI73"/>
    <mergeCell ref="EF72:EJ72"/>
    <mergeCell ref="FB72:FI72"/>
    <mergeCell ref="FK72:FP72"/>
    <mergeCell ref="FR72:FV72"/>
    <mergeCell ref="FY72:GC72"/>
    <mergeCell ref="FX73:GB73"/>
    <mergeCell ref="GF72:GJ72"/>
    <mergeCell ref="BY72:CC72"/>
    <mergeCell ref="CF72:CJ72"/>
    <mergeCell ref="DB72:DI72"/>
    <mergeCell ref="DK72:DP72"/>
    <mergeCell ref="DR72:DV72"/>
    <mergeCell ref="DY72:EC72"/>
    <mergeCell ref="FY71:GC71"/>
    <mergeCell ref="GE71:GI71"/>
    <mergeCell ref="DY71:EC71"/>
    <mergeCell ref="EE71:EI71"/>
    <mergeCell ref="FB71:FI71"/>
    <mergeCell ref="FK71:FP71"/>
    <mergeCell ref="FR71:FW71"/>
    <mergeCell ref="B72:I72"/>
    <mergeCell ref="K72:P72"/>
    <mergeCell ref="R72:V72"/>
    <mergeCell ref="Y72:AC72"/>
    <mergeCell ref="AF72:AJ72"/>
    <mergeCell ref="BB72:BI72"/>
    <mergeCell ref="BK72:BP72"/>
    <mergeCell ref="BR72:BV72"/>
    <mergeCell ref="DR71:DW71"/>
    <mergeCell ref="BK71:BP71"/>
    <mergeCell ref="BR71:BW71"/>
    <mergeCell ref="BY71:CC71"/>
    <mergeCell ref="CE71:CI71"/>
    <mergeCell ref="DB71:DI71"/>
    <mergeCell ref="DK71:DP71"/>
    <mergeCell ref="FR70:FW70"/>
    <mergeCell ref="FY70:GD70"/>
    <mergeCell ref="B71:I71"/>
    <mergeCell ref="K71:P71"/>
    <mergeCell ref="R71:W71"/>
    <mergeCell ref="Y71:AC71"/>
    <mergeCell ref="AE71:AI71"/>
    <mergeCell ref="BB71:BI71"/>
    <mergeCell ref="BR70:BW70"/>
    <mergeCell ref="BY70:CD70"/>
    <mergeCell ref="DB70:DI70"/>
    <mergeCell ref="DK70:DO70"/>
    <mergeCell ref="DR70:DW70"/>
    <mergeCell ref="DY70:ED70"/>
    <mergeCell ref="FB69:FI69"/>
    <mergeCell ref="FK69:FO69"/>
    <mergeCell ref="FR69:FW69"/>
    <mergeCell ref="FY69:GD69"/>
    <mergeCell ref="B70:I70"/>
    <mergeCell ref="K70:O70"/>
    <mergeCell ref="R70:W70"/>
    <mergeCell ref="Y70:AD70"/>
    <mergeCell ref="BB70:BI70"/>
    <mergeCell ref="BK70:BO70"/>
    <mergeCell ref="BR69:BW69"/>
    <mergeCell ref="BY69:CD69"/>
    <mergeCell ref="DB69:DI69"/>
    <mergeCell ref="DK69:DO69"/>
    <mergeCell ref="DR69:DW69"/>
    <mergeCell ref="DY69:ED69"/>
    <mergeCell ref="B69:I69"/>
    <mergeCell ref="K69:O69"/>
    <mergeCell ref="R69:W69"/>
    <mergeCell ref="Y69:AD69"/>
    <mergeCell ref="BB69:BI69"/>
    <mergeCell ref="BK69:BO69"/>
    <mergeCell ref="FB70:FI70"/>
    <mergeCell ref="FK70:FO70"/>
    <mergeCell ref="DB67:DI68"/>
    <mergeCell ref="DS67:DW67"/>
    <mergeCell ref="DZ67:EI67"/>
    <mergeCell ref="FB67:FI68"/>
    <mergeCell ref="FS67:FW67"/>
    <mergeCell ref="FZ67:GI67"/>
    <mergeCell ref="DK68:DR68"/>
    <mergeCell ref="DU68:DX68"/>
    <mergeCell ref="FK68:FR68"/>
    <mergeCell ref="FU68:FX68"/>
    <mergeCell ref="B67:I68"/>
    <mergeCell ref="S67:W67"/>
    <mergeCell ref="Z67:AI67"/>
    <mergeCell ref="BB67:BI68"/>
    <mergeCell ref="BS67:BW67"/>
    <mergeCell ref="BZ67:CI67"/>
    <mergeCell ref="K68:R68"/>
    <mergeCell ref="U68:X68"/>
    <mergeCell ref="BK68:BR68"/>
    <mergeCell ref="BU68:BX68"/>
    <mergeCell ref="FB65:FI65"/>
    <mergeCell ref="FJ65:FP65"/>
    <mergeCell ref="B66:I66"/>
    <mergeCell ref="BB66:BI66"/>
    <mergeCell ref="DB66:DI66"/>
    <mergeCell ref="FB66:FI66"/>
    <mergeCell ref="B65:I65"/>
    <mergeCell ref="J65:P65"/>
    <mergeCell ref="BB65:BI65"/>
    <mergeCell ref="BJ65:BP65"/>
    <mergeCell ref="DB65:DI65"/>
    <mergeCell ref="DJ65:DP65"/>
    <mergeCell ref="FB62:FI62"/>
    <mergeCell ref="FJ62:FN62"/>
    <mergeCell ref="FQ62:FU62"/>
    <mergeCell ref="FX62:GB62"/>
    <mergeCell ref="GE62:GI62"/>
    <mergeCell ref="BX62:CB62"/>
    <mergeCell ref="CE62:CI62"/>
    <mergeCell ref="DB62:DI62"/>
    <mergeCell ref="DJ62:DN62"/>
    <mergeCell ref="DQ62:DU62"/>
    <mergeCell ref="DX62:EB62"/>
    <mergeCell ref="GE61:GI61"/>
    <mergeCell ref="B62:I62"/>
    <mergeCell ref="J62:N62"/>
    <mergeCell ref="Q62:U62"/>
    <mergeCell ref="X62:AB62"/>
    <mergeCell ref="AE62:AI62"/>
    <mergeCell ref="BB62:BI62"/>
    <mergeCell ref="BJ62:BN62"/>
    <mergeCell ref="BQ62:BU62"/>
    <mergeCell ref="DQ61:DU61"/>
    <mergeCell ref="DX61:EB61"/>
    <mergeCell ref="EE61:EI61"/>
    <mergeCell ref="FB61:FI61"/>
    <mergeCell ref="FJ61:FN61"/>
    <mergeCell ref="FQ61:FU61"/>
    <mergeCell ref="BJ61:BN61"/>
    <mergeCell ref="BQ61:BU61"/>
    <mergeCell ref="BX61:CB61"/>
    <mergeCell ref="CE61:CI61"/>
    <mergeCell ref="DB61:DI61"/>
    <mergeCell ref="DJ61:DN61"/>
    <mergeCell ref="B61:I61"/>
    <mergeCell ref="J61:N61"/>
    <mergeCell ref="EE62:EI62"/>
    <mergeCell ref="Q61:U61"/>
    <mergeCell ref="X61:AB61"/>
    <mergeCell ref="AE61:AI61"/>
    <mergeCell ref="BB61:BI61"/>
    <mergeCell ref="EF60:EJ60"/>
    <mergeCell ref="FB60:FI60"/>
    <mergeCell ref="FK60:FP60"/>
    <mergeCell ref="FR60:FV60"/>
    <mergeCell ref="FY60:GC60"/>
    <mergeCell ref="FX61:GB61"/>
    <mergeCell ref="GF60:GJ60"/>
    <mergeCell ref="BY60:CC60"/>
    <mergeCell ref="CF60:CJ60"/>
    <mergeCell ref="DB60:DI60"/>
    <mergeCell ref="DK60:DP60"/>
    <mergeCell ref="DR60:DV60"/>
    <mergeCell ref="DY60:EC60"/>
    <mergeCell ref="FY59:GC59"/>
    <mergeCell ref="GE59:GI59"/>
    <mergeCell ref="DY59:EC59"/>
    <mergeCell ref="EE59:EI59"/>
    <mergeCell ref="FB59:FI59"/>
    <mergeCell ref="FK59:FP59"/>
    <mergeCell ref="FR59:FW59"/>
    <mergeCell ref="B60:I60"/>
    <mergeCell ref="K60:P60"/>
    <mergeCell ref="R60:V60"/>
    <mergeCell ref="Y60:AC60"/>
    <mergeCell ref="AF60:AJ60"/>
    <mergeCell ref="BB60:BI60"/>
    <mergeCell ref="BK60:BP60"/>
    <mergeCell ref="BR60:BV60"/>
    <mergeCell ref="DR59:DW59"/>
    <mergeCell ref="BK59:BP59"/>
    <mergeCell ref="BR59:BW59"/>
    <mergeCell ref="BY59:CC59"/>
    <mergeCell ref="CE59:CI59"/>
    <mergeCell ref="DB59:DI59"/>
    <mergeCell ref="DK59:DP59"/>
    <mergeCell ref="FR58:FW58"/>
    <mergeCell ref="FY58:GD58"/>
    <mergeCell ref="B59:I59"/>
    <mergeCell ref="K59:P59"/>
    <mergeCell ref="R59:W59"/>
    <mergeCell ref="Y59:AC59"/>
    <mergeCell ref="AE59:AI59"/>
    <mergeCell ref="BB59:BI59"/>
    <mergeCell ref="BR58:BW58"/>
    <mergeCell ref="BY58:CD58"/>
    <mergeCell ref="DB58:DI58"/>
    <mergeCell ref="DK58:DO58"/>
    <mergeCell ref="DR58:DW58"/>
    <mergeCell ref="DY58:ED58"/>
    <mergeCell ref="FB57:FI57"/>
    <mergeCell ref="FK57:FO57"/>
    <mergeCell ref="FR57:FW57"/>
    <mergeCell ref="FY57:GD57"/>
    <mergeCell ref="B58:I58"/>
    <mergeCell ref="K58:O58"/>
    <mergeCell ref="R58:W58"/>
    <mergeCell ref="Y58:AD58"/>
    <mergeCell ref="BB58:BI58"/>
    <mergeCell ref="BK58:BO58"/>
    <mergeCell ref="BR57:BW57"/>
    <mergeCell ref="BY57:CD57"/>
    <mergeCell ref="DB57:DI57"/>
    <mergeCell ref="DK57:DO57"/>
    <mergeCell ref="DR57:DW57"/>
    <mergeCell ref="DY57:ED57"/>
    <mergeCell ref="B57:I57"/>
    <mergeCell ref="K57:O57"/>
    <mergeCell ref="R57:W57"/>
    <mergeCell ref="Y57:AD57"/>
    <mergeCell ref="BB57:BI57"/>
    <mergeCell ref="BK57:BO57"/>
    <mergeCell ref="FB58:FI58"/>
    <mergeCell ref="FK58:FO58"/>
    <mergeCell ref="DB55:DI56"/>
    <mergeCell ref="DS55:DW55"/>
    <mergeCell ref="DZ55:EI55"/>
    <mergeCell ref="FB55:FI56"/>
    <mergeCell ref="FS55:FW55"/>
    <mergeCell ref="FZ55:GI55"/>
    <mergeCell ref="DK56:DR56"/>
    <mergeCell ref="DU56:DX56"/>
    <mergeCell ref="FK56:FR56"/>
    <mergeCell ref="FU56:FX56"/>
    <mergeCell ref="B55:I56"/>
    <mergeCell ref="S55:W55"/>
    <mergeCell ref="Z55:AI55"/>
    <mergeCell ref="BB55:BI56"/>
    <mergeCell ref="BS55:BW55"/>
    <mergeCell ref="BZ55:CI55"/>
    <mergeCell ref="K56:R56"/>
    <mergeCell ref="U56:X56"/>
    <mergeCell ref="BK56:BR56"/>
    <mergeCell ref="BU56:BX56"/>
    <mergeCell ref="FB53:FI53"/>
    <mergeCell ref="FJ53:FP53"/>
    <mergeCell ref="B54:I54"/>
    <mergeCell ref="BB54:BI54"/>
    <mergeCell ref="DB54:DI54"/>
    <mergeCell ref="FB54:FI54"/>
    <mergeCell ref="B53:I53"/>
    <mergeCell ref="J53:P53"/>
    <mergeCell ref="BB53:BI53"/>
    <mergeCell ref="BJ53:BP53"/>
    <mergeCell ref="DB53:DI53"/>
    <mergeCell ref="DJ53:DP53"/>
    <mergeCell ref="FB50:FI50"/>
    <mergeCell ref="FJ50:FN50"/>
    <mergeCell ref="FQ50:FU50"/>
    <mergeCell ref="FX50:GB50"/>
    <mergeCell ref="GE50:GI50"/>
    <mergeCell ref="BX50:CB50"/>
    <mergeCell ref="CE50:CI50"/>
    <mergeCell ref="DB50:DI50"/>
    <mergeCell ref="DJ50:DN50"/>
    <mergeCell ref="DQ50:DU50"/>
    <mergeCell ref="DX50:EB50"/>
    <mergeCell ref="GE49:GI49"/>
    <mergeCell ref="B50:I50"/>
    <mergeCell ref="J50:N50"/>
    <mergeCell ref="Q50:U50"/>
    <mergeCell ref="X50:AB50"/>
    <mergeCell ref="AE50:AI50"/>
    <mergeCell ref="BB50:BI50"/>
    <mergeCell ref="BJ50:BN50"/>
    <mergeCell ref="BQ50:BU50"/>
    <mergeCell ref="DQ49:DU49"/>
    <mergeCell ref="DX49:EB49"/>
    <mergeCell ref="EE49:EI49"/>
    <mergeCell ref="FB49:FI49"/>
    <mergeCell ref="FJ49:FN49"/>
    <mergeCell ref="FQ49:FU49"/>
    <mergeCell ref="BJ49:BN49"/>
    <mergeCell ref="BQ49:BU49"/>
    <mergeCell ref="BX49:CB49"/>
    <mergeCell ref="CE49:CI49"/>
    <mergeCell ref="DB49:DI49"/>
    <mergeCell ref="DJ49:DN49"/>
    <mergeCell ref="B49:I49"/>
    <mergeCell ref="J49:N49"/>
    <mergeCell ref="EE50:EI50"/>
    <mergeCell ref="Q49:U49"/>
    <mergeCell ref="X49:AB49"/>
    <mergeCell ref="AE49:AI49"/>
    <mergeCell ref="BB49:BI49"/>
    <mergeCell ref="EF48:EJ48"/>
    <mergeCell ref="FB48:FI48"/>
    <mergeCell ref="FK48:FP48"/>
    <mergeCell ref="FR48:FV48"/>
    <mergeCell ref="FY48:GC48"/>
    <mergeCell ref="FX49:GB49"/>
    <mergeCell ref="GF48:GJ48"/>
    <mergeCell ref="BY48:CC48"/>
    <mergeCell ref="CF48:CJ48"/>
    <mergeCell ref="DB48:DI48"/>
    <mergeCell ref="DK48:DP48"/>
    <mergeCell ref="DR48:DV48"/>
    <mergeCell ref="DY48:EC48"/>
    <mergeCell ref="FY47:GC47"/>
    <mergeCell ref="GE47:GI47"/>
    <mergeCell ref="DY47:EC47"/>
    <mergeCell ref="EE47:EI47"/>
    <mergeCell ref="FB47:FI47"/>
    <mergeCell ref="FK47:FP47"/>
    <mergeCell ref="FR47:FW47"/>
    <mergeCell ref="B48:I48"/>
    <mergeCell ref="K48:P48"/>
    <mergeCell ref="R48:V48"/>
    <mergeCell ref="Y48:AC48"/>
    <mergeCell ref="AF48:AJ48"/>
    <mergeCell ref="BB48:BI48"/>
    <mergeCell ref="BK48:BP48"/>
    <mergeCell ref="BR48:BV48"/>
    <mergeCell ref="DR47:DW47"/>
    <mergeCell ref="BK47:BP47"/>
    <mergeCell ref="BR47:BW47"/>
    <mergeCell ref="BY47:CC47"/>
    <mergeCell ref="CE47:CI47"/>
    <mergeCell ref="DB47:DI47"/>
    <mergeCell ref="DK47:DP47"/>
    <mergeCell ref="FR46:FW46"/>
    <mergeCell ref="FY46:GD46"/>
    <mergeCell ref="B47:I47"/>
    <mergeCell ref="K47:P47"/>
    <mergeCell ref="R47:W47"/>
    <mergeCell ref="Y47:AC47"/>
    <mergeCell ref="AE47:AI47"/>
    <mergeCell ref="BB47:BI47"/>
    <mergeCell ref="BR46:BW46"/>
    <mergeCell ref="BY46:CD46"/>
    <mergeCell ref="DB46:DI46"/>
    <mergeCell ref="DK46:DO46"/>
    <mergeCell ref="DR46:DW46"/>
    <mergeCell ref="DY46:ED46"/>
    <mergeCell ref="FB45:FI45"/>
    <mergeCell ref="FK45:FO45"/>
    <mergeCell ref="FR45:FW45"/>
    <mergeCell ref="FY45:GD45"/>
    <mergeCell ref="B46:I46"/>
    <mergeCell ref="K46:O46"/>
    <mergeCell ref="R46:W46"/>
    <mergeCell ref="Y46:AD46"/>
    <mergeCell ref="BB46:BI46"/>
    <mergeCell ref="BK46:BO46"/>
    <mergeCell ref="BR45:BW45"/>
    <mergeCell ref="BY45:CD45"/>
    <mergeCell ref="DB45:DI45"/>
    <mergeCell ref="DK45:DO45"/>
    <mergeCell ref="DR45:DW45"/>
    <mergeCell ref="DY45:ED45"/>
    <mergeCell ref="B45:I45"/>
    <mergeCell ref="K45:O45"/>
    <mergeCell ref="R45:W45"/>
    <mergeCell ref="Y45:AD45"/>
    <mergeCell ref="BB45:BI45"/>
    <mergeCell ref="BK45:BO45"/>
    <mergeCell ref="FB46:FI46"/>
    <mergeCell ref="FK46:FO46"/>
    <mergeCell ref="DB43:DI44"/>
    <mergeCell ref="DS43:DW43"/>
    <mergeCell ref="DZ43:EI43"/>
    <mergeCell ref="FB43:FI44"/>
    <mergeCell ref="FS43:FW43"/>
    <mergeCell ref="FZ43:GI43"/>
    <mergeCell ref="DK44:DR44"/>
    <mergeCell ref="DU44:DX44"/>
    <mergeCell ref="FK44:FR44"/>
    <mergeCell ref="FU44:FX44"/>
    <mergeCell ref="B43:I44"/>
    <mergeCell ref="S43:W43"/>
    <mergeCell ref="Z43:AI43"/>
    <mergeCell ref="BB43:BI44"/>
    <mergeCell ref="BS43:BW43"/>
    <mergeCell ref="BZ43:CI43"/>
    <mergeCell ref="K44:R44"/>
    <mergeCell ref="U44:X44"/>
    <mergeCell ref="BK44:BR44"/>
    <mergeCell ref="BU44:BX44"/>
    <mergeCell ref="FB41:FI41"/>
    <mergeCell ref="FJ41:FP41"/>
    <mergeCell ref="B42:I42"/>
    <mergeCell ref="BB42:BI42"/>
    <mergeCell ref="DB42:DI42"/>
    <mergeCell ref="FB42:FI42"/>
    <mergeCell ref="B41:I41"/>
    <mergeCell ref="J41:P41"/>
    <mergeCell ref="BB41:BI41"/>
    <mergeCell ref="BJ41:BP41"/>
    <mergeCell ref="DB41:DI41"/>
    <mergeCell ref="DJ41:DP41"/>
    <mergeCell ref="GH32:GI32"/>
    <mergeCell ref="A37:AJ37"/>
    <mergeCell ref="BA37:CJ37"/>
    <mergeCell ref="DA37:EJ37"/>
    <mergeCell ref="FA37:GJ37"/>
    <mergeCell ref="BY32:BZ32"/>
    <mergeCell ref="CE32:CG32"/>
    <mergeCell ref="CH32:CI32"/>
    <mergeCell ref="DM32:DO32"/>
    <mergeCell ref="DP32:DQ32"/>
    <mergeCell ref="DV32:DX32"/>
    <mergeCell ref="GC31:GH31"/>
    <mergeCell ref="M32:O32"/>
    <mergeCell ref="P32:Q32"/>
    <mergeCell ref="V32:X32"/>
    <mergeCell ref="Y32:Z32"/>
    <mergeCell ref="AE32:AG32"/>
    <mergeCell ref="AH32:AI32"/>
    <mergeCell ref="BM32:BO32"/>
    <mergeCell ref="BP32:BQ32"/>
    <mergeCell ref="BV32:BX32"/>
    <mergeCell ref="DK31:DP31"/>
    <mergeCell ref="DT31:DY31"/>
    <mergeCell ref="EC31:EH31"/>
    <mergeCell ref="FB31:FI32"/>
    <mergeCell ref="FK31:FP31"/>
    <mergeCell ref="FT31:FY31"/>
    <mergeCell ref="DY32:DZ32"/>
    <mergeCell ref="EE32:EG32"/>
    <mergeCell ref="EH32:EI32"/>
    <mergeCell ref="FM32:FO32"/>
    <mergeCell ref="FP32:FQ32"/>
    <mergeCell ref="FV32:FX32"/>
    <mergeCell ref="FY32:FZ32"/>
    <mergeCell ref="GE32:GG32"/>
    <mergeCell ref="GH30:GI30"/>
    <mergeCell ref="B31:I32"/>
    <mergeCell ref="K31:P31"/>
    <mergeCell ref="T31:Y31"/>
    <mergeCell ref="AC31:AH31"/>
    <mergeCell ref="BB31:BI32"/>
    <mergeCell ref="BK31:BP31"/>
    <mergeCell ref="BT31:BY31"/>
    <mergeCell ref="CC31:CH31"/>
    <mergeCell ref="DB31:DI32"/>
    <mergeCell ref="EH30:EI30"/>
    <mergeCell ref="FK30:FO30"/>
    <mergeCell ref="FP30:FQ30"/>
    <mergeCell ref="FT30:FX30"/>
    <mergeCell ref="FY30:FZ30"/>
    <mergeCell ref="GC30:GG30"/>
    <mergeCell ref="CH30:CI30"/>
    <mergeCell ref="DK30:DO30"/>
    <mergeCell ref="DP30:DQ30"/>
    <mergeCell ref="DT30:DX30"/>
    <mergeCell ref="DY30:DZ30"/>
    <mergeCell ref="EC30:EG30"/>
    <mergeCell ref="AH30:AI30"/>
    <mergeCell ref="BK30:BO30"/>
    <mergeCell ref="BP30:BQ30"/>
    <mergeCell ref="BT30:BX30"/>
    <mergeCell ref="BY30:BZ30"/>
    <mergeCell ref="CC30:CG30"/>
    <mergeCell ref="GH26:GI26"/>
    <mergeCell ref="B29:I30"/>
    <mergeCell ref="BB29:BI30"/>
    <mergeCell ref="DB29:DI30"/>
    <mergeCell ref="FB29:FI30"/>
    <mergeCell ref="K30:O30"/>
    <mergeCell ref="P30:Q30"/>
    <mergeCell ref="T30:X30"/>
    <mergeCell ref="Y30:Z30"/>
    <mergeCell ref="AC30:AG30"/>
    <mergeCell ref="FB26:FI28"/>
    <mergeCell ref="FK26:FO26"/>
    <mergeCell ref="FP26:FQ26"/>
    <mergeCell ref="FT26:FX26"/>
    <mergeCell ref="FY26:FZ26"/>
    <mergeCell ref="GC26:GG26"/>
    <mergeCell ref="DK26:DO26"/>
    <mergeCell ref="DP26:DQ26"/>
    <mergeCell ref="DT26:DX26"/>
    <mergeCell ref="DY26:DZ26"/>
    <mergeCell ref="GF25:GI25"/>
    <mergeCell ref="EF25:EI25"/>
    <mergeCell ref="FK25:FM25"/>
    <mergeCell ref="FN25:FQ25"/>
    <mergeCell ref="FT25:FV25"/>
    <mergeCell ref="FW25:FZ25"/>
    <mergeCell ref="GC25:GE25"/>
    <mergeCell ref="CF25:CI25"/>
    <mergeCell ref="DK25:DM25"/>
    <mergeCell ref="DN25:DQ25"/>
    <mergeCell ref="DT25:DV25"/>
    <mergeCell ref="DW25:DZ25"/>
    <mergeCell ref="EC25:EE25"/>
    <mergeCell ref="FN24:FR24"/>
    <mergeCell ref="FT24:FV24"/>
    <mergeCell ref="FW24:GA24"/>
    <mergeCell ref="B26:I28"/>
    <mergeCell ref="K26:O26"/>
    <mergeCell ref="P26:Q26"/>
    <mergeCell ref="T26:X26"/>
    <mergeCell ref="Y26:Z26"/>
    <mergeCell ref="AC26:AG26"/>
    <mergeCell ref="AH26:AI26"/>
    <mergeCell ref="BB26:BI28"/>
    <mergeCell ref="BK26:BO26"/>
    <mergeCell ref="EC26:EG26"/>
    <mergeCell ref="EH26:EI26"/>
    <mergeCell ref="BP26:BQ26"/>
    <mergeCell ref="BT26:BX26"/>
    <mergeCell ref="BY26:BZ26"/>
    <mergeCell ref="CC26:CG26"/>
    <mergeCell ref="CH26:CI26"/>
    <mergeCell ref="DB26:DI28"/>
    <mergeCell ref="EF24:EJ24"/>
    <mergeCell ref="FK24:FM24"/>
    <mergeCell ref="BN24:BR24"/>
    <mergeCell ref="BT24:BV24"/>
    <mergeCell ref="K25:M25"/>
    <mergeCell ref="N25:Q25"/>
    <mergeCell ref="T25:V25"/>
    <mergeCell ref="W25:Z25"/>
    <mergeCell ref="AC25:AE25"/>
    <mergeCell ref="DN24:DR24"/>
    <mergeCell ref="DT24:DV24"/>
    <mergeCell ref="DW24:EA24"/>
    <mergeCell ref="EC24:EE24"/>
    <mergeCell ref="BW24:CA24"/>
    <mergeCell ref="CC24:CE24"/>
    <mergeCell ref="CF24:CJ24"/>
    <mergeCell ref="DK24:DM24"/>
    <mergeCell ref="AF25:AI25"/>
    <mergeCell ref="BK25:BM25"/>
    <mergeCell ref="BN25:BQ25"/>
    <mergeCell ref="BT25:BV25"/>
    <mergeCell ref="BW25:BZ25"/>
    <mergeCell ref="CC25:CE25"/>
    <mergeCell ref="FW23:FZ23"/>
    <mergeCell ref="GC23:GE23"/>
    <mergeCell ref="GF23:GI23"/>
    <mergeCell ref="K24:M24"/>
    <mergeCell ref="N24:R24"/>
    <mergeCell ref="T24:V24"/>
    <mergeCell ref="W24:AA24"/>
    <mergeCell ref="AC24:AE24"/>
    <mergeCell ref="AF24:AJ24"/>
    <mergeCell ref="BK24:BM24"/>
    <mergeCell ref="DN23:DQ23"/>
    <mergeCell ref="DT23:DV23"/>
    <mergeCell ref="DW23:DZ23"/>
    <mergeCell ref="EC23:EE23"/>
    <mergeCell ref="EF23:EI23"/>
    <mergeCell ref="FK23:FM23"/>
    <mergeCell ref="BN23:BQ23"/>
    <mergeCell ref="BT23:BV23"/>
    <mergeCell ref="BW23:BZ23"/>
    <mergeCell ref="CC23:CE23"/>
    <mergeCell ref="CF23:CI23"/>
    <mergeCell ref="DK23:DM23"/>
    <mergeCell ref="GC24:GE24"/>
    <mergeCell ref="GF24:GJ24"/>
    <mergeCell ref="K23:M23"/>
    <mergeCell ref="N23:Q23"/>
    <mergeCell ref="T23:V23"/>
    <mergeCell ref="W23:Z23"/>
    <mergeCell ref="AC23:AE23"/>
    <mergeCell ref="AF23:AI23"/>
    <mergeCell ref="BK23:BM23"/>
    <mergeCell ref="DN22:DR22"/>
    <mergeCell ref="DT22:DV22"/>
    <mergeCell ref="BN22:BR22"/>
    <mergeCell ref="BT22:BV22"/>
    <mergeCell ref="BW22:CA22"/>
    <mergeCell ref="CC22:CE22"/>
    <mergeCell ref="CF22:CJ22"/>
    <mergeCell ref="DK22:DM22"/>
    <mergeCell ref="FW21:FZ21"/>
    <mergeCell ref="GC21:GE21"/>
    <mergeCell ref="GF21:GI21"/>
    <mergeCell ref="K22:M22"/>
    <mergeCell ref="N22:R22"/>
    <mergeCell ref="T22:V22"/>
    <mergeCell ref="W22:AA22"/>
    <mergeCell ref="AC22:AE22"/>
    <mergeCell ref="AF22:AJ22"/>
    <mergeCell ref="BK22:BM22"/>
    <mergeCell ref="DW21:DZ21"/>
    <mergeCell ref="EC21:EE21"/>
    <mergeCell ref="EF21:EI21"/>
    <mergeCell ref="FK21:FM21"/>
    <mergeCell ref="FN21:FQ21"/>
    <mergeCell ref="FT21:FV21"/>
    <mergeCell ref="FW22:GA22"/>
    <mergeCell ref="GC22:GE22"/>
    <mergeCell ref="GF22:GJ22"/>
    <mergeCell ref="DW22:EA22"/>
    <mergeCell ref="EC22:EE22"/>
    <mergeCell ref="EF22:EJ22"/>
    <mergeCell ref="FK22:FM22"/>
    <mergeCell ref="CF21:CI21"/>
    <mergeCell ref="FW20:GA20"/>
    <mergeCell ref="GC20:GE20"/>
    <mergeCell ref="GF20:GJ20"/>
    <mergeCell ref="K21:M21"/>
    <mergeCell ref="N21:Q21"/>
    <mergeCell ref="T21:V21"/>
    <mergeCell ref="W21:Z21"/>
    <mergeCell ref="AC21:AE21"/>
    <mergeCell ref="AF21:AI21"/>
    <mergeCell ref="BK21:BM21"/>
    <mergeCell ref="EC20:EE20"/>
    <mergeCell ref="EF20:EJ20"/>
    <mergeCell ref="FB20:FI25"/>
    <mergeCell ref="FK20:FM20"/>
    <mergeCell ref="FN20:FR20"/>
    <mergeCell ref="FT20:FV20"/>
    <mergeCell ref="FN22:FR22"/>
    <mergeCell ref="FT22:FV22"/>
    <mergeCell ref="FN23:FQ23"/>
    <mergeCell ref="FT23:FV23"/>
    <mergeCell ref="CF20:CJ20"/>
    <mergeCell ref="DB20:DI25"/>
    <mergeCell ref="DK20:DM20"/>
    <mergeCell ref="DN20:DR20"/>
    <mergeCell ref="DK21:DM21"/>
    <mergeCell ref="DN21:DQ21"/>
    <mergeCell ref="DT21:DV21"/>
    <mergeCell ref="BB20:BI25"/>
    <mergeCell ref="BK20:BM20"/>
    <mergeCell ref="BN20:BR20"/>
    <mergeCell ref="BT20:BV20"/>
    <mergeCell ref="BW20:CA20"/>
    <mergeCell ref="CC20:CE20"/>
    <mergeCell ref="BN21:BQ21"/>
    <mergeCell ref="BT21:BV21"/>
    <mergeCell ref="BW21:BZ21"/>
    <mergeCell ref="CC21:CE21"/>
    <mergeCell ref="FY18:FZ18"/>
    <mergeCell ref="GC18:GG18"/>
    <mergeCell ref="GH18:GI18"/>
    <mergeCell ref="B20:I25"/>
    <mergeCell ref="K20:M20"/>
    <mergeCell ref="N20:R20"/>
    <mergeCell ref="T20:V20"/>
    <mergeCell ref="W20:AA20"/>
    <mergeCell ref="AC20:AE20"/>
    <mergeCell ref="AF20:AJ20"/>
    <mergeCell ref="DY18:DZ18"/>
    <mergeCell ref="EC18:EG18"/>
    <mergeCell ref="EH18:EI18"/>
    <mergeCell ref="FK18:FO18"/>
    <mergeCell ref="FP18:FQ18"/>
    <mergeCell ref="FT18:FX18"/>
    <mergeCell ref="BY18:BZ18"/>
    <mergeCell ref="CC18:CG18"/>
    <mergeCell ref="CH18:CI18"/>
    <mergeCell ref="DK18:DO18"/>
    <mergeCell ref="DP18:DQ18"/>
    <mergeCell ref="DT18:DX18"/>
    <mergeCell ref="DT20:DV20"/>
    <mergeCell ref="DW20:EA20"/>
    <mergeCell ref="FT17:FX17"/>
    <mergeCell ref="K18:O18"/>
    <mergeCell ref="P18:Q18"/>
    <mergeCell ref="T18:X18"/>
    <mergeCell ref="Y18:Z18"/>
    <mergeCell ref="AC18:AG18"/>
    <mergeCell ref="AH18:AI18"/>
    <mergeCell ref="BK18:BO18"/>
    <mergeCell ref="BP18:BQ18"/>
    <mergeCell ref="BT18:BX18"/>
    <mergeCell ref="FT16:FX16"/>
    <mergeCell ref="CH16:CI16"/>
    <mergeCell ref="DB16:DI16"/>
    <mergeCell ref="DK16:DO16"/>
    <mergeCell ref="DP16:DQ16"/>
    <mergeCell ref="DT16:DX16"/>
    <mergeCell ref="DY16:DZ16"/>
    <mergeCell ref="BB16:BI16"/>
    <mergeCell ref="BK16:BO16"/>
    <mergeCell ref="B17:I18"/>
    <mergeCell ref="T17:X17"/>
    <mergeCell ref="BB17:BI18"/>
    <mergeCell ref="BT17:BX17"/>
    <mergeCell ref="DB17:DI18"/>
    <mergeCell ref="DT17:DX17"/>
    <mergeCell ref="FB17:FI18"/>
    <mergeCell ref="EC16:EG16"/>
    <mergeCell ref="EH16:EI16"/>
    <mergeCell ref="FB16:FI16"/>
    <mergeCell ref="BP16:BQ16"/>
    <mergeCell ref="BT16:BX16"/>
    <mergeCell ref="BY16:BZ16"/>
    <mergeCell ref="CC16:CG16"/>
    <mergeCell ref="FS14:GA15"/>
    <mergeCell ref="GB14:GJ15"/>
    <mergeCell ref="B16:I16"/>
    <mergeCell ref="K16:O16"/>
    <mergeCell ref="P16:Q16"/>
    <mergeCell ref="T16:X16"/>
    <mergeCell ref="Y16:Z16"/>
    <mergeCell ref="AC16:AG16"/>
    <mergeCell ref="AH16:AI16"/>
    <mergeCell ref="CB14:CJ15"/>
    <mergeCell ref="DB14:DI15"/>
    <mergeCell ref="DJ14:DR15"/>
    <mergeCell ref="DS14:EA15"/>
    <mergeCell ref="EB14:EJ15"/>
    <mergeCell ref="FB14:FI15"/>
    <mergeCell ref="FY16:FZ16"/>
    <mergeCell ref="GC16:GG16"/>
    <mergeCell ref="GH16:GI16"/>
    <mergeCell ref="FK16:FO16"/>
    <mergeCell ref="B14:I15"/>
    <mergeCell ref="J14:R15"/>
    <mergeCell ref="S14:AA15"/>
    <mergeCell ref="AB14:AJ15"/>
    <mergeCell ref="FP16:FQ16"/>
    <mergeCell ref="BB14:BI15"/>
    <mergeCell ref="BJ14:BR15"/>
    <mergeCell ref="BS14:CA15"/>
    <mergeCell ref="FB12:FI13"/>
    <mergeCell ref="FJ12:FR12"/>
    <mergeCell ref="J13:R13"/>
    <mergeCell ref="S13:AA13"/>
    <mergeCell ref="AB13:AJ13"/>
    <mergeCell ref="BJ13:BR13"/>
    <mergeCell ref="BS13:CA13"/>
    <mergeCell ref="CB13:CJ13"/>
    <mergeCell ref="BS12:CA12"/>
    <mergeCell ref="CB12:CJ12"/>
    <mergeCell ref="DB12:DI13"/>
    <mergeCell ref="DJ12:DR12"/>
    <mergeCell ref="DS12:EA12"/>
    <mergeCell ref="EB12:EJ12"/>
    <mergeCell ref="DJ13:DR13"/>
    <mergeCell ref="DS13:EA13"/>
    <mergeCell ref="EB13:EJ13"/>
    <mergeCell ref="FJ14:FR15"/>
    <mergeCell ref="FS11:GA11"/>
    <mergeCell ref="GB11:GJ11"/>
    <mergeCell ref="DJ11:DR11"/>
    <mergeCell ref="DS11:EA11"/>
    <mergeCell ref="EB11:EJ11"/>
    <mergeCell ref="FJ13:FR13"/>
    <mergeCell ref="FS13:GA13"/>
    <mergeCell ref="GB13:GJ13"/>
    <mergeCell ref="FS12:GA12"/>
    <mergeCell ref="GB12:GJ12"/>
    <mergeCell ref="B12:I13"/>
    <mergeCell ref="J12:R12"/>
    <mergeCell ref="S12:AA12"/>
    <mergeCell ref="AB12:AJ12"/>
    <mergeCell ref="BB12:BI13"/>
    <mergeCell ref="BJ12:BR12"/>
    <mergeCell ref="BS11:CA11"/>
    <mergeCell ref="CB11:CJ11"/>
    <mergeCell ref="DB11:DI11"/>
    <mergeCell ref="FB10:FI10"/>
    <mergeCell ref="FJ10:FR10"/>
    <mergeCell ref="FS10:GA10"/>
    <mergeCell ref="GB10:GJ10"/>
    <mergeCell ref="B11:I11"/>
    <mergeCell ref="J11:R11"/>
    <mergeCell ref="S11:AA11"/>
    <mergeCell ref="AB11:AJ11"/>
    <mergeCell ref="BB11:BI11"/>
    <mergeCell ref="BJ11:BR11"/>
    <mergeCell ref="BS10:CA10"/>
    <mergeCell ref="CB10:CJ10"/>
    <mergeCell ref="DB10:DI10"/>
    <mergeCell ref="DJ10:DR10"/>
    <mergeCell ref="DS10:EA10"/>
    <mergeCell ref="EB10:EJ10"/>
    <mergeCell ref="B10:I10"/>
    <mergeCell ref="J10:R10"/>
    <mergeCell ref="S10:AA10"/>
    <mergeCell ref="AB10:AJ10"/>
    <mergeCell ref="BB10:BI10"/>
    <mergeCell ref="BJ10:BR10"/>
    <mergeCell ref="FB11:FI11"/>
    <mergeCell ref="FJ11:FR11"/>
    <mergeCell ref="FA7:FI7"/>
    <mergeCell ref="FJ7:FR7"/>
    <mergeCell ref="A9:K9"/>
    <mergeCell ref="BA9:BK9"/>
    <mergeCell ref="DA9:DK9"/>
    <mergeCell ref="FA9:FK9"/>
    <mergeCell ref="D1:AI1"/>
    <mergeCell ref="BD1:CI1"/>
    <mergeCell ref="DD1:EI1"/>
    <mergeCell ref="FD1:GI1"/>
    <mergeCell ref="A7:I7"/>
    <mergeCell ref="J7:R7"/>
    <mergeCell ref="BA7:BI7"/>
    <mergeCell ref="BJ7:BR7"/>
    <mergeCell ref="DA7:DI7"/>
    <mergeCell ref="DJ7:DR7"/>
  </mergeCells>
  <phoneticPr fontId="122"/>
  <dataValidations count="6">
    <dataValidation type="whole" allowBlank="1" showInputMessage="1" showErrorMessage="1" error="エラー07" sqref="K29:P29 T29:Y29 AC29:AH29 BK29:BP29 BT29:BY29 CC29:CH29 DK29:DP29 DT29:DY29 EC29:EH29 FK29:FP29 FT29:FY29 GC29:GH29" xr:uid="{00000000-0002-0000-1500-000000000000}">
      <formula1>1</formula1>
      <formula2>100</formula2>
    </dataValidation>
    <dataValidation type="whole" allowBlank="1" showInputMessage="1" showErrorMessage="1" error="エラー77_x000a_" sqref="K31:P31 T31:Y31 AC31:AH31 BK31:BP31 BT31:BY31 CC31:CH31 DK31:DP31 DT31:DY31 EC31:EH31 FK31:FP31 FT31:FY31 GC31:GH31" xr:uid="{00000000-0002-0000-1500-000001000000}">
      <formula1>0</formula1>
      <formula2>100</formula2>
    </dataValidation>
    <dataValidation type="decimal" operator="greaterThan" allowBlank="1" showInputMessage="1" showErrorMessage="1" sqref="K19:N19 T19:W19 AC19:AF19 BK19:BN19 BT19:BW19 CC19:CF19 DK19:DN19 DT19:DW19 EC19:EF19 FK19:FN19 FT19:FW19 GC19:GF19" xr:uid="{00000000-0002-0000-1500-000002000000}">
      <formula1>0</formula1>
    </dataValidation>
    <dataValidation operator="greaterThan" allowBlank="1" showInputMessage="1" showErrorMessage="1" sqref="K20:K25 R21 R23 R25 T20:T25 AA21 AA23 AA25 AC20:AC25 AJ21 AJ23 AJ25 BK20:BK25 BR21 BR23 BR25 BT20:BT25 CA21 CA23 CA25 CC20:CC25 CJ21 CJ23 CJ25 DK20:DK25 DR21 DR23 DR25 DT20:DT25 EA21 EA23 EA25 EC20:EC25 EJ21 EJ23 EJ25 FK20:FK25 FR21 FR23 FR25 FT20:FT25 GA21 GA23 GA25 GC20:GC25 GJ21 GJ23 GJ25" xr:uid="{00000000-0002-0000-1500-000003000000}"/>
    <dataValidation type="whole" operator="greaterThan" allowBlank="1" showInputMessage="1" showErrorMessage="1" sqref="K18:O18 K30:O30 N21:Q21 N23:Q23 N25:Q25 T18:X18 T30:X30 W21:Z21 W23:Z23 W25:Z25 AC18:AG18 AC30:AG30 AF21:AI21 AF23:AI23 AF25:AI25 BK18:BO18 BK30:BO30 BN21:BQ21 BN23:BQ23 BN25:BQ25 BT18:BX18 BT30:BX30 BW21:BZ21 BW23:BZ23 BW25:BZ25 CC18:CG18 CC30:CG30 CF21:CI21 CF23:CI23 CF25:CI25 DK18:DO18 DK30:DO30 DN21:DQ21 DN23:DQ23 DN25:DQ25 DT18:DX18 DT30:DX30 DW21:DZ21 DW23:DZ23 DW25:DZ25 EC18:EG18 EC30:EG30 EF21:EI21 EF23:EI23 EF25:EI25 FK18:FO18 FK30:FO30 FN21:FQ21 FN23:FQ23 FN25:FQ25 FT18:FX18 FT30:FX30 FW21:FZ21 FW23:FZ23 FW25:FZ25 GC18:GG18 GC30:GG30 GF21:GI21 GF23:GI23 GF25:GI25" xr:uid="{00000000-0002-0000-1500-000004000000}">
      <formula1>0</formula1>
    </dataValidation>
    <dataValidation type="whole" operator="greaterThanOrEqual" allowBlank="1" showInputMessage="1" showErrorMessage="1" sqref="J49:N50 J61:N62 J73:N74 K16:O16 K26:O26 M32:O32 Q49:U50 Q61:U62 Q73:U74 T16:X16 T26:X26 V32:X32 X49:AB50 X61:AB62 X73:AB74 AC16:AG16 AC26:AG26 AE32:AG32 AE49:AI50 AE61:AI62 AE73:AI74 BJ49:BN50 BJ61:BN62 BJ73:BN74 BK16:BO16 BK26:BO26 BM32:BO32 BQ49:BU50 BQ61:BU62 BQ73:BU74 BT16:BX16 BT26:BX26 BV32:BX32 BX49:CB50 BX61:CB62 BX73:CB74 CC16:CG16 CC26:CG26 CE32:CG32 CE49:CI50 CE61:CI62 CE73:CI74 DJ49:DN50 DJ61:DN62 DJ73:DN74 DK16:DO16 DK26:DO26 DM32:DO32 DQ49:DU50 DQ61:DU62 DQ73:DU74 DT16:DX16 DT26:DX26 DV32:DX32 DX49:EB50 DX61:EB62 DX73:EB74 EC16:EG16 EC26:EG26 EE32:EG32 EE49:EI50 EE61:EI62 EE73:EI74 FJ49:FN50 FJ61:FN62 FJ73:FN74 FK16:FO16 FK26:FO26 FM32:FO32 FQ49:FU50 FQ61:FU62 FQ73:FU74 FT16:FX16 FT26:FX26 FV32:FX32 FX49:GB50 FX61:GB62 FX73:GB74 GC16:GG16 GC26:GG26 GE32:GG32 GE49:GI50 GE61:GI62 GE73:GI74" xr:uid="{00000000-0002-0000-1500-000005000000}">
      <formula1>0</formula1>
    </dataValidation>
  </dataValidations>
  <printOptions horizontalCentered="1"/>
  <pageMargins left="0.70866141732283472" right="0.70866141732283472" top="0.74803149606299213" bottom="0.74803149606299213" header="0.31496062992125984" footer="0.31496062992125984"/>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74753" r:id="rId4" name="チェック1">
              <controlPr defaultSize="0" autoFill="0" autoLine="0" autoPict="0" altText="">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74754" r:id="rId5" name="チェック4">
              <controlPr defaultSize="0" autoFill="0" autoLine="0" autoPict="0" altText="">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74755" r:id="rId6" name="チェック18">
              <controlPr defaultSize="0" autoFill="0" autoLine="0" autoPict="0" altText="">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74756" r:id="rId7" name="チェック19">
              <controlPr defaultSize="0" autoFill="0" autoLine="0" autoPict="0" altText="">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74757" r:id="rId8" name="チェック20">
              <controlPr defaultSize="0" autoFill="0" autoLine="0" autoPict="0" altText="">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74758" r:id="rId9" name="チェック68">
              <controlPr defaultSize="0" autoFill="0" autoLine="0" autoPict="0" altText="">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74759" r:id="rId10" name="チェック69">
              <controlPr defaultSize="0" autoFill="0" autoLine="0" autoPict="0" altText="">
                <anchor moveWithCells="1">
                  <from>
                    <xdr:col>16</xdr:col>
                    <xdr:colOff>182880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74760" r:id="rId11" name="チェック70">
              <controlPr defaultSize="0" autoFill="0" autoLine="0" autoPict="0" altText="">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74761" r:id="rId12" name="チェック71">
              <controlPr defaultSize="0" autoFill="0" autoLine="0" autoPict="0" altText="">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74762" r:id="rId13" name="チェック72">
              <controlPr defaultSize="0" autoFill="0" autoLine="0" autoPict="0" altText="">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74763" r:id="rId14" name="チェック34">
              <controlPr defaultSize="0" autoFill="0" autoLine="0" autoPict="0" altText="">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ltText="">
                <anchor moveWithCells="1">
                  <from>
                    <xdr:col>8</xdr:col>
                    <xdr:colOff>213360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ltText="">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ltText="">
                <anchor moveWithCells="1">
                  <from>
                    <xdr:col>17</xdr:col>
                    <xdr:colOff>182880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ltText="">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ltText="">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74769" r:id="rId20" name="チェック83">
              <controlPr defaultSize="0" autoFill="0" autoLine="0" autoPict="0" altText="">
                <anchor moveWithCells="1">
                  <from>
                    <xdr:col>15</xdr:col>
                    <xdr:colOff>182880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74770" r:id="rId21" name="チェック84">
              <controlPr defaultSize="0" autoFill="0" autoLine="0" autoPict="0" altText="">
                <anchor moveWithCells="1">
                  <from>
                    <xdr:col>22</xdr:col>
                    <xdr:colOff>182880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74771" r:id="rId22" name="チェック85">
              <controlPr defaultSize="0" autoFill="0" autoLine="0" autoPict="0" altText="">
                <anchor moveWithCells="1">
                  <from>
                    <xdr:col>29</xdr:col>
                    <xdr:colOff>182880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74772" r:id="rId23" name="チェック73">
              <controlPr defaultSize="0" autoFill="0" autoLine="0" autoPict="0" altText="">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74773" r:id="rId24" name="チェック74">
              <controlPr defaultSize="0" autoFill="0" autoLine="0" autoPict="0" altText="">
                <anchor moveWithCells="1">
                  <from>
                    <xdr:col>15</xdr:col>
                    <xdr:colOff>182880</xdr:colOff>
                    <xdr:row>44</xdr:row>
                    <xdr:rowOff>0</xdr:rowOff>
                  </from>
                  <to>
                    <xdr:col>16</xdr:col>
                    <xdr:colOff>182880</xdr:colOff>
                    <xdr:row>45</xdr:row>
                    <xdr:rowOff>0</xdr:rowOff>
                  </to>
                </anchor>
              </controlPr>
            </control>
          </mc:Choice>
        </mc:AlternateContent>
        <mc:AlternateContent xmlns:mc="http://schemas.openxmlformats.org/markup-compatibility/2006">
          <mc:Choice Requires="x14">
            <control shapeId="74774" r:id="rId25" name="チェック75">
              <controlPr defaultSize="0" autoFill="0" autoLine="0" autoPict="0" altText="">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74775" r:id="rId26" name="チェック76">
              <controlPr defaultSize="0" autoFill="0" autoLine="0" autoPict="0" altText="">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74776" r:id="rId27" name="チェック77">
              <controlPr defaultSize="0" autoFill="0" autoLine="0" autoPict="0" altText="">
                <anchor moveWithCells="1">
                  <from>
                    <xdr:col>15</xdr:col>
                    <xdr:colOff>182880</xdr:colOff>
                    <xdr:row>45</xdr:row>
                    <xdr:rowOff>0</xdr:rowOff>
                  </from>
                  <to>
                    <xdr:col>16</xdr:col>
                    <xdr:colOff>182880</xdr:colOff>
                    <xdr:row>46</xdr:row>
                    <xdr:rowOff>0</xdr:rowOff>
                  </to>
                </anchor>
              </controlPr>
            </control>
          </mc:Choice>
        </mc:AlternateContent>
        <mc:AlternateContent xmlns:mc="http://schemas.openxmlformats.org/markup-compatibility/2006">
          <mc:Choice Requires="x14">
            <control shapeId="74777" r:id="rId28" name="チェック78">
              <controlPr defaultSize="0" autoFill="0" autoLine="0" autoPict="0" altText="">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74778" r:id="rId29" name="チェック79">
              <controlPr defaultSize="0" autoFill="0" autoLine="0" autoPict="0" altText="">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74779" r:id="rId30" name="チェック80">
              <controlPr defaultSize="0" autoFill="0" autoLine="0" autoPict="0" altText="">
                <anchor moveWithCells="1">
                  <from>
                    <xdr:col>15</xdr:col>
                    <xdr:colOff>182880</xdr:colOff>
                    <xdr:row>46</xdr:row>
                    <xdr:rowOff>0</xdr:rowOff>
                  </from>
                  <to>
                    <xdr:col>16</xdr:col>
                    <xdr:colOff>182880</xdr:colOff>
                    <xdr:row>47</xdr:row>
                    <xdr:rowOff>0</xdr:rowOff>
                  </to>
                </anchor>
              </controlPr>
            </control>
          </mc:Choice>
        </mc:AlternateContent>
        <mc:AlternateContent xmlns:mc="http://schemas.openxmlformats.org/markup-compatibility/2006">
          <mc:Choice Requires="x14">
            <control shapeId="74780" r:id="rId31" name="チェック81">
              <controlPr defaultSize="0" autoFill="0" autoLine="0" autoPict="0" altText="">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ltText="">
                <anchor moveWithCells="1">
                  <from>
                    <xdr:col>8</xdr:col>
                    <xdr:colOff>213360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ltText="">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ltText="">
                <anchor moveWithCells="1">
                  <from>
                    <xdr:col>16</xdr:col>
                    <xdr:colOff>182880</xdr:colOff>
                    <xdr:row>54</xdr:row>
                    <xdr:rowOff>0</xdr:rowOff>
                  </from>
                  <to>
                    <xdr:col>18</xdr:col>
                    <xdr:colOff>7620</xdr:colOff>
                    <xdr:row>55</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ltText="">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ltText="">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ltText="">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ltText="">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74788" r:id="rId39" name="Check Box 36">
              <controlPr defaultSize="0" autoFill="0" autoLine="0" autoPict="0" altText="">
                <anchor moveWithCells="1">
                  <from>
                    <xdr:col>15</xdr:col>
                    <xdr:colOff>182880</xdr:colOff>
                    <xdr:row>56</xdr:row>
                    <xdr:rowOff>0</xdr:rowOff>
                  </from>
                  <to>
                    <xdr:col>16</xdr:col>
                    <xdr:colOff>182880</xdr:colOff>
                    <xdr:row>57</xdr:row>
                    <xdr:rowOff>0</xdr:rowOff>
                  </to>
                </anchor>
              </controlPr>
            </control>
          </mc:Choice>
        </mc:AlternateContent>
        <mc:AlternateContent xmlns:mc="http://schemas.openxmlformats.org/markup-compatibility/2006">
          <mc:Choice Requires="x14">
            <control shapeId="74789" r:id="rId40" name="Check Box 37">
              <controlPr defaultSize="0" autoFill="0" autoLine="0" autoPict="0" altText="">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74790" r:id="rId41" name="Check Box 38">
              <controlPr defaultSize="0" autoFill="0" autoLine="0" autoPict="0" altText="">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74791" r:id="rId42" name="Check Box 39">
              <controlPr defaultSize="0" autoFill="0" autoLine="0" autoPict="0" altText="">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74792" r:id="rId43" name="Check Box 40">
              <controlPr defaultSize="0" autoFill="0" autoLine="0" autoPict="0" altText="">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74793" r:id="rId44" name="Check Box 41">
              <controlPr defaultSize="0" autoFill="0" autoLine="0" autoPict="0" altText="">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74794" r:id="rId45" name="Check Box 42">
              <controlPr defaultSize="0" autoFill="0" autoLine="0" autoPict="0" altText="">
                <anchor moveWithCells="1">
                  <from>
                    <xdr:col>15</xdr:col>
                    <xdr:colOff>182880</xdr:colOff>
                    <xdr:row>58</xdr:row>
                    <xdr:rowOff>0</xdr:rowOff>
                  </from>
                  <to>
                    <xdr:col>17</xdr:col>
                    <xdr:colOff>0</xdr:colOff>
                    <xdr:row>59</xdr:row>
                    <xdr:rowOff>7620</xdr:rowOff>
                  </to>
                </anchor>
              </controlPr>
            </control>
          </mc:Choice>
        </mc:AlternateContent>
        <mc:AlternateContent xmlns:mc="http://schemas.openxmlformats.org/markup-compatibility/2006">
          <mc:Choice Requires="x14">
            <control shapeId="74795" r:id="rId46" name="Check Box 43">
              <controlPr defaultSize="0" autoFill="0" autoLine="0" autoPict="0" altText="">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74796" r:id="rId47" name="Check Box 44">
              <controlPr defaultSize="0" autoFill="0" autoLine="0" autoPict="0" altText="">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74797" r:id="rId48" name="Check Box 45">
              <controlPr defaultSize="0" autoFill="0" autoLine="0" autoPict="0" altText="">
                <anchor moveWithCells="1">
                  <from>
                    <xdr:col>15</xdr:col>
                    <xdr:colOff>182880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74798" r:id="rId49" name="Check Box 46">
              <controlPr defaultSize="0" autoFill="0" autoLine="0" autoPict="0" altText="">
                <anchor moveWithCells="1">
                  <from>
                    <xdr:col>22</xdr:col>
                    <xdr:colOff>182880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74799" r:id="rId50" name="Check Box 47">
              <controlPr defaultSize="0" autoFill="0" autoLine="0" autoPict="0" altText="">
                <anchor moveWithCells="1">
                  <from>
                    <xdr:col>29</xdr:col>
                    <xdr:colOff>182880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74800" r:id="rId51" name="Check Box 48">
              <controlPr defaultSize="0" autoFill="0" autoLine="0" autoPict="0" altText="">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74801" r:id="rId52" name="Check Box 49">
              <controlPr defaultSize="0" autoFill="0" autoLine="0" autoPict="0" altText="">
                <anchor moveWithCells="1">
                  <from>
                    <xdr:col>16</xdr:col>
                    <xdr:colOff>182880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74802" r:id="rId53" name="Check Box 50">
              <controlPr defaultSize="0" autoFill="0" autoLine="0" autoPict="0" altText="">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74803" r:id="rId54" name="Check Box 51">
              <controlPr defaultSize="0" autoFill="0" autoLine="0" autoPict="0" altText="">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74804" r:id="rId55" name="Check Box 52">
              <controlPr defaultSize="0" autoFill="0" autoLine="0" autoPict="0" altText="">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74805" r:id="rId56" name="Check Box 53">
              <controlPr defaultSize="0" autoFill="0" autoLine="0" autoPict="0" altText="">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74806" r:id="rId57" name="Check Box 54">
              <controlPr defaultSize="0" autoFill="0" autoLine="0" autoPict="0" altText="">
                <anchor moveWithCells="1">
                  <from>
                    <xdr:col>15</xdr:col>
                    <xdr:colOff>182880</xdr:colOff>
                    <xdr:row>68</xdr:row>
                    <xdr:rowOff>0</xdr:rowOff>
                  </from>
                  <to>
                    <xdr:col>16</xdr:col>
                    <xdr:colOff>182880</xdr:colOff>
                    <xdr:row>69</xdr:row>
                    <xdr:rowOff>0</xdr:rowOff>
                  </to>
                </anchor>
              </controlPr>
            </control>
          </mc:Choice>
        </mc:AlternateContent>
        <mc:AlternateContent xmlns:mc="http://schemas.openxmlformats.org/markup-compatibility/2006">
          <mc:Choice Requires="x14">
            <control shapeId="74807" r:id="rId58" name="Check Box 55">
              <controlPr defaultSize="0" autoFill="0" autoLine="0" autoPict="0" altText="">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74808" r:id="rId59" name="Check Box 56">
              <controlPr defaultSize="0" autoFill="0" autoLine="0" autoPict="0" altText="">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74809" r:id="rId60" name="Check Box 57">
              <controlPr defaultSize="0" autoFill="0" autoLine="0" autoPict="0" altText="">
                <anchor moveWithCells="1">
                  <from>
                    <xdr:col>15</xdr:col>
                    <xdr:colOff>182880</xdr:colOff>
                    <xdr:row>69</xdr:row>
                    <xdr:rowOff>0</xdr:rowOff>
                  </from>
                  <to>
                    <xdr:col>16</xdr:col>
                    <xdr:colOff>182880</xdr:colOff>
                    <xdr:row>70</xdr:row>
                    <xdr:rowOff>0</xdr:rowOff>
                  </to>
                </anchor>
              </controlPr>
            </control>
          </mc:Choice>
        </mc:AlternateContent>
        <mc:AlternateContent xmlns:mc="http://schemas.openxmlformats.org/markup-compatibility/2006">
          <mc:Choice Requires="x14">
            <control shapeId="74810" r:id="rId61" name="Check Box 58">
              <controlPr defaultSize="0" autoFill="0" autoLine="0" autoPict="0" altText="">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74811" r:id="rId62" name="Check Box 59">
              <controlPr defaultSize="0" autoFill="0" autoLine="0" autoPict="0" altText="">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74812" r:id="rId63" name="Check Box 60">
              <controlPr defaultSize="0" autoFill="0" autoLine="0" autoPict="0" altText="">
                <anchor moveWithCells="1">
                  <from>
                    <xdr:col>15</xdr:col>
                    <xdr:colOff>182880</xdr:colOff>
                    <xdr:row>70</xdr:row>
                    <xdr:rowOff>0</xdr:rowOff>
                  </from>
                  <to>
                    <xdr:col>16</xdr:col>
                    <xdr:colOff>182880</xdr:colOff>
                    <xdr:row>71</xdr:row>
                    <xdr:rowOff>0</xdr:rowOff>
                  </to>
                </anchor>
              </controlPr>
            </control>
          </mc:Choice>
        </mc:AlternateContent>
        <mc:AlternateContent xmlns:mc="http://schemas.openxmlformats.org/markup-compatibility/2006">
          <mc:Choice Requires="x14">
            <control shapeId="74813" r:id="rId64" name="Check Box 61">
              <controlPr defaultSize="0" autoFill="0" autoLine="0" autoPict="0" altText="">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74814" r:id="rId65" name="Check Box 62">
              <controlPr defaultSize="0" autoFill="0" autoLine="0" autoPict="0" altText="">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74815" r:id="rId66" name="Check Box 63">
              <controlPr defaultSize="0" autoFill="0" autoLine="0" autoPict="0" altText="">
                <anchor moveWithCells="1">
                  <from>
                    <xdr:col>15</xdr:col>
                    <xdr:colOff>182880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74816" r:id="rId67" name="Check Box 64">
              <controlPr defaultSize="0" autoFill="0" autoLine="0" autoPict="0" altText="">
                <anchor moveWithCells="1">
                  <from>
                    <xdr:col>22</xdr:col>
                    <xdr:colOff>182880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74817" r:id="rId68" name="Check Box 65">
              <controlPr defaultSize="0" autoFill="0" autoLine="0" autoPict="0" altText="">
                <anchor moveWithCells="1">
                  <from>
                    <xdr:col>29</xdr:col>
                    <xdr:colOff>182880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74818" r:id="rId69" name="Check Box 66">
              <controlPr defaultSize="0" autoFill="0" autoLine="0" autoPict="0" altText="">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74819" r:id="rId70" name="Check Box 67">
              <controlPr defaultSize="0" autoFill="0" autoLine="0" autoPict="0" altText="">
                <anchor moveWithCells="1">
                  <from>
                    <xdr:col>14</xdr:col>
                    <xdr:colOff>182880</xdr:colOff>
                    <xdr:row>40</xdr:row>
                    <xdr:rowOff>228600</xdr:rowOff>
                  </from>
                  <to>
                    <xdr:col>15</xdr:col>
                    <xdr:colOff>182880</xdr:colOff>
                    <xdr:row>42</xdr:row>
                    <xdr:rowOff>0</xdr:rowOff>
                  </to>
                </anchor>
              </controlPr>
            </control>
          </mc:Choice>
        </mc:AlternateContent>
        <mc:AlternateContent xmlns:mc="http://schemas.openxmlformats.org/markup-compatibility/2006">
          <mc:Choice Requires="x14">
            <control shapeId="74820" r:id="rId71" name="Check Box 68">
              <controlPr defaultSize="0" autoFill="0" autoLine="0" autoPict="0" altText="">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74821" r:id="rId72" name="Check Box 69">
              <controlPr defaultSize="0" autoFill="0" autoLine="0" autoPict="0" altText="">
                <anchor moveWithCells="1">
                  <from>
                    <xdr:col>14</xdr:col>
                    <xdr:colOff>182880</xdr:colOff>
                    <xdr:row>52</xdr:row>
                    <xdr:rowOff>228600</xdr:rowOff>
                  </from>
                  <to>
                    <xdr:col>15</xdr:col>
                    <xdr:colOff>182880</xdr:colOff>
                    <xdr:row>54</xdr:row>
                    <xdr:rowOff>0</xdr:rowOff>
                  </to>
                </anchor>
              </controlPr>
            </control>
          </mc:Choice>
        </mc:AlternateContent>
        <mc:AlternateContent xmlns:mc="http://schemas.openxmlformats.org/markup-compatibility/2006">
          <mc:Choice Requires="x14">
            <control shapeId="74822" r:id="rId73" name="Check Box 70">
              <controlPr defaultSize="0" autoFill="0" autoLine="0" autoPict="0" altText="">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74823" r:id="rId74" name="Check Box 71">
              <controlPr defaultSize="0" autoFill="0" autoLine="0" autoPict="0" altText="">
                <anchor moveWithCells="1">
                  <from>
                    <xdr:col>14</xdr:col>
                    <xdr:colOff>182880</xdr:colOff>
                    <xdr:row>64</xdr:row>
                    <xdr:rowOff>228600</xdr:rowOff>
                  </from>
                  <to>
                    <xdr:col>15</xdr:col>
                    <xdr:colOff>182880</xdr:colOff>
                    <xdr:row>66</xdr:row>
                    <xdr:rowOff>0</xdr:rowOff>
                  </to>
                </anchor>
              </controlPr>
            </control>
          </mc:Choice>
        </mc:AlternateContent>
        <mc:AlternateContent xmlns:mc="http://schemas.openxmlformats.org/markup-compatibility/2006">
          <mc:Choice Requires="x14">
            <control shapeId="74824" r:id="rId75" name="チェック1">
              <controlPr defaultSize="0" autoFill="0" autoLine="0" autoPict="0" altText="">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74825" r:id="rId76" name="チェック4">
              <controlPr defaultSize="0" autoFill="0" autoLine="0" autoPict="0" altText="">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74826" r:id="rId77" name="チェック18">
              <controlPr defaultSize="0" autoFill="0" autoLine="0" autoPict="0" altText="">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74827" r:id="rId78" name="チェック19">
              <controlPr defaultSize="0" autoFill="0" autoLine="0" autoPict="0" altText="">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74828" r:id="rId79" name="チェック20">
              <controlPr defaultSize="0" autoFill="0" autoLine="0" autoPict="0" altText="">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74829" r:id="rId80" name="チェック68">
              <controlPr defaultSize="0" autoFill="0" autoLine="0" autoPict="0" altText="">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74830" r:id="rId81" name="チェック69">
              <controlPr defaultSize="0" autoFill="0" autoLine="0" autoPict="0" altText="">
                <anchor moveWithCells="1">
                  <from>
                    <xdr:col>68</xdr:col>
                    <xdr:colOff>182880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74831" r:id="rId82" name="チェック70">
              <controlPr defaultSize="0" autoFill="0" autoLine="0" autoPict="0" altText="">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74832" r:id="rId83" name="チェック71">
              <controlPr defaultSize="0" autoFill="0" autoLine="0" autoPict="0" altText="">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74833" r:id="rId84" name="チェック72">
              <controlPr defaultSize="0" autoFill="0" autoLine="0" autoPict="0" altText="">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74834" r:id="rId85" name="チェック34">
              <controlPr defaultSize="0" autoFill="0" autoLine="0" autoPict="0" altText="">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74835" r:id="rId86" name="Check Box 83">
              <controlPr defaultSize="0" autoFill="0" autoLine="0" autoPict="0" altText="">
                <anchor moveWithCells="1">
                  <from>
                    <xdr:col>60</xdr:col>
                    <xdr:colOff>213360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74836" r:id="rId87" name="Check Box 84">
              <controlPr defaultSize="0" autoFill="0" autoLine="0" autoPict="0" altText="">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74837" r:id="rId88" name="Check Box 85">
              <controlPr defaultSize="0" autoFill="0" autoLine="0" autoPict="0" altText="">
                <anchor moveWithCells="1">
                  <from>
                    <xdr:col>69</xdr:col>
                    <xdr:colOff>182880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74838" r:id="rId89" name="Check Box 86">
              <controlPr defaultSize="0" autoFill="0" autoLine="0" autoPict="0" altText="">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74839" r:id="rId90" name="Check Box 87">
              <controlPr defaultSize="0" autoFill="0" autoLine="0" autoPict="0" altText="">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74840" r:id="rId91" name="チェック83">
              <controlPr defaultSize="0" autoFill="0" autoLine="0" autoPict="0" altText="">
                <anchor moveWithCells="1">
                  <from>
                    <xdr:col>67</xdr:col>
                    <xdr:colOff>182880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74841" r:id="rId92" name="チェック84">
              <controlPr defaultSize="0" autoFill="0" autoLine="0" autoPict="0" altText="">
                <anchor moveWithCells="1">
                  <from>
                    <xdr:col>74</xdr:col>
                    <xdr:colOff>182880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74842" r:id="rId93" name="チェック85">
              <controlPr defaultSize="0" autoFill="0" autoLine="0" autoPict="0" altText="">
                <anchor moveWithCells="1">
                  <from>
                    <xdr:col>81</xdr:col>
                    <xdr:colOff>182880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74843" r:id="rId94" name="チェック73">
              <controlPr defaultSize="0" autoFill="0" autoLine="0" autoPict="0" altText="">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74844" r:id="rId95" name="チェック74">
              <controlPr defaultSize="0" autoFill="0" autoLine="0" autoPict="0" altText="">
                <anchor moveWithCells="1">
                  <from>
                    <xdr:col>67</xdr:col>
                    <xdr:colOff>182880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74845" r:id="rId96" name="チェック75">
              <controlPr defaultSize="0" autoFill="0" autoLine="0" autoPict="0" altText="">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74846" r:id="rId97" name="チェック76">
              <controlPr defaultSize="0" autoFill="0" autoLine="0" autoPict="0" altText="">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74847" r:id="rId98" name="チェック77">
              <controlPr defaultSize="0" autoFill="0" autoLine="0" autoPict="0" altText="">
                <anchor moveWithCells="1">
                  <from>
                    <xdr:col>67</xdr:col>
                    <xdr:colOff>182880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74848" r:id="rId99" name="チェック78">
              <controlPr defaultSize="0" autoFill="0" autoLine="0" autoPict="0" altText="">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74849" r:id="rId100" name="チェック79">
              <controlPr defaultSize="0" autoFill="0" autoLine="0" autoPict="0" altText="">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74850" r:id="rId101" name="チェック80">
              <controlPr defaultSize="0" autoFill="0" autoLine="0" autoPict="0" altText="">
                <anchor moveWithCells="1">
                  <from>
                    <xdr:col>67</xdr:col>
                    <xdr:colOff>182880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74851" r:id="rId102" name="チェック81">
              <controlPr defaultSize="0" autoFill="0" autoLine="0" autoPict="0" altText="">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74852" r:id="rId103" name="Check Box 100">
              <controlPr defaultSize="0" autoFill="0" autoLine="0" autoPict="0" altText="">
                <anchor moveWithCells="1">
                  <from>
                    <xdr:col>60</xdr:col>
                    <xdr:colOff>213360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74853" r:id="rId104" name="Check Box 101">
              <controlPr defaultSize="0" autoFill="0" autoLine="0" autoPict="0" altText="">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74854" r:id="rId105" name="Check Box 102">
              <controlPr defaultSize="0" autoFill="0" autoLine="0" autoPict="0" altText="">
                <anchor moveWithCells="1">
                  <from>
                    <xdr:col>68</xdr:col>
                    <xdr:colOff>182880</xdr:colOff>
                    <xdr:row>54</xdr:row>
                    <xdr:rowOff>0</xdr:rowOff>
                  </from>
                  <to>
                    <xdr:col>70</xdr:col>
                    <xdr:colOff>7620</xdr:colOff>
                    <xdr:row>55</xdr:row>
                    <xdr:rowOff>0</xdr:rowOff>
                  </to>
                </anchor>
              </controlPr>
            </control>
          </mc:Choice>
        </mc:AlternateContent>
        <mc:AlternateContent xmlns:mc="http://schemas.openxmlformats.org/markup-compatibility/2006">
          <mc:Choice Requires="x14">
            <control shapeId="74855" r:id="rId106" name="Check Box 103">
              <controlPr defaultSize="0" autoFill="0" autoLine="0" autoPict="0" altText="">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74856" r:id="rId107" name="Check Box 104">
              <controlPr defaultSize="0" autoFill="0" autoLine="0" autoPict="0" altText="">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74857" r:id="rId108" name="Check Box 105">
              <controlPr defaultSize="0" autoFill="0" autoLine="0" autoPict="0" altText="">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74858" r:id="rId109" name="Check Box 106">
              <controlPr defaultSize="0" autoFill="0" autoLine="0" autoPict="0" altText="">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74859" r:id="rId110" name="Check Box 107">
              <controlPr defaultSize="0" autoFill="0" autoLine="0" autoPict="0" altText="">
                <anchor moveWithCells="1">
                  <from>
                    <xdr:col>67</xdr:col>
                    <xdr:colOff>182880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74860" r:id="rId111" name="Check Box 108">
              <controlPr defaultSize="0" autoFill="0" autoLine="0" autoPict="0" altText="">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74861" r:id="rId112" name="Check Box 109">
              <controlPr defaultSize="0" autoFill="0" autoLine="0" autoPict="0" altText="">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74862" r:id="rId113" name="Check Box 110">
              <controlPr defaultSize="0" autoFill="0" autoLine="0" autoPict="0" altText="">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74863" r:id="rId114" name="Check Box 111">
              <controlPr defaultSize="0" autoFill="0" autoLine="0" autoPict="0" altText="">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74864" r:id="rId115" name="Check Box 112">
              <controlPr defaultSize="0" autoFill="0" autoLine="0" autoPict="0" altText="">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74865" r:id="rId116" name="Check Box 113">
              <controlPr defaultSize="0" autoFill="0" autoLine="0" autoPict="0" altText="">
                <anchor moveWithCells="1">
                  <from>
                    <xdr:col>67</xdr:col>
                    <xdr:colOff>182880</xdr:colOff>
                    <xdr:row>58</xdr:row>
                    <xdr:rowOff>0</xdr:rowOff>
                  </from>
                  <to>
                    <xdr:col>69</xdr:col>
                    <xdr:colOff>0</xdr:colOff>
                    <xdr:row>59</xdr:row>
                    <xdr:rowOff>7620</xdr:rowOff>
                  </to>
                </anchor>
              </controlPr>
            </control>
          </mc:Choice>
        </mc:AlternateContent>
        <mc:AlternateContent xmlns:mc="http://schemas.openxmlformats.org/markup-compatibility/2006">
          <mc:Choice Requires="x14">
            <control shapeId="74866" r:id="rId117" name="Check Box 114">
              <controlPr defaultSize="0" autoFill="0" autoLine="0" autoPict="0" altText="">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74867" r:id="rId118" name="Check Box 115">
              <controlPr defaultSize="0" autoFill="0" autoLine="0" autoPict="0" altText="">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74868" r:id="rId119" name="Check Box 116">
              <controlPr defaultSize="0" autoFill="0" autoLine="0" autoPict="0" altText="">
                <anchor moveWithCells="1">
                  <from>
                    <xdr:col>67</xdr:col>
                    <xdr:colOff>182880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74869" r:id="rId120" name="Check Box 117">
              <controlPr defaultSize="0" autoFill="0" autoLine="0" autoPict="0" altText="">
                <anchor moveWithCells="1">
                  <from>
                    <xdr:col>74</xdr:col>
                    <xdr:colOff>182880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74870" r:id="rId121" name="Check Box 118">
              <controlPr defaultSize="0" autoFill="0" autoLine="0" autoPict="0" altText="">
                <anchor moveWithCells="1">
                  <from>
                    <xdr:col>81</xdr:col>
                    <xdr:colOff>182880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74871" r:id="rId122" name="Check Box 119">
              <controlPr defaultSize="0" autoFill="0" autoLine="0" autoPict="0" altText="">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74872" r:id="rId123" name="Check Box 120">
              <controlPr defaultSize="0" autoFill="0" autoLine="0" autoPict="0" altText="">
                <anchor moveWithCells="1">
                  <from>
                    <xdr:col>68</xdr:col>
                    <xdr:colOff>182880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74873" r:id="rId124" name="Check Box 121">
              <controlPr defaultSize="0" autoFill="0" autoLine="0" autoPict="0" altText="">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74874" r:id="rId125" name="Check Box 122">
              <controlPr defaultSize="0" autoFill="0" autoLine="0" autoPict="0" altText="">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74875" r:id="rId126" name="Check Box 123">
              <controlPr defaultSize="0" autoFill="0" autoLine="0" autoPict="0" altText="">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74876" r:id="rId127" name="Check Box 124">
              <controlPr defaultSize="0" autoFill="0" autoLine="0" autoPict="0" altText="">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74877" r:id="rId128" name="Check Box 125">
              <controlPr defaultSize="0" autoFill="0" autoLine="0" autoPict="0" altText="">
                <anchor moveWithCells="1">
                  <from>
                    <xdr:col>67</xdr:col>
                    <xdr:colOff>182880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74878" r:id="rId129" name="Check Box 126">
              <controlPr defaultSize="0" autoFill="0" autoLine="0" autoPict="0" altText="">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74879" r:id="rId130" name="Check Box 127">
              <controlPr defaultSize="0" autoFill="0" autoLine="0" autoPict="0" altText="">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74880" r:id="rId131" name="Check Box 128">
              <controlPr defaultSize="0" autoFill="0" autoLine="0" autoPict="0" altText="">
                <anchor moveWithCells="1">
                  <from>
                    <xdr:col>67</xdr:col>
                    <xdr:colOff>182880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74881" r:id="rId132" name="Check Box 129">
              <controlPr defaultSize="0" autoFill="0" autoLine="0" autoPict="0" altText="">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74882" r:id="rId133" name="Check Box 130">
              <controlPr defaultSize="0" autoFill="0" autoLine="0" autoPict="0" altText="">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74883" r:id="rId134" name="Check Box 131">
              <controlPr defaultSize="0" autoFill="0" autoLine="0" autoPict="0" altText="">
                <anchor moveWithCells="1">
                  <from>
                    <xdr:col>67</xdr:col>
                    <xdr:colOff>182880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74884" r:id="rId135" name="Check Box 132">
              <controlPr defaultSize="0" autoFill="0" autoLine="0" autoPict="0" altText="">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74885" r:id="rId136" name="Check Box 133">
              <controlPr defaultSize="0" autoFill="0" autoLine="0" autoPict="0" altText="">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74886" r:id="rId137" name="Check Box 134">
              <controlPr defaultSize="0" autoFill="0" autoLine="0" autoPict="0" altText="">
                <anchor moveWithCells="1">
                  <from>
                    <xdr:col>67</xdr:col>
                    <xdr:colOff>182880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74887" r:id="rId138" name="Check Box 135">
              <controlPr defaultSize="0" autoFill="0" autoLine="0" autoPict="0" altText="">
                <anchor moveWithCells="1">
                  <from>
                    <xdr:col>74</xdr:col>
                    <xdr:colOff>182880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74888" r:id="rId139" name="Check Box 136">
              <controlPr defaultSize="0" autoFill="0" autoLine="0" autoPict="0" altText="">
                <anchor moveWithCells="1">
                  <from>
                    <xdr:col>81</xdr:col>
                    <xdr:colOff>182880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74889" r:id="rId140" name="Check Box 137">
              <controlPr defaultSize="0" autoFill="0" autoLine="0" autoPict="0" altText="">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74890" r:id="rId141" name="Check Box 138">
              <controlPr defaultSize="0" autoFill="0" autoLine="0" autoPict="0" altText="">
                <anchor moveWithCells="1">
                  <from>
                    <xdr:col>66</xdr:col>
                    <xdr:colOff>182880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74891" r:id="rId142" name="Check Box 139">
              <controlPr defaultSize="0" autoFill="0" autoLine="0" autoPict="0" altText="">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74892" r:id="rId143" name="Check Box 140">
              <controlPr defaultSize="0" autoFill="0" autoLine="0" autoPict="0" altText="">
                <anchor moveWithCells="1">
                  <from>
                    <xdr:col>66</xdr:col>
                    <xdr:colOff>182880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74893" r:id="rId144" name="Check Box 141">
              <controlPr defaultSize="0" autoFill="0" autoLine="0" autoPict="0" altText="">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74894" r:id="rId145" name="Check Box 142">
              <controlPr defaultSize="0" autoFill="0" autoLine="0" autoPict="0" altText="">
                <anchor moveWithCells="1">
                  <from>
                    <xdr:col>66</xdr:col>
                    <xdr:colOff>182880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74895" r:id="rId146" name="Check Box 143">
              <controlPr defaultSize="0" autoFill="0" autoLine="0" autoPict="0" altText="">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896" r:id="rId147" name="Check Box 144">
              <controlPr defaultSize="0" autoFill="0" autoLine="0" autoPict="0" altText="">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897" r:id="rId148" name="Check Box 145">
              <controlPr defaultSize="0" autoFill="0" autoLine="0" autoPict="0" altText="">
                <anchor moveWithCells="1">
                  <from>
                    <xdr:col>113</xdr:col>
                    <xdr:colOff>-22860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898" r:id="rId149" name="Check Box 146">
              <controlPr defaultSize="0" autoFill="0" autoLine="0" autoPict="0" altText="">
                <anchor moveWithCells="1">
                  <from>
                    <xdr:col>118</xdr:col>
                    <xdr:colOff>0</xdr:colOff>
                    <xdr:row>3</xdr:row>
                    <xdr:rowOff>0</xdr:rowOff>
                  </from>
                  <to>
                    <xdr:col>119</xdr:col>
                    <xdr:colOff>7620</xdr:colOff>
                    <xdr:row>4</xdr:row>
                    <xdr:rowOff>0</xdr:rowOff>
                  </to>
                </anchor>
              </controlPr>
            </control>
          </mc:Choice>
        </mc:AlternateContent>
        <mc:AlternateContent xmlns:mc="http://schemas.openxmlformats.org/markup-compatibility/2006">
          <mc:Choice Requires="x14">
            <control shapeId="74899" r:id="rId150" name="Check Box 147">
              <controlPr defaultSize="0" autoFill="0" autoLine="0" autoPict="0" altText="">
                <anchor moveWithCells="1">
                  <from>
                    <xdr:col>123</xdr:col>
                    <xdr:colOff>0</xdr:colOff>
                    <xdr:row>3</xdr:row>
                    <xdr:rowOff>0</xdr:rowOff>
                  </from>
                  <to>
                    <xdr:col>124</xdr:col>
                    <xdr:colOff>7620</xdr:colOff>
                    <xdr:row>4</xdr:row>
                    <xdr:rowOff>0</xdr:rowOff>
                  </to>
                </anchor>
              </controlPr>
            </control>
          </mc:Choice>
        </mc:AlternateContent>
        <mc:AlternateContent xmlns:mc="http://schemas.openxmlformats.org/markup-compatibility/2006">
          <mc:Choice Requires="x14">
            <control shapeId="74900" r:id="rId151" name="Check Box 148">
              <controlPr defaultSize="0" autoFill="0" autoLine="0" autoPict="0" altText="">
                <anchor moveWithCells="1">
                  <from>
                    <xdr:col>128</xdr:col>
                    <xdr:colOff>0</xdr:colOff>
                    <xdr:row>3</xdr:row>
                    <xdr:rowOff>0</xdr:rowOff>
                  </from>
                  <to>
                    <xdr:col>129</xdr:col>
                    <xdr:colOff>7620</xdr:colOff>
                    <xdr:row>4</xdr:row>
                    <xdr:rowOff>0</xdr:rowOff>
                  </to>
                </anchor>
              </controlPr>
            </control>
          </mc:Choice>
        </mc:AlternateContent>
        <mc:AlternateContent xmlns:mc="http://schemas.openxmlformats.org/markup-compatibility/2006">
          <mc:Choice Requires="x14">
            <control shapeId="74901" r:id="rId152" name="Check Box 149">
              <controlPr defaultSize="0" autoFill="0" autoLine="0" autoPict="0" altText="">
                <anchor moveWithCells="1">
                  <from>
                    <xdr:col>113</xdr:col>
                    <xdr:colOff>0</xdr:colOff>
                    <xdr:row>42</xdr:row>
                    <xdr:rowOff>0</xdr:rowOff>
                  </from>
                  <to>
                    <xdr:col>114</xdr:col>
                    <xdr:colOff>7620</xdr:colOff>
                    <xdr:row>43</xdr:row>
                    <xdr:rowOff>0</xdr:rowOff>
                  </to>
                </anchor>
              </controlPr>
            </control>
          </mc:Choice>
        </mc:AlternateContent>
        <mc:AlternateContent xmlns:mc="http://schemas.openxmlformats.org/markup-compatibility/2006">
          <mc:Choice Requires="x14">
            <control shapeId="74902" r:id="rId153" name="Check Box 150">
              <controlPr defaultSize="0" autoFill="0" autoLine="0" autoPict="0" altText="">
                <anchor moveWithCells="1">
                  <from>
                    <xdr:col>120</xdr:col>
                    <xdr:colOff>182880</xdr:colOff>
                    <xdr:row>42</xdr:row>
                    <xdr:rowOff>0</xdr:rowOff>
                  </from>
                  <to>
                    <xdr:col>122</xdr:col>
                    <xdr:colOff>7620</xdr:colOff>
                    <xdr:row>43</xdr:row>
                    <xdr:rowOff>0</xdr:rowOff>
                  </to>
                </anchor>
              </controlPr>
            </control>
          </mc:Choice>
        </mc:AlternateContent>
        <mc:AlternateContent xmlns:mc="http://schemas.openxmlformats.org/markup-compatibility/2006">
          <mc:Choice Requires="x14">
            <control shapeId="74903" r:id="rId154" name="Check Box 151">
              <controlPr defaultSize="0" autoFill="0" autoLine="0" autoPict="0" altText="">
                <anchor moveWithCells="1">
                  <from>
                    <xdr:col>128</xdr:col>
                    <xdr:colOff>0</xdr:colOff>
                    <xdr:row>42</xdr:row>
                    <xdr:rowOff>0</xdr:rowOff>
                  </from>
                  <to>
                    <xdr:col>129</xdr:col>
                    <xdr:colOff>7620</xdr:colOff>
                    <xdr:row>43</xdr:row>
                    <xdr:rowOff>0</xdr:rowOff>
                  </to>
                </anchor>
              </controlPr>
            </control>
          </mc:Choice>
        </mc:AlternateContent>
        <mc:AlternateContent xmlns:mc="http://schemas.openxmlformats.org/markup-compatibility/2006">
          <mc:Choice Requires="x14">
            <control shapeId="74904" r:id="rId155" name="Check Box 152">
              <controlPr defaultSize="0" autoFill="0" autoLine="0" autoPict="0" altText="">
                <anchor moveWithCells="1">
                  <from>
                    <xdr:col>113</xdr:col>
                    <xdr:colOff>0</xdr:colOff>
                    <xdr:row>43</xdr:row>
                    <xdr:rowOff>0</xdr:rowOff>
                  </from>
                  <to>
                    <xdr:col>114</xdr:col>
                    <xdr:colOff>7620</xdr:colOff>
                    <xdr:row>44</xdr:row>
                    <xdr:rowOff>0</xdr:rowOff>
                  </to>
                </anchor>
              </controlPr>
            </control>
          </mc:Choice>
        </mc:AlternateContent>
        <mc:AlternateContent xmlns:mc="http://schemas.openxmlformats.org/markup-compatibility/2006">
          <mc:Choice Requires="x14">
            <control shapeId="74905" r:id="rId156" name="Check Box 153">
              <controlPr defaultSize="0" autoFill="0" autoLine="0" autoPict="0" altText="">
                <anchor moveWithCells="1">
                  <from>
                    <xdr:col>123</xdr:col>
                    <xdr:colOff>0</xdr:colOff>
                    <xdr:row>43</xdr:row>
                    <xdr:rowOff>0</xdr:rowOff>
                  </from>
                  <to>
                    <xdr:col>124</xdr:col>
                    <xdr:colOff>7620</xdr:colOff>
                    <xdr:row>44</xdr:row>
                    <xdr:rowOff>0</xdr:rowOff>
                  </to>
                </anchor>
              </controlPr>
            </control>
          </mc:Choice>
        </mc:AlternateContent>
        <mc:AlternateContent xmlns:mc="http://schemas.openxmlformats.org/markup-compatibility/2006">
          <mc:Choice Requires="x14">
            <control shapeId="74906" r:id="rId157" name="Check Box 154">
              <controlPr defaultSize="0" autoFill="0" autoLine="0" autoPict="0" altText="">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907" r:id="rId158" name="Check Box 155">
              <controlPr defaultSize="0" autoFill="0" autoLine="0" autoPict="0" altText="">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908" r:id="rId159" name="Check Box 156">
              <controlPr defaultSize="0" autoFill="0" autoLine="0" autoPict="0" altText="">
                <anchor moveWithCells="1">
                  <from>
                    <xdr:col>122</xdr:col>
                    <xdr:colOff>0</xdr:colOff>
                    <xdr:row>26</xdr:row>
                    <xdr:rowOff>0</xdr:rowOff>
                  </from>
                  <to>
                    <xdr:col>123</xdr:col>
                    <xdr:colOff>7620</xdr:colOff>
                    <xdr:row>28</xdr:row>
                    <xdr:rowOff>0</xdr:rowOff>
                  </to>
                </anchor>
              </controlPr>
            </control>
          </mc:Choice>
        </mc:AlternateContent>
        <mc:AlternateContent xmlns:mc="http://schemas.openxmlformats.org/markup-compatibility/2006">
          <mc:Choice Requires="x14">
            <control shapeId="74909" r:id="rId160" name="Check Box 157">
              <controlPr defaultSize="0" autoFill="0" autoLine="0" autoPict="0" altText="">
                <anchor moveWithCells="1">
                  <from>
                    <xdr:col>113</xdr:col>
                    <xdr:colOff>-22860</xdr:colOff>
                    <xdr:row>26</xdr:row>
                    <xdr:rowOff>0</xdr:rowOff>
                  </from>
                  <to>
                    <xdr:col>114</xdr:col>
                    <xdr:colOff>7620</xdr:colOff>
                    <xdr:row>28</xdr:row>
                    <xdr:rowOff>0</xdr:rowOff>
                  </to>
                </anchor>
              </controlPr>
            </control>
          </mc:Choice>
        </mc:AlternateContent>
        <mc:AlternateContent xmlns:mc="http://schemas.openxmlformats.org/markup-compatibility/2006">
          <mc:Choice Requires="x14">
            <control shapeId="74910" r:id="rId161" name="Check Box 158">
              <controlPr defaultSize="0" autoFill="0" autoLine="0" autoPict="0" altText="">
                <anchor moveWithCells="1">
                  <from>
                    <xdr:col>131</xdr:col>
                    <xdr:colOff>0</xdr:colOff>
                    <xdr:row>26</xdr:row>
                    <xdr:rowOff>0</xdr:rowOff>
                  </from>
                  <to>
                    <xdr:col>132</xdr:col>
                    <xdr:colOff>7620</xdr:colOff>
                    <xdr:row>28</xdr:row>
                    <xdr:rowOff>0</xdr:rowOff>
                  </to>
                </anchor>
              </controlPr>
            </control>
          </mc:Choice>
        </mc:AlternateContent>
        <mc:AlternateContent xmlns:mc="http://schemas.openxmlformats.org/markup-compatibility/2006">
          <mc:Choice Requires="x14">
            <control shapeId="74911" r:id="rId162" name="Check Box 159">
              <controlPr defaultSize="0" autoFill="0" autoLine="0" autoPict="0" altText="">
                <anchor moveWithCells="1">
                  <from>
                    <xdr:col>113</xdr:col>
                    <xdr:colOff>-22860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912" r:id="rId163" name="Check Box 160">
              <controlPr defaultSize="0" autoFill="0" autoLine="0" autoPict="0" altText="">
                <anchor moveWithCells="1">
                  <from>
                    <xdr:col>113</xdr:col>
                    <xdr:colOff>-22860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913" r:id="rId164" name="Check Box 161">
              <controlPr defaultSize="0" autoFill="0" autoLine="0" autoPict="0" altText="">
                <anchor moveWithCells="1">
                  <from>
                    <xdr:col>113</xdr:col>
                    <xdr:colOff>-22860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74914" r:id="rId165" name="Check Box 162">
              <controlPr defaultSize="0" autoFill="0" autoLine="0" autoPict="0" altText="">
                <anchor moveWithCells="1">
                  <from>
                    <xdr:col>121</xdr:col>
                    <xdr:colOff>182880</xdr:colOff>
                    <xdr:row>12</xdr:row>
                    <xdr:rowOff>0</xdr:rowOff>
                  </from>
                  <to>
                    <xdr:col>123</xdr:col>
                    <xdr:colOff>7620</xdr:colOff>
                    <xdr:row>13</xdr:row>
                    <xdr:rowOff>0</xdr:rowOff>
                  </to>
                </anchor>
              </controlPr>
            </control>
          </mc:Choice>
        </mc:AlternateContent>
        <mc:AlternateContent xmlns:mc="http://schemas.openxmlformats.org/markup-compatibility/2006">
          <mc:Choice Requires="x14">
            <control shapeId="74915" r:id="rId166" name="Check Box 163">
              <controlPr defaultSize="0" autoFill="0" autoLine="0" autoPict="0" altText="">
                <anchor moveWithCells="1">
                  <from>
                    <xdr:col>131</xdr:col>
                    <xdr:colOff>0</xdr:colOff>
                    <xdr:row>12</xdr:row>
                    <xdr:rowOff>0</xdr:rowOff>
                  </from>
                  <to>
                    <xdr:col>132</xdr:col>
                    <xdr:colOff>7620</xdr:colOff>
                    <xdr:row>13</xdr:row>
                    <xdr:rowOff>0</xdr:rowOff>
                  </to>
                </anchor>
              </controlPr>
            </control>
          </mc:Choice>
        </mc:AlternateContent>
        <mc:AlternateContent xmlns:mc="http://schemas.openxmlformats.org/markup-compatibility/2006">
          <mc:Choice Requires="x14">
            <control shapeId="74916" r:id="rId167" name="Check Box 164">
              <controlPr defaultSize="0" autoFill="0" autoLine="0" autoPict="0" altText="">
                <anchor moveWithCells="1">
                  <from>
                    <xdr:col>113</xdr:col>
                    <xdr:colOff>0</xdr:colOff>
                    <xdr:row>47</xdr:row>
                    <xdr:rowOff>0</xdr:rowOff>
                  </from>
                  <to>
                    <xdr:col>114</xdr:col>
                    <xdr:colOff>7620</xdr:colOff>
                    <xdr:row>48</xdr:row>
                    <xdr:rowOff>0</xdr:rowOff>
                  </to>
                </anchor>
              </controlPr>
            </control>
          </mc:Choice>
        </mc:AlternateContent>
        <mc:AlternateContent xmlns:mc="http://schemas.openxmlformats.org/markup-compatibility/2006">
          <mc:Choice Requires="x14">
            <control shapeId="74917" r:id="rId168" name="Check Box 165">
              <controlPr defaultSize="0" autoFill="0" autoLine="0" autoPict="0" altText="">
                <anchor moveWithCells="1">
                  <from>
                    <xdr:col>119</xdr:col>
                    <xdr:colOff>182880</xdr:colOff>
                    <xdr:row>47</xdr:row>
                    <xdr:rowOff>0</xdr:rowOff>
                  </from>
                  <to>
                    <xdr:col>121</xdr:col>
                    <xdr:colOff>7620</xdr:colOff>
                    <xdr:row>48</xdr:row>
                    <xdr:rowOff>0</xdr:rowOff>
                  </to>
                </anchor>
              </controlPr>
            </control>
          </mc:Choice>
        </mc:AlternateContent>
        <mc:AlternateContent xmlns:mc="http://schemas.openxmlformats.org/markup-compatibility/2006">
          <mc:Choice Requires="x14">
            <control shapeId="74918" r:id="rId169" name="Check Box 166">
              <controlPr defaultSize="0" autoFill="0" autoLine="0" autoPict="0" altText="">
                <anchor moveWithCells="1">
                  <from>
                    <xdr:col>126</xdr:col>
                    <xdr:colOff>182880</xdr:colOff>
                    <xdr:row>47</xdr:row>
                    <xdr:rowOff>0</xdr:rowOff>
                  </from>
                  <to>
                    <xdr:col>128</xdr:col>
                    <xdr:colOff>7620</xdr:colOff>
                    <xdr:row>48</xdr:row>
                    <xdr:rowOff>0</xdr:rowOff>
                  </to>
                </anchor>
              </controlPr>
            </control>
          </mc:Choice>
        </mc:AlternateContent>
        <mc:AlternateContent xmlns:mc="http://schemas.openxmlformats.org/markup-compatibility/2006">
          <mc:Choice Requires="x14">
            <control shapeId="74919" r:id="rId170" name="Check Box 167">
              <controlPr defaultSize="0" autoFill="0" autoLine="0" autoPict="0" altText="">
                <anchor moveWithCells="1">
                  <from>
                    <xdr:col>133</xdr:col>
                    <xdr:colOff>182880</xdr:colOff>
                    <xdr:row>47</xdr:row>
                    <xdr:rowOff>0</xdr:rowOff>
                  </from>
                  <to>
                    <xdr:col>135</xdr:col>
                    <xdr:colOff>7620</xdr:colOff>
                    <xdr:row>48</xdr:row>
                    <xdr:rowOff>0</xdr:rowOff>
                  </to>
                </anchor>
              </controlPr>
            </control>
          </mc:Choice>
        </mc:AlternateContent>
        <mc:AlternateContent xmlns:mc="http://schemas.openxmlformats.org/markup-compatibility/2006">
          <mc:Choice Requires="x14">
            <control shapeId="74920" r:id="rId171" name="Check Box 168">
              <controlPr defaultSize="0" autoFill="0" autoLine="0" autoPict="0" altText="">
                <anchor moveWithCells="1">
                  <from>
                    <xdr:col>113</xdr:col>
                    <xdr:colOff>0</xdr:colOff>
                    <xdr:row>44</xdr:row>
                    <xdr:rowOff>0</xdr:rowOff>
                  </from>
                  <to>
                    <xdr:col>114</xdr:col>
                    <xdr:colOff>7620</xdr:colOff>
                    <xdr:row>45</xdr:row>
                    <xdr:rowOff>0</xdr:rowOff>
                  </to>
                </anchor>
              </controlPr>
            </control>
          </mc:Choice>
        </mc:AlternateContent>
        <mc:AlternateContent xmlns:mc="http://schemas.openxmlformats.org/markup-compatibility/2006">
          <mc:Choice Requires="x14">
            <control shapeId="74921" r:id="rId172" name="Check Box 169">
              <controlPr defaultSize="0" autoFill="0" autoLine="0" autoPict="0" altText="">
                <anchor moveWithCells="1">
                  <from>
                    <xdr:col>119</xdr:col>
                    <xdr:colOff>182880</xdr:colOff>
                    <xdr:row>44</xdr:row>
                    <xdr:rowOff>0</xdr:rowOff>
                  </from>
                  <to>
                    <xdr:col>121</xdr:col>
                    <xdr:colOff>7620</xdr:colOff>
                    <xdr:row>45</xdr:row>
                    <xdr:rowOff>0</xdr:rowOff>
                  </to>
                </anchor>
              </controlPr>
            </control>
          </mc:Choice>
        </mc:AlternateContent>
        <mc:AlternateContent xmlns:mc="http://schemas.openxmlformats.org/markup-compatibility/2006">
          <mc:Choice Requires="x14">
            <control shapeId="74922" r:id="rId173" name="Check Box 170">
              <controlPr defaultSize="0" autoFill="0" autoLine="0" autoPict="0" altText="">
                <anchor moveWithCells="1">
                  <from>
                    <xdr:col>127</xdr:col>
                    <xdr:colOff>0</xdr:colOff>
                    <xdr:row>44</xdr:row>
                    <xdr:rowOff>0</xdr:rowOff>
                  </from>
                  <to>
                    <xdr:col>128</xdr:col>
                    <xdr:colOff>7620</xdr:colOff>
                    <xdr:row>45</xdr:row>
                    <xdr:rowOff>0</xdr:rowOff>
                  </to>
                </anchor>
              </controlPr>
            </control>
          </mc:Choice>
        </mc:AlternateContent>
        <mc:AlternateContent xmlns:mc="http://schemas.openxmlformats.org/markup-compatibility/2006">
          <mc:Choice Requires="x14">
            <control shapeId="74923" r:id="rId174" name="Check Box 171">
              <controlPr defaultSize="0" autoFill="0" autoLine="0" autoPict="0" altText="">
                <anchor moveWithCells="1">
                  <from>
                    <xdr:col>113</xdr:col>
                    <xdr:colOff>0</xdr:colOff>
                    <xdr:row>45</xdr:row>
                    <xdr:rowOff>0</xdr:rowOff>
                  </from>
                  <to>
                    <xdr:col>114</xdr:col>
                    <xdr:colOff>7620</xdr:colOff>
                    <xdr:row>46</xdr:row>
                    <xdr:rowOff>0</xdr:rowOff>
                  </to>
                </anchor>
              </controlPr>
            </control>
          </mc:Choice>
        </mc:AlternateContent>
        <mc:AlternateContent xmlns:mc="http://schemas.openxmlformats.org/markup-compatibility/2006">
          <mc:Choice Requires="x14">
            <control shapeId="74924" r:id="rId175" name="Check Box 172">
              <controlPr defaultSize="0" autoFill="0" autoLine="0" autoPict="0" altText="">
                <anchor moveWithCells="1">
                  <from>
                    <xdr:col>119</xdr:col>
                    <xdr:colOff>182880</xdr:colOff>
                    <xdr:row>45</xdr:row>
                    <xdr:rowOff>0</xdr:rowOff>
                  </from>
                  <to>
                    <xdr:col>121</xdr:col>
                    <xdr:colOff>7620</xdr:colOff>
                    <xdr:row>46</xdr:row>
                    <xdr:rowOff>0</xdr:rowOff>
                  </to>
                </anchor>
              </controlPr>
            </control>
          </mc:Choice>
        </mc:AlternateContent>
        <mc:AlternateContent xmlns:mc="http://schemas.openxmlformats.org/markup-compatibility/2006">
          <mc:Choice Requires="x14">
            <control shapeId="74925" r:id="rId176" name="Check Box 173">
              <controlPr defaultSize="0" autoFill="0" autoLine="0" autoPict="0" altText="">
                <anchor moveWithCells="1">
                  <from>
                    <xdr:col>127</xdr:col>
                    <xdr:colOff>0</xdr:colOff>
                    <xdr:row>45</xdr:row>
                    <xdr:rowOff>0</xdr:rowOff>
                  </from>
                  <to>
                    <xdr:col>128</xdr:col>
                    <xdr:colOff>7620</xdr:colOff>
                    <xdr:row>46</xdr:row>
                    <xdr:rowOff>0</xdr:rowOff>
                  </to>
                </anchor>
              </controlPr>
            </control>
          </mc:Choice>
        </mc:AlternateContent>
        <mc:AlternateContent xmlns:mc="http://schemas.openxmlformats.org/markup-compatibility/2006">
          <mc:Choice Requires="x14">
            <control shapeId="74926" r:id="rId177" name="Check Box 174">
              <controlPr defaultSize="0" autoFill="0" autoLine="0" autoPict="0" altText="">
                <anchor moveWithCells="1">
                  <from>
                    <xdr:col>113</xdr:col>
                    <xdr:colOff>0</xdr:colOff>
                    <xdr:row>46</xdr:row>
                    <xdr:rowOff>0</xdr:rowOff>
                  </from>
                  <to>
                    <xdr:col>114</xdr:col>
                    <xdr:colOff>7620</xdr:colOff>
                    <xdr:row>47</xdr:row>
                    <xdr:rowOff>0</xdr:rowOff>
                  </to>
                </anchor>
              </controlPr>
            </control>
          </mc:Choice>
        </mc:AlternateContent>
        <mc:AlternateContent xmlns:mc="http://schemas.openxmlformats.org/markup-compatibility/2006">
          <mc:Choice Requires="x14">
            <control shapeId="74927" r:id="rId178" name="Check Box 175">
              <controlPr defaultSize="0" autoFill="0" autoLine="0" autoPict="0" altText="">
                <anchor moveWithCells="1">
                  <from>
                    <xdr:col>119</xdr:col>
                    <xdr:colOff>182880</xdr:colOff>
                    <xdr:row>46</xdr:row>
                    <xdr:rowOff>0</xdr:rowOff>
                  </from>
                  <to>
                    <xdr:col>121</xdr:col>
                    <xdr:colOff>7620</xdr:colOff>
                    <xdr:row>47</xdr:row>
                    <xdr:rowOff>0</xdr:rowOff>
                  </to>
                </anchor>
              </controlPr>
            </control>
          </mc:Choice>
        </mc:AlternateContent>
        <mc:AlternateContent xmlns:mc="http://schemas.openxmlformats.org/markup-compatibility/2006">
          <mc:Choice Requires="x14">
            <control shapeId="74928" r:id="rId179" name="Check Box 176">
              <controlPr defaultSize="0" autoFill="0" autoLine="0" autoPict="0" altText="">
                <anchor moveWithCells="1">
                  <from>
                    <xdr:col>127</xdr:col>
                    <xdr:colOff>0</xdr:colOff>
                    <xdr:row>46</xdr:row>
                    <xdr:rowOff>0</xdr:rowOff>
                  </from>
                  <to>
                    <xdr:col>128</xdr:col>
                    <xdr:colOff>7620</xdr:colOff>
                    <xdr:row>47</xdr:row>
                    <xdr:rowOff>0</xdr:rowOff>
                  </to>
                </anchor>
              </controlPr>
            </control>
          </mc:Choice>
        </mc:AlternateContent>
        <mc:AlternateContent xmlns:mc="http://schemas.openxmlformats.org/markup-compatibility/2006">
          <mc:Choice Requires="x14">
            <control shapeId="74929" r:id="rId180" name="Check Box 177">
              <controlPr defaultSize="0" autoFill="0" autoLine="0" autoPict="0" altText="">
                <anchor moveWithCells="1">
                  <from>
                    <xdr:col>113</xdr:col>
                    <xdr:colOff>-22860</xdr:colOff>
                    <xdr:row>12</xdr:row>
                    <xdr:rowOff>0</xdr:rowOff>
                  </from>
                  <to>
                    <xdr:col>114</xdr:col>
                    <xdr:colOff>7620</xdr:colOff>
                    <xdr:row>13</xdr:row>
                    <xdr:rowOff>0</xdr:rowOff>
                  </to>
                </anchor>
              </controlPr>
            </control>
          </mc:Choice>
        </mc:AlternateContent>
        <mc:AlternateContent xmlns:mc="http://schemas.openxmlformats.org/markup-compatibility/2006">
          <mc:Choice Requires="x14">
            <control shapeId="74930" r:id="rId181" name="Check Box 178">
              <controlPr defaultSize="0" autoFill="0" autoLine="0" autoPict="0" altText="">
                <anchor moveWithCells="1">
                  <from>
                    <xdr:col>113</xdr:col>
                    <xdr:colOff>0</xdr:colOff>
                    <xdr:row>54</xdr:row>
                    <xdr:rowOff>0</xdr:rowOff>
                  </from>
                  <to>
                    <xdr:col>114</xdr:col>
                    <xdr:colOff>7620</xdr:colOff>
                    <xdr:row>55</xdr:row>
                    <xdr:rowOff>0</xdr:rowOff>
                  </to>
                </anchor>
              </controlPr>
            </control>
          </mc:Choice>
        </mc:AlternateContent>
        <mc:AlternateContent xmlns:mc="http://schemas.openxmlformats.org/markup-compatibility/2006">
          <mc:Choice Requires="x14">
            <control shapeId="74931" r:id="rId182" name="Check Box 179">
              <controlPr defaultSize="0" autoFill="0" autoLine="0" autoPict="0" altText="">
                <anchor moveWithCells="1">
                  <from>
                    <xdr:col>120</xdr:col>
                    <xdr:colOff>182880</xdr:colOff>
                    <xdr:row>54</xdr:row>
                    <xdr:rowOff>0</xdr:rowOff>
                  </from>
                  <to>
                    <xdr:col>122</xdr:col>
                    <xdr:colOff>22860</xdr:colOff>
                    <xdr:row>55</xdr:row>
                    <xdr:rowOff>0</xdr:rowOff>
                  </to>
                </anchor>
              </controlPr>
            </control>
          </mc:Choice>
        </mc:AlternateContent>
        <mc:AlternateContent xmlns:mc="http://schemas.openxmlformats.org/markup-compatibility/2006">
          <mc:Choice Requires="x14">
            <control shapeId="74932" r:id="rId183" name="Check Box 180">
              <controlPr defaultSize="0" autoFill="0" autoLine="0" autoPict="0" altText="">
                <anchor moveWithCells="1">
                  <from>
                    <xdr:col>128</xdr:col>
                    <xdr:colOff>0</xdr:colOff>
                    <xdr:row>54</xdr:row>
                    <xdr:rowOff>0</xdr:rowOff>
                  </from>
                  <to>
                    <xdr:col>129</xdr:col>
                    <xdr:colOff>7620</xdr:colOff>
                    <xdr:row>55</xdr:row>
                    <xdr:rowOff>0</xdr:rowOff>
                  </to>
                </anchor>
              </controlPr>
            </control>
          </mc:Choice>
        </mc:AlternateContent>
        <mc:AlternateContent xmlns:mc="http://schemas.openxmlformats.org/markup-compatibility/2006">
          <mc:Choice Requires="x14">
            <control shapeId="74933" r:id="rId184" name="Check Box 181">
              <controlPr defaultSize="0" autoFill="0" autoLine="0" autoPict="0" altText="">
                <anchor moveWithCells="1">
                  <from>
                    <xdr:col>113</xdr:col>
                    <xdr:colOff>0</xdr:colOff>
                    <xdr:row>55</xdr:row>
                    <xdr:rowOff>0</xdr:rowOff>
                  </from>
                  <to>
                    <xdr:col>114</xdr:col>
                    <xdr:colOff>7620</xdr:colOff>
                    <xdr:row>56</xdr:row>
                    <xdr:rowOff>0</xdr:rowOff>
                  </to>
                </anchor>
              </controlPr>
            </control>
          </mc:Choice>
        </mc:AlternateContent>
        <mc:AlternateContent xmlns:mc="http://schemas.openxmlformats.org/markup-compatibility/2006">
          <mc:Choice Requires="x14">
            <control shapeId="74934" r:id="rId185" name="Check Box 182">
              <controlPr defaultSize="0" autoFill="0" autoLine="0" autoPict="0" altText="">
                <anchor moveWithCells="1">
                  <from>
                    <xdr:col>123</xdr:col>
                    <xdr:colOff>0</xdr:colOff>
                    <xdr:row>55</xdr:row>
                    <xdr:rowOff>0</xdr:rowOff>
                  </from>
                  <to>
                    <xdr:col>124</xdr:col>
                    <xdr:colOff>7620</xdr:colOff>
                    <xdr:row>56</xdr:row>
                    <xdr:rowOff>0</xdr:rowOff>
                  </to>
                </anchor>
              </controlPr>
            </control>
          </mc:Choice>
        </mc:AlternateContent>
        <mc:AlternateContent xmlns:mc="http://schemas.openxmlformats.org/markup-compatibility/2006">
          <mc:Choice Requires="x14">
            <control shapeId="74935" r:id="rId186" name="Check Box 183">
              <controlPr defaultSize="0" autoFill="0" autoLine="0" autoPict="0" altText="">
                <anchor moveWithCells="1">
                  <from>
                    <xdr:col>113</xdr:col>
                    <xdr:colOff>0</xdr:colOff>
                    <xdr:row>56</xdr:row>
                    <xdr:rowOff>0</xdr:rowOff>
                  </from>
                  <to>
                    <xdr:col>114</xdr:col>
                    <xdr:colOff>7620</xdr:colOff>
                    <xdr:row>57</xdr:row>
                    <xdr:rowOff>0</xdr:rowOff>
                  </to>
                </anchor>
              </controlPr>
            </control>
          </mc:Choice>
        </mc:AlternateContent>
        <mc:AlternateContent xmlns:mc="http://schemas.openxmlformats.org/markup-compatibility/2006">
          <mc:Choice Requires="x14">
            <control shapeId="74936" r:id="rId187" name="Check Box 184">
              <controlPr defaultSize="0" autoFill="0" autoLine="0" autoPict="0" altText="">
                <anchor moveWithCells="1">
                  <from>
                    <xdr:col>119</xdr:col>
                    <xdr:colOff>182880</xdr:colOff>
                    <xdr:row>56</xdr:row>
                    <xdr:rowOff>0</xdr:rowOff>
                  </from>
                  <to>
                    <xdr:col>121</xdr:col>
                    <xdr:colOff>7620</xdr:colOff>
                    <xdr:row>57</xdr:row>
                    <xdr:rowOff>0</xdr:rowOff>
                  </to>
                </anchor>
              </controlPr>
            </control>
          </mc:Choice>
        </mc:AlternateContent>
        <mc:AlternateContent xmlns:mc="http://schemas.openxmlformats.org/markup-compatibility/2006">
          <mc:Choice Requires="x14">
            <control shapeId="74937" r:id="rId188" name="Check Box 185">
              <controlPr defaultSize="0" autoFill="0" autoLine="0" autoPict="0" altText="">
                <anchor moveWithCells="1">
                  <from>
                    <xdr:col>127</xdr:col>
                    <xdr:colOff>0</xdr:colOff>
                    <xdr:row>56</xdr:row>
                    <xdr:rowOff>0</xdr:rowOff>
                  </from>
                  <to>
                    <xdr:col>128</xdr:col>
                    <xdr:colOff>7620</xdr:colOff>
                    <xdr:row>57</xdr:row>
                    <xdr:rowOff>0</xdr:rowOff>
                  </to>
                </anchor>
              </controlPr>
            </control>
          </mc:Choice>
        </mc:AlternateContent>
        <mc:AlternateContent xmlns:mc="http://schemas.openxmlformats.org/markup-compatibility/2006">
          <mc:Choice Requires="x14">
            <control shapeId="74938" r:id="rId189" name="Check Box 186">
              <controlPr defaultSize="0" autoFill="0" autoLine="0" autoPict="0" altText="">
                <anchor moveWithCells="1">
                  <from>
                    <xdr:col>113</xdr:col>
                    <xdr:colOff>0</xdr:colOff>
                    <xdr:row>57</xdr:row>
                    <xdr:rowOff>0</xdr:rowOff>
                  </from>
                  <to>
                    <xdr:col>114</xdr:col>
                    <xdr:colOff>7620</xdr:colOff>
                    <xdr:row>58</xdr:row>
                    <xdr:rowOff>0</xdr:rowOff>
                  </to>
                </anchor>
              </controlPr>
            </control>
          </mc:Choice>
        </mc:AlternateContent>
        <mc:AlternateContent xmlns:mc="http://schemas.openxmlformats.org/markup-compatibility/2006">
          <mc:Choice Requires="x14">
            <control shapeId="74939" r:id="rId190" name="Check Box 187">
              <controlPr defaultSize="0" autoFill="0" autoLine="0" autoPict="0" altText="">
                <anchor moveWithCells="1">
                  <from>
                    <xdr:col>120</xdr:col>
                    <xdr:colOff>0</xdr:colOff>
                    <xdr:row>57</xdr:row>
                    <xdr:rowOff>0</xdr:rowOff>
                  </from>
                  <to>
                    <xdr:col>121</xdr:col>
                    <xdr:colOff>7620</xdr:colOff>
                    <xdr:row>58</xdr:row>
                    <xdr:rowOff>0</xdr:rowOff>
                  </to>
                </anchor>
              </controlPr>
            </control>
          </mc:Choice>
        </mc:AlternateContent>
        <mc:AlternateContent xmlns:mc="http://schemas.openxmlformats.org/markup-compatibility/2006">
          <mc:Choice Requires="x14">
            <control shapeId="74940" r:id="rId191" name="Check Box 188">
              <controlPr defaultSize="0" autoFill="0" autoLine="0" autoPict="0" altText="">
                <anchor moveWithCells="1">
                  <from>
                    <xdr:col>127</xdr:col>
                    <xdr:colOff>0</xdr:colOff>
                    <xdr:row>57</xdr:row>
                    <xdr:rowOff>0</xdr:rowOff>
                  </from>
                  <to>
                    <xdr:col>128</xdr:col>
                    <xdr:colOff>7620</xdr:colOff>
                    <xdr:row>58</xdr:row>
                    <xdr:rowOff>0</xdr:rowOff>
                  </to>
                </anchor>
              </controlPr>
            </control>
          </mc:Choice>
        </mc:AlternateContent>
        <mc:AlternateContent xmlns:mc="http://schemas.openxmlformats.org/markup-compatibility/2006">
          <mc:Choice Requires="x14">
            <control shapeId="74941" r:id="rId192" name="Check Box 189">
              <controlPr defaultSize="0" autoFill="0" autoLine="0" autoPict="0" altText="">
                <anchor moveWithCells="1">
                  <from>
                    <xdr:col>113</xdr:col>
                    <xdr:colOff>0</xdr:colOff>
                    <xdr:row>58</xdr:row>
                    <xdr:rowOff>0</xdr:rowOff>
                  </from>
                  <to>
                    <xdr:col>114</xdr:col>
                    <xdr:colOff>7620</xdr:colOff>
                    <xdr:row>59</xdr:row>
                    <xdr:rowOff>0</xdr:rowOff>
                  </to>
                </anchor>
              </controlPr>
            </control>
          </mc:Choice>
        </mc:AlternateContent>
        <mc:AlternateContent xmlns:mc="http://schemas.openxmlformats.org/markup-compatibility/2006">
          <mc:Choice Requires="x14">
            <control shapeId="74942" r:id="rId193" name="Check Box 190">
              <controlPr defaultSize="0" autoFill="0" autoLine="0" autoPict="0" altText="">
                <anchor moveWithCells="1">
                  <from>
                    <xdr:col>119</xdr:col>
                    <xdr:colOff>182880</xdr:colOff>
                    <xdr:row>58</xdr:row>
                    <xdr:rowOff>0</xdr:rowOff>
                  </from>
                  <to>
                    <xdr:col>121</xdr:col>
                    <xdr:colOff>7620</xdr:colOff>
                    <xdr:row>59</xdr:row>
                    <xdr:rowOff>7620</xdr:rowOff>
                  </to>
                </anchor>
              </controlPr>
            </control>
          </mc:Choice>
        </mc:AlternateContent>
        <mc:AlternateContent xmlns:mc="http://schemas.openxmlformats.org/markup-compatibility/2006">
          <mc:Choice Requires="x14">
            <control shapeId="74943" r:id="rId194" name="Check Box 191">
              <controlPr defaultSize="0" autoFill="0" autoLine="0" autoPict="0" altText="">
                <anchor moveWithCells="1">
                  <from>
                    <xdr:col>127</xdr:col>
                    <xdr:colOff>0</xdr:colOff>
                    <xdr:row>58</xdr:row>
                    <xdr:rowOff>0</xdr:rowOff>
                  </from>
                  <to>
                    <xdr:col>128</xdr:col>
                    <xdr:colOff>7620</xdr:colOff>
                    <xdr:row>59</xdr:row>
                    <xdr:rowOff>0</xdr:rowOff>
                  </to>
                </anchor>
              </controlPr>
            </control>
          </mc:Choice>
        </mc:AlternateContent>
        <mc:AlternateContent xmlns:mc="http://schemas.openxmlformats.org/markup-compatibility/2006">
          <mc:Choice Requires="x14">
            <control shapeId="74944" r:id="rId195" name="Check Box 192">
              <controlPr defaultSize="0" autoFill="0" autoLine="0" autoPict="0" altText="">
                <anchor moveWithCells="1">
                  <from>
                    <xdr:col>113</xdr:col>
                    <xdr:colOff>0</xdr:colOff>
                    <xdr:row>59</xdr:row>
                    <xdr:rowOff>0</xdr:rowOff>
                  </from>
                  <to>
                    <xdr:col>114</xdr:col>
                    <xdr:colOff>7620</xdr:colOff>
                    <xdr:row>60</xdr:row>
                    <xdr:rowOff>0</xdr:rowOff>
                  </to>
                </anchor>
              </controlPr>
            </control>
          </mc:Choice>
        </mc:AlternateContent>
        <mc:AlternateContent xmlns:mc="http://schemas.openxmlformats.org/markup-compatibility/2006">
          <mc:Choice Requires="x14">
            <control shapeId="74945" r:id="rId196" name="Check Box 193">
              <controlPr defaultSize="0" autoFill="0" autoLine="0" autoPict="0" altText="">
                <anchor moveWithCells="1">
                  <from>
                    <xdr:col>119</xdr:col>
                    <xdr:colOff>182880</xdr:colOff>
                    <xdr:row>59</xdr:row>
                    <xdr:rowOff>0</xdr:rowOff>
                  </from>
                  <to>
                    <xdr:col>121</xdr:col>
                    <xdr:colOff>7620</xdr:colOff>
                    <xdr:row>60</xdr:row>
                    <xdr:rowOff>0</xdr:rowOff>
                  </to>
                </anchor>
              </controlPr>
            </control>
          </mc:Choice>
        </mc:AlternateContent>
        <mc:AlternateContent xmlns:mc="http://schemas.openxmlformats.org/markup-compatibility/2006">
          <mc:Choice Requires="x14">
            <control shapeId="74946" r:id="rId197" name="Check Box 194">
              <controlPr defaultSize="0" autoFill="0" autoLine="0" autoPict="0" altText="">
                <anchor moveWithCells="1">
                  <from>
                    <xdr:col>126</xdr:col>
                    <xdr:colOff>182880</xdr:colOff>
                    <xdr:row>59</xdr:row>
                    <xdr:rowOff>0</xdr:rowOff>
                  </from>
                  <to>
                    <xdr:col>128</xdr:col>
                    <xdr:colOff>7620</xdr:colOff>
                    <xdr:row>60</xdr:row>
                    <xdr:rowOff>0</xdr:rowOff>
                  </to>
                </anchor>
              </controlPr>
            </control>
          </mc:Choice>
        </mc:AlternateContent>
        <mc:AlternateContent xmlns:mc="http://schemas.openxmlformats.org/markup-compatibility/2006">
          <mc:Choice Requires="x14">
            <control shapeId="74947" r:id="rId198" name="Check Box 195">
              <controlPr defaultSize="0" autoFill="0" autoLine="0" autoPict="0" altText="">
                <anchor moveWithCells="1">
                  <from>
                    <xdr:col>133</xdr:col>
                    <xdr:colOff>182880</xdr:colOff>
                    <xdr:row>59</xdr:row>
                    <xdr:rowOff>0</xdr:rowOff>
                  </from>
                  <to>
                    <xdr:col>135</xdr:col>
                    <xdr:colOff>7620</xdr:colOff>
                    <xdr:row>60</xdr:row>
                    <xdr:rowOff>0</xdr:rowOff>
                  </to>
                </anchor>
              </controlPr>
            </control>
          </mc:Choice>
        </mc:AlternateContent>
        <mc:AlternateContent xmlns:mc="http://schemas.openxmlformats.org/markup-compatibility/2006">
          <mc:Choice Requires="x14">
            <control shapeId="74948" r:id="rId199" name="Check Box 196">
              <controlPr defaultSize="0" autoFill="0" autoLine="0" autoPict="0" altText="">
                <anchor moveWithCells="1">
                  <from>
                    <xdr:col>113</xdr:col>
                    <xdr:colOff>0</xdr:colOff>
                    <xdr:row>66</xdr:row>
                    <xdr:rowOff>0</xdr:rowOff>
                  </from>
                  <to>
                    <xdr:col>114</xdr:col>
                    <xdr:colOff>7620</xdr:colOff>
                    <xdr:row>67</xdr:row>
                    <xdr:rowOff>0</xdr:rowOff>
                  </to>
                </anchor>
              </controlPr>
            </control>
          </mc:Choice>
        </mc:AlternateContent>
        <mc:AlternateContent xmlns:mc="http://schemas.openxmlformats.org/markup-compatibility/2006">
          <mc:Choice Requires="x14">
            <control shapeId="74949" r:id="rId200" name="Check Box 197">
              <controlPr defaultSize="0" autoFill="0" autoLine="0" autoPict="0" altText="">
                <anchor moveWithCells="1">
                  <from>
                    <xdr:col>120</xdr:col>
                    <xdr:colOff>182880</xdr:colOff>
                    <xdr:row>66</xdr:row>
                    <xdr:rowOff>0</xdr:rowOff>
                  </from>
                  <to>
                    <xdr:col>122</xdr:col>
                    <xdr:colOff>7620</xdr:colOff>
                    <xdr:row>67</xdr:row>
                    <xdr:rowOff>0</xdr:rowOff>
                  </to>
                </anchor>
              </controlPr>
            </control>
          </mc:Choice>
        </mc:AlternateContent>
        <mc:AlternateContent xmlns:mc="http://schemas.openxmlformats.org/markup-compatibility/2006">
          <mc:Choice Requires="x14">
            <control shapeId="74950" r:id="rId201" name="Check Box 198">
              <controlPr defaultSize="0" autoFill="0" autoLine="0" autoPict="0" altText="">
                <anchor moveWithCells="1">
                  <from>
                    <xdr:col>128</xdr:col>
                    <xdr:colOff>0</xdr:colOff>
                    <xdr:row>66</xdr:row>
                    <xdr:rowOff>0</xdr:rowOff>
                  </from>
                  <to>
                    <xdr:col>129</xdr:col>
                    <xdr:colOff>7620</xdr:colOff>
                    <xdr:row>67</xdr:row>
                    <xdr:rowOff>0</xdr:rowOff>
                  </to>
                </anchor>
              </controlPr>
            </control>
          </mc:Choice>
        </mc:AlternateContent>
        <mc:AlternateContent xmlns:mc="http://schemas.openxmlformats.org/markup-compatibility/2006">
          <mc:Choice Requires="x14">
            <control shapeId="74951" r:id="rId202" name="Check Box 199">
              <controlPr defaultSize="0" autoFill="0" autoLine="0" autoPict="0" altText="">
                <anchor moveWithCells="1">
                  <from>
                    <xdr:col>113</xdr:col>
                    <xdr:colOff>0</xdr:colOff>
                    <xdr:row>67</xdr:row>
                    <xdr:rowOff>0</xdr:rowOff>
                  </from>
                  <to>
                    <xdr:col>114</xdr:col>
                    <xdr:colOff>7620</xdr:colOff>
                    <xdr:row>68</xdr:row>
                    <xdr:rowOff>0</xdr:rowOff>
                  </to>
                </anchor>
              </controlPr>
            </control>
          </mc:Choice>
        </mc:AlternateContent>
        <mc:AlternateContent xmlns:mc="http://schemas.openxmlformats.org/markup-compatibility/2006">
          <mc:Choice Requires="x14">
            <control shapeId="74952" r:id="rId203" name="Check Box 200">
              <controlPr defaultSize="0" autoFill="0" autoLine="0" autoPict="0" altText="">
                <anchor moveWithCells="1">
                  <from>
                    <xdr:col>123</xdr:col>
                    <xdr:colOff>0</xdr:colOff>
                    <xdr:row>67</xdr:row>
                    <xdr:rowOff>0</xdr:rowOff>
                  </from>
                  <to>
                    <xdr:col>124</xdr:col>
                    <xdr:colOff>7620</xdr:colOff>
                    <xdr:row>68</xdr:row>
                    <xdr:rowOff>0</xdr:rowOff>
                  </to>
                </anchor>
              </controlPr>
            </control>
          </mc:Choice>
        </mc:AlternateContent>
        <mc:AlternateContent xmlns:mc="http://schemas.openxmlformats.org/markup-compatibility/2006">
          <mc:Choice Requires="x14">
            <control shapeId="74953" r:id="rId204" name="Check Box 201">
              <controlPr defaultSize="0" autoFill="0" autoLine="0" autoPict="0" altText="">
                <anchor moveWithCells="1">
                  <from>
                    <xdr:col>113</xdr:col>
                    <xdr:colOff>0</xdr:colOff>
                    <xdr:row>68</xdr:row>
                    <xdr:rowOff>0</xdr:rowOff>
                  </from>
                  <to>
                    <xdr:col>114</xdr:col>
                    <xdr:colOff>7620</xdr:colOff>
                    <xdr:row>69</xdr:row>
                    <xdr:rowOff>0</xdr:rowOff>
                  </to>
                </anchor>
              </controlPr>
            </control>
          </mc:Choice>
        </mc:AlternateContent>
        <mc:AlternateContent xmlns:mc="http://schemas.openxmlformats.org/markup-compatibility/2006">
          <mc:Choice Requires="x14">
            <control shapeId="74954" r:id="rId205" name="Check Box 202">
              <controlPr defaultSize="0" autoFill="0" autoLine="0" autoPict="0" altText="">
                <anchor moveWithCells="1">
                  <from>
                    <xdr:col>119</xdr:col>
                    <xdr:colOff>182880</xdr:colOff>
                    <xdr:row>68</xdr:row>
                    <xdr:rowOff>0</xdr:rowOff>
                  </from>
                  <to>
                    <xdr:col>121</xdr:col>
                    <xdr:colOff>7620</xdr:colOff>
                    <xdr:row>69</xdr:row>
                    <xdr:rowOff>0</xdr:rowOff>
                  </to>
                </anchor>
              </controlPr>
            </control>
          </mc:Choice>
        </mc:AlternateContent>
        <mc:AlternateContent xmlns:mc="http://schemas.openxmlformats.org/markup-compatibility/2006">
          <mc:Choice Requires="x14">
            <control shapeId="74955" r:id="rId206" name="Check Box 203">
              <controlPr defaultSize="0" autoFill="0" autoLine="0" autoPict="0" altText="">
                <anchor moveWithCells="1">
                  <from>
                    <xdr:col>127</xdr:col>
                    <xdr:colOff>0</xdr:colOff>
                    <xdr:row>68</xdr:row>
                    <xdr:rowOff>0</xdr:rowOff>
                  </from>
                  <to>
                    <xdr:col>128</xdr:col>
                    <xdr:colOff>7620</xdr:colOff>
                    <xdr:row>69</xdr:row>
                    <xdr:rowOff>0</xdr:rowOff>
                  </to>
                </anchor>
              </controlPr>
            </control>
          </mc:Choice>
        </mc:AlternateContent>
        <mc:AlternateContent xmlns:mc="http://schemas.openxmlformats.org/markup-compatibility/2006">
          <mc:Choice Requires="x14">
            <control shapeId="74956" r:id="rId207" name="Check Box 204">
              <controlPr defaultSize="0" autoFill="0" autoLine="0" autoPict="0" altText="">
                <anchor moveWithCells="1">
                  <from>
                    <xdr:col>113</xdr:col>
                    <xdr:colOff>0</xdr:colOff>
                    <xdr:row>69</xdr:row>
                    <xdr:rowOff>0</xdr:rowOff>
                  </from>
                  <to>
                    <xdr:col>114</xdr:col>
                    <xdr:colOff>7620</xdr:colOff>
                    <xdr:row>70</xdr:row>
                    <xdr:rowOff>0</xdr:rowOff>
                  </to>
                </anchor>
              </controlPr>
            </control>
          </mc:Choice>
        </mc:AlternateContent>
        <mc:AlternateContent xmlns:mc="http://schemas.openxmlformats.org/markup-compatibility/2006">
          <mc:Choice Requires="x14">
            <control shapeId="74957" r:id="rId208" name="Check Box 205">
              <controlPr defaultSize="0" autoFill="0" autoLine="0" autoPict="0" altText="">
                <anchor moveWithCells="1">
                  <from>
                    <xdr:col>119</xdr:col>
                    <xdr:colOff>182880</xdr:colOff>
                    <xdr:row>69</xdr:row>
                    <xdr:rowOff>0</xdr:rowOff>
                  </from>
                  <to>
                    <xdr:col>121</xdr:col>
                    <xdr:colOff>7620</xdr:colOff>
                    <xdr:row>70</xdr:row>
                    <xdr:rowOff>0</xdr:rowOff>
                  </to>
                </anchor>
              </controlPr>
            </control>
          </mc:Choice>
        </mc:AlternateContent>
        <mc:AlternateContent xmlns:mc="http://schemas.openxmlformats.org/markup-compatibility/2006">
          <mc:Choice Requires="x14">
            <control shapeId="74958" r:id="rId209" name="Check Box 206">
              <controlPr defaultSize="0" autoFill="0" autoLine="0" autoPict="0" altText="">
                <anchor moveWithCells="1">
                  <from>
                    <xdr:col>127</xdr:col>
                    <xdr:colOff>0</xdr:colOff>
                    <xdr:row>69</xdr:row>
                    <xdr:rowOff>0</xdr:rowOff>
                  </from>
                  <to>
                    <xdr:col>128</xdr:col>
                    <xdr:colOff>7620</xdr:colOff>
                    <xdr:row>70</xdr:row>
                    <xdr:rowOff>0</xdr:rowOff>
                  </to>
                </anchor>
              </controlPr>
            </control>
          </mc:Choice>
        </mc:AlternateContent>
        <mc:AlternateContent xmlns:mc="http://schemas.openxmlformats.org/markup-compatibility/2006">
          <mc:Choice Requires="x14">
            <control shapeId="74959" r:id="rId210" name="Check Box 207">
              <controlPr defaultSize="0" autoFill="0" autoLine="0" autoPict="0" altText="">
                <anchor moveWithCells="1">
                  <from>
                    <xdr:col>113</xdr:col>
                    <xdr:colOff>0</xdr:colOff>
                    <xdr:row>70</xdr:row>
                    <xdr:rowOff>0</xdr:rowOff>
                  </from>
                  <to>
                    <xdr:col>114</xdr:col>
                    <xdr:colOff>7620</xdr:colOff>
                    <xdr:row>71</xdr:row>
                    <xdr:rowOff>0</xdr:rowOff>
                  </to>
                </anchor>
              </controlPr>
            </control>
          </mc:Choice>
        </mc:AlternateContent>
        <mc:AlternateContent xmlns:mc="http://schemas.openxmlformats.org/markup-compatibility/2006">
          <mc:Choice Requires="x14">
            <control shapeId="74960" r:id="rId211" name="Check Box 208">
              <controlPr defaultSize="0" autoFill="0" autoLine="0" autoPict="0" altText="">
                <anchor moveWithCells="1">
                  <from>
                    <xdr:col>119</xdr:col>
                    <xdr:colOff>182880</xdr:colOff>
                    <xdr:row>70</xdr:row>
                    <xdr:rowOff>0</xdr:rowOff>
                  </from>
                  <to>
                    <xdr:col>121</xdr:col>
                    <xdr:colOff>7620</xdr:colOff>
                    <xdr:row>71</xdr:row>
                    <xdr:rowOff>0</xdr:rowOff>
                  </to>
                </anchor>
              </controlPr>
            </control>
          </mc:Choice>
        </mc:AlternateContent>
        <mc:AlternateContent xmlns:mc="http://schemas.openxmlformats.org/markup-compatibility/2006">
          <mc:Choice Requires="x14">
            <control shapeId="74961" r:id="rId212" name="Check Box 209">
              <controlPr defaultSize="0" autoFill="0" autoLine="0" autoPict="0" altText="">
                <anchor moveWithCells="1">
                  <from>
                    <xdr:col>127</xdr:col>
                    <xdr:colOff>0</xdr:colOff>
                    <xdr:row>70</xdr:row>
                    <xdr:rowOff>0</xdr:rowOff>
                  </from>
                  <to>
                    <xdr:col>128</xdr:col>
                    <xdr:colOff>7620</xdr:colOff>
                    <xdr:row>71</xdr:row>
                    <xdr:rowOff>0</xdr:rowOff>
                  </to>
                </anchor>
              </controlPr>
            </control>
          </mc:Choice>
        </mc:AlternateContent>
        <mc:AlternateContent xmlns:mc="http://schemas.openxmlformats.org/markup-compatibility/2006">
          <mc:Choice Requires="x14">
            <control shapeId="74962" r:id="rId213" name="Check Box 210">
              <controlPr defaultSize="0" autoFill="0" autoLine="0" autoPict="0" altText="">
                <anchor moveWithCells="1">
                  <from>
                    <xdr:col>113</xdr:col>
                    <xdr:colOff>0</xdr:colOff>
                    <xdr:row>71</xdr:row>
                    <xdr:rowOff>0</xdr:rowOff>
                  </from>
                  <to>
                    <xdr:col>114</xdr:col>
                    <xdr:colOff>7620</xdr:colOff>
                    <xdr:row>72</xdr:row>
                    <xdr:rowOff>0</xdr:rowOff>
                  </to>
                </anchor>
              </controlPr>
            </control>
          </mc:Choice>
        </mc:AlternateContent>
        <mc:AlternateContent xmlns:mc="http://schemas.openxmlformats.org/markup-compatibility/2006">
          <mc:Choice Requires="x14">
            <control shapeId="74963" r:id="rId214" name="Check Box 211">
              <controlPr defaultSize="0" autoFill="0" autoLine="0" autoPict="0" altText="">
                <anchor moveWithCells="1">
                  <from>
                    <xdr:col>119</xdr:col>
                    <xdr:colOff>182880</xdr:colOff>
                    <xdr:row>71</xdr:row>
                    <xdr:rowOff>0</xdr:rowOff>
                  </from>
                  <to>
                    <xdr:col>121</xdr:col>
                    <xdr:colOff>7620</xdr:colOff>
                    <xdr:row>72</xdr:row>
                    <xdr:rowOff>0</xdr:rowOff>
                  </to>
                </anchor>
              </controlPr>
            </control>
          </mc:Choice>
        </mc:AlternateContent>
        <mc:AlternateContent xmlns:mc="http://schemas.openxmlformats.org/markup-compatibility/2006">
          <mc:Choice Requires="x14">
            <control shapeId="74964" r:id="rId215" name="Check Box 212">
              <controlPr defaultSize="0" autoFill="0" autoLine="0" autoPict="0" altText="">
                <anchor moveWithCells="1">
                  <from>
                    <xdr:col>126</xdr:col>
                    <xdr:colOff>182880</xdr:colOff>
                    <xdr:row>71</xdr:row>
                    <xdr:rowOff>0</xdr:rowOff>
                  </from>
                  <to>
                    <xdr:col>128</xdr:col>
                    <xdr:colOff>7620</xdr:colOff>
                    <xdr:row>72</xdr:row>
                    <xdr:rowOff>0</xdr:rowOff>
                  </to>
                </anchor>
              </controlPr>
            </control>
          </mc:Choice>
        </mc:AlternateContent>
        <mc:AlternateContent xmlns:mc="http://schemas.openxmlformats.org/markup-compatibility/2006">
          <mc:Choice Requires="x14">
            <control shapeId="74965" r:id="rId216" name="Check Box 213">
              <controlPr defaultSize="0" autoFill="0" autoLine="0" autoPict="0" altText="">
                <anchor moveWithCells="1">
                  <from>
                    <xdr:col>133</xdr:col>
                    <xdr:colOff>182880</xdr:colOff>
                    <xdr:row>71</xdr:row>
                    <xdr:rowOff>0</xdr:rowOff>
                  </from>
                  <to>
                    <xdr:col>135</xdr:col>
                    <xdr:colOff>7620</xdr:colOff>
                    <xdr:row>72</xdr:row>
                    <xdr:rowOff>0</xdr:rowOff>
                  </to>
                </anchor>
              </controlPr>
            </control>
          </mc:Choice>
        </mc:AlternateContent>
        <mc:AlternateContent xmlns:mc="http://schemas.openxmlformats.org/markup-compatibility/2006">
          <mc:Choice Requires="x14">
            <control shapeId="74966" r:id="rId217" name="Check Box 214">
              <controlPr defaultSize="0" autoFill="0" autoLine="0" autoPict="0" altText="">
                <anchor moveWithCells="1">
                  <from>
                    <xdr:col>113</xdr:col>
                    <xdr:colOff>0</xdr:colOff>
                    <xdr:row>40</xdr:row>
                    <xdr:rowOff>228600</xdr:rowOff>
                  </from>
                  <to>
                    <xdr:col>114</xdr:col>
                    <xdr:colOff>7620</xdr:colOff>
                    <xdr:row>42</xdr:row>
                    <xdr:rowOff>0</xdr:rowOff>
                  </to>
                </anchor>
              </controlPr>
            </control>
          </mc:Choice>
        </mc:AlternateContent>
        <mc:AlternateContent xmlns:mc="http://schemas.openxmlformats.org/markup-compatibility/2006">
          <mc:Choice Requires="x14">
            <control shapeId="74967" r:id="rId218" name="Check Box 215">
              <controlPr defaultSize="0" autoFill="0" autoLine="0" autoPict="0" altText="">
                <anchor moveWithCells="1">
                  <from>
                    <xdr:col>118</xdr:col>
                    <xdr:colOff>182880</xdr:colOff>
                    <xdr:row>40</xdr:row>
                    <xdr:rowOff>228600</xdr:rowOff>
                  </from>
                  <to>
                    <xdr:col>120</xdr:col>
                    <xdr:colOff>7620</xdr:colOff>
                    <xdr:row>42</xdr:row>
                    <xdr:rowOff>0</xdr:rowOff>
                  </to>
                </anchor>
              </controlPr>
            </control>
          </mc:Choice>
        </mc:AlternateContent>
        <mc:AlternateContent xmlns:mc="http://schemas.openxmlformats.org/markup-compatibility/2006">
          <mc:Choice Requires="x14">
            <control shapeId="74968" r:id="rId219" name="Check Box 216">
              <controlPr defaultSize="0" autoFill="0" autoLine="0" autoPict="0" altText="">
                <anchor moveWithCells="1">
                  <from>
                    <xdr:col>113</xdr:col>
                    <xdr:colOff>0</xdr:colOff>
                    <xdr:row>52</xdr:row>
                    <xdr:rowOff>228600</xdr:rowOff>
                  </from>
                  <to>
                    <xdr:col>114</xdr:col>
                    <xdr:colOff>7620</xdr:colOff>
                    <xdr:row>54</xdr:row>
                    <xdr:rowOff>0</xdr:rowOff>
                  </to>
                </anchor>
              </controlPr>
            </control>
          </mc:Choice>
        </mc:AlternateContent>
        <mc:AlternateContent xmlns:mc="http://schemas.openxmlformats.org/markup-compatibility/2006">
          <mc:Choice Requires="x14">
            <control shapeId="74969" r:id="rId220" name="Check Box 217">
              <controlPr defaultSize="0" autoFill="0" autoLine="0" autoPict="0" altText="">
                <anchor moveWithCells="1">
                  <from>
                    <xdr:col>118</xdr:col>
                    <xdr:colOff>182880</xdr:colOff>
                    <xdr:row>52</xdr:row>
                    <xdr:rowOff>228600</xdr:rowOff>
                  </from>
                  <to>
                    <xdr:col>120</xdr:col>
                    <xdr:colOff>7620</xdr:colOff>
                    <xdr:row>54</xdr:row>
                    <xdr:rowOff>0</xdr:rowOff>
                  </to>
                </anchor>
              </controlPr>
            </control>
          </mc:Choice>
        </mc:AlternateContent>
        <mc:AlternateContent xmlns:mc="http://schemas.openxmlformats.org/markup-compatibility/2006">
          <mc:Choice Requires="x14">
            <control shapeId="74970" r:id="rId221" name="Check Box 218">
              <controlPr defaultSize="0" autoFill="0" autoLine="0" autoPict="0" altText="">
                <anchor moveWithCells="1">
                  <from>
                    <xdr:col>113</xdr:col>
                    <xdr:colOff>0</xdr:colOff>
                    <xdr:row>64</xdr:row>
                    <xdr:rowOff>228600</xdr:rowOff>
                  </from>
                  <to>
                    <xdr:col>114</xdr:col>
                    <xdr:colOff>7620</xdr:colOff>
                    <xdr:row>66</xdr:row>
                    <xdr:rowOff>0</xdr:rowOff>
                  </to>
                </anchor>
              </controlPr>
            </control>
          </mc:Choice>
        </mc:AlternateContent>
        <mc:AlternateContent xmlns:mc="http://schemas.openxmlformats.org/markup-compatibility/2006">
          <mc:Choice Requires="x14">
            <control shapeId="74971" r:id="rId222" name="Check Box 219">
              <controlPr defaultSize="0" autoFill="0" autoLine="0" autoPict="0" altText="">
                <anchor moveWithCells="1">
                  <from>
                    <xdr:col>118</xdr:col>
                    <xdr:colOff>182880</xdr:colOff>
                    <xdr:row>64</xdr:row>
                    <xdr:rowOff>228600</xdr:rowOff>
                  </from>
                  <to>
                    <xdr:col>120</xdr:col>
                    <xdr:colOff>7620</xdr:colOff>
                    <xdr:row>66</xdr:row>
                    <xdr:rowOff>0</xdr:rowOff>
                  </to>
                </anchor>
              </controlPr>
            </control>
          </mc:Choice>
        </mc:AlternateContent>
        <mc:AlternateContent xmlns:mc="http://schemas.openxmlformats.org/markup-compatibility/2006">
          <mc:Choice Requires="x14">
            <control shapeId="74972" r:id="rId223" name="Check Box 220">
              <controlPr defaultSize="0" autoFill="0" autoLine="0" autoPict="0" altText="">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73" r:id="rId224" name="Check Box 221">
              <controlPr defaultSize="0" autoFill="0" autoLine="0" autoPict="0" altText="">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74" r:id="rId225" name="Check Box 222">
              <controlPr defaultSize="0" autoFill="0" autoLine="0" autoPict="0" altText="">
                <anchor moveWithCells="1">
                  <from>
                    <xdr:col>165</xdr:col>
                    <xdr:colOff>-30480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75" r:id="rId226" name="Check Box 223">
              <controlPr defaultSize="0" autoFill="0" autoLine="0" autoPict="0" altText="">
                <anchor moveWithCells="1">
                  <from>
                    <xdr:col>170</xdr:col>
                    <xdr:colOff>0</xdr:colOff>
                    <xdr:row>3</xdr:row>
                    <xdr:rowOff>0</xdr:rowOff>
                  </from>
                  <to>
                    <xdr:col>171</xdr:col>
                    <xdr:colOff>7620</xdr:colOff>
                    <xdr:row>4</xdr:row>
                    <xdr:rowOff>0</xdr:rowOff>
                  </to>
                </anchor>
              </controlPr>
            </control>
          </mc:Choice>
        </mc:AlternateContent>
        <mc:AlternateContent xmlns:mc="http://schemas.openxmlformats.org/markup-compatibility/2006">
          <mc:Choice Requires="x14">
            <control shapeId="74976" r:id="rId227" name="Check Box 224">
              <controlPr defaultSize="0" autoFill="0" autoLine="0" autoPict="0" altText="">
                <anchor moveWithCells="1">
                  <from>
                    <xdr:col>175</xdr:col>
                    <xdr:colOff>0</xdr:colOff>
                    <xdr:row>3</xdr:row>
                    <xdr:rowOff>0</xdr:rowOff>
                  </from>
                  <to>
                    <xdr:col>176</xdr:col>
                    <xdr:colOff>7620</xdr:colOff>
                    <xdr:row>4</xdr:row>
                    <xdr:rowOff>0</xdr:rowOff>
                  </to>
                </anchor>
              </controlPr>
            </control>
          </mc:Choice>
        </mc:AlternateContent>
        <mc:AlternateContent xmlns:mc="http://schemas.openxmlformats.org/markup-compatibility/2006">
          <mc:Choice Requires="x14">
            <control shapeId="74977" r:id="rId228" name="Check Box 225">
              <controlPr defaultSize="0" autoFill="0" autoLine="0" autoPict="0" altText="">
                <anchor moveWithCells="1">
                  <from>
                    <xdr:col>180</xdr:col>
                    <xdr:colOff>0</xdr:colOff>
                    <xdr:row>3</xdr:row>
                    <xdr:rowOff>0</xdr:rowOff>
                  </from>
                  <to>
                    <xdr:col>181</xdr:col>
                    <xdr:colOff>7620</xdr:colOff>
                    <xdr:row>4</xdr:row>
                    <xdr:rowOff>0</xdr:rowOff>
                  </to>
                </anchor>
              </controlPr>
            </control>
          </mc:Choice>
        </mc:AlternateContent>
        <mc:AlternateContent xmlns:mc="http://schemas.openxmlformats.org/markup-compatibility/2006">
          <mc:Choice Requires="x14">
            <control shapeId="74978" r:id="rId229" name="Check Box 226">
              <controlPr defaultSize="0" autoFill="0" autoLine="0" autoPict="0" altText="">
                <anchor moveWithCells="1">
                  <from>
                    <xdr:col>165</xdr:col>
                    <xdr:colOff>0</xdr:colOff>
                    <xdr:row>42</xdr:row>
                    <xdr:rowOff>0</xdr:rowOff>
                  </from>
                  <to>
                    <xdr:col>166</xdr:col>
                    <xdr:colOff>7620</xdr:colOff>
                    <xdr:row>43</xdr:row>
                    <xdr:rowOff>0</xdr:rowOff>
                  </to>
                </anchor>
              </controlPr>
            </control>
          </mc:Choice>
        </mc:AlternateContent>
        <mc:AlternateContent xmlns:mc="http://schemas.openxmlformats.org/markup-compatibility/2006">
          <mc:Choice Requires="x14">
            <control shapeId="74979" r:id="rId230" name="Check Box 227">
              <controlPr defaultSize="0" autoFill="0" autoLine="0" autoPict="0" altText="">
                <anchor moveWithCells="1">
                  <from>
                    <xdr:col>172</xdr:col>
                    <xdr:colOff>182880</xdr:colOff>
                    <xdr:row>42</xdr:row>
                    <xdr:rowOff>0</xdr:rowOff>
                  </from>
                  <to>
                    <xdr:col>174</xdr:col>
                    <xdr:colOff>7620</xdr:colOff>
                    <xdr:row>43</xdr:row>
                    <xdr:rowOff>0</xdr:rowOff>
                  </to>
                </anchor>
              </controlPr>
            </control>
          </mc:Choice>
        </mc:AlternateContent>
        <mc:AlternateContent xmlns:mc="http://schemas.openxmlformats.org/markup-compatibility/2006">
          <mc:Choice Requires="x14">
            <control shapeId="74980" r:id="rId231" name="Check Box 228">
              <controlPr defaultSize="0" autoFill="0" autoLine="0" autoPict="0" altText="">
                <anchor moveWithCells="1">
                  <from>
                    <xdr:col>180</xdr:col>
                    <xdr:colOff>0</xdr:colOff>
                    <xdr:row>42</xdr:row>
                    <xdr:rowOff>0</xdr:rowOff>
                  </from>
                  <to>
                    <xdr:col>181</xdr:col>
                    <xdr:colOff>7620</xdr:colOff>
                    <xdr:row>43</xdr:row>
                    <xdr:rowOff>0</xdr:rowOff>
                  </to>
                </anchor>
              </controlPr>
            </control>
          </mc:Choice>
        </mc:AlternateContent>
        <mc:AlternateContent xmlns:mc="http://schemas.openxmlformats.org/markup-compatibility/2006">
          <mc:Choice Requires="x14">
            <control shapeId="74981" r:id="rId232" name="Check Box 229">
              <controlPr defaultSize="0" autoFill="0" autoLine="0" autoPict="0" altText="">
                <anchor moveWithCells="1">
                  <from>
                    <xdr:col>165</xdr:col>
                    <xdr:colOff>0</xdr:colOff>
                    <xdr:row>43</xdr:row>
                    <xdr:rowOff>0</xdr:rowOff>
                  </from>
                  <to>
                    <xdr:col>166</xdr:col>
                    <xdr:colOff>7620</xdr:colOff>
                    <xdr:row>44</xdr:row>
                    <xdr:rowOff>0</xdr:rowOff>
                  </to>
                </anchor>
              </controlPr>
            </control>
          </mc:Choice>
        </mc:AlternateContent>
        <mc:AlternateContent xmlns:mc="http://schemas.openxmlformats.org/markup-compatibility/2006">
          <mc:Choice Requires="x14">
            <control shapeId="74982" r:id="rId233" name="Check Box 230">
              <controlPr defaultSize="0" autoFill="0" autoLine="0" autoPict="0" altText="">
                <anchor moveWithCells="1">
                  <from>
                    <xdr:col>175</xdr:col>
                    <xdr:colOff>0</xdr:colOff>
                    <xdr:row>43</xdr:row>
                    <xdr:rowOff>0</xdr:rowOff>
                  </from>
                  <to>
                    <xdr:col>176</xdr:col>
                    <xdr:colOff>7620</xdr:colOff>
                    <xdr:row>44</xdr:row>
                    <xdr:rowOff>0</xdr:rowOff>
                  </to>
                </anchor>
              </controlPr>
            </control>
          </mc:Choice>
        </mc:AlternateContent>
        <mc:AlternateContent xmlns:mc="http://schemas.openxmlformats.org/markup-compatibility/2006">
          <mc:Choice Requires="x14">
            <control shapeId="74983" r:id="rId234" name="Check Box 231">
              <controlPr defaultSize="0" autoFill="0" autoLine="0" autoPict="0" altText="">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84" r:id="rId235" name="Check Box 232">
              <controlPr defaultSize="0" autoFill="0" autoLine="0" autoPict="0" altText="">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85" r:id="rId236" name="Check Box 233">
              <controlPr defaultSize="0" autoFill="0" autoLine="0" autoPict="0" altText="">
                <anchor moveWithCells="1">
                  <from>
                    <xdr:col>174</xdr:col>
                    <xdr:colOff>0</xdr:colOff>
                    <xdr:row>26</xdr:row>
                    <xdr:rowOff>0</xdr:rowOff>
                  </from>
                  <to>
                    <xdr:col>175</xdr:col>
                    <xdr:colOff>7620</xdr:colOff>
                    <xdr:row>28</xdr:row>
                    <xdr:rowOff>0</xdr:rowOff>
                  </to>
                </anchor>
              </controlPr>
            </control>
          </mc:Choice>
        </mc:AlternateContent>
        <mc:AlternateContent xmlns:mc="http://schemas.openxmlformats.org/markup-compatibility/2006">
          <mc:Choice Requires="x14">
            <control shapeId="74986" r:id="rId237" name="Check Box 234">
              <controlPr defaultSize="0" autoFill="0" autoLine="0" autoPict="0" altText="">
                <anchor moveWithCells="1">
                  <from>
                    <xdr:col>165</xdr:col>
                    <xdr:colOff>-30480</xdr:colOff>
                    <xdr:row>26</xdr:row>
                    <xdr:rowOff>0</xdr:rowOff>
                  </from>
                  <to>
                    <xdr:col>166</xdr:col>
                    <xdr:colOff>7620</xdr:colOff>
                    <xdr:row>28</xdr:row>
                    <xdr:rowOff>0</xdr:rowOff>
                  </to>
                </anchor>
              </controlPr>
            </control>
          </mc:Choice>
        </mc:AlternateContent>
        <mc:AlternateContent xmlns:mc="http://schemas.openxmlformats.org/markup-compatibility/2006">
          <mc:Choice Requires="x14">
            <control shapeId="74987" r:id="rId238" name="Check Box 235">
              <controlPr defaultSize="0" autoFill="0" autoLine="0" autoPict="0" altText="">
                <anchor moveWithCells="1">
                  <from>
                    <xdr:col>183</xdr:col>
                    <xdr:colOff>0</xdr:colOff>
                    <xdr:row>26</xdr:row>
                    <xdr:rowOff>0</xdr:rowOff>
                  </from>
                  <to>
                    <xdr:col>184</xdr:col>
                    <xdr:colOff>7620</xdr:colOff>
                    <xdr:row>28</xdr:row>
                    <xdr:rowOff>0</xdr:rowOff>
                  </to>
                </anchor>
              </controlPr>
            </control>
          </mc:Choice>
        </mc:AlternateContent>
        <mc:AlternateContent xmlns:mc="http://schemas.openxmlformats.org/markup-compatibility/2006">
          <mc:Choice Requires="x14">
            <control shapeId="74988" r:id="rId239" name="Check Box 236">
              <controlPr defaultSize="0" autoFill="0" autoLine="0" autoPict="0" altText="">
                <anchor moveWithCells="1">
                  <from>
                    <xdr:col>165</xdr:col>
                    <xdr:colOff>-30480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89" r:id="rId240" name="Check Box 237">
              <controlPr defaultSize="0" autoFill="0" autoLine="0" autoPict="0" altText="">
                <anchor moveWithCells="1">
                  <from>
                    <xdr:col>165</xdr:col>
                    <xdr:colOff>-30480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90" r:id="rId241" name="Check Box 238">
              <controlPr defaultSize="0" autoFill="0" autoLine="0" autoPict="0" altText="">
                <anchor moveWithCells="1">
                  <from>
                    <xdr:col>165</xdr:col>
                    <xdr:colOff>-30480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74991" r:id="rId242" name="Check Box 239">
              <controlPr defaultSize="0" autoFill="0" autoLine="0" autoPict="0" altText="">
                <anchor moveWithCells="1">
                  <from>
                    <xdr:col>174</xdr:col>
                    <xdr:colOff>0</xdr:colOff>
                    <xdr:row>12</xdr:row>
                    <xdr:rowOff>0</xdr:rowOff>
                  </from>
                  <to>
                    <xdr:col>175</xdr:col>
                    <xdr:colOff>30480</xdr:colOff>
                    <xdr:row>13</xdr:row>
                    <xdr:rowOff>7620</xdr:rowOff>
                  </to>
                </anchor>
              </controlPr>
            </control>
          </mc:Choice>
        </mc:AlternateContent>
        <mc:AlternateContent xmlns:mc="http://schemas.openxmlformats.org/markup-compatibility/2006">
          <mc:Choice Requires="x14">
            <control shapeId="74992" r:id="rId243" name="Check Box 240">
              <controlPr defaultSize="0" autoFill="0" autoLine="0" autoPict="0" altText="">
                <anchor moveWithCells="1">
                  <from>
                    <xdr:col>183</xdr:col>
                    <xdr:colOff>0</xdr:colOff>
                    <xdr:row>12</xdr:row>
                    <xdr:rowOff>0</xdr:rowOff>
                  </from>
                  <to>
                    <xdr:col>184</xdr:col>
                    <xdr:colOff>7620</xdr:colOff>
                    <xdr:row>13</xdr:row>
                    <xdr:rowOff>0</xdr:rowOff>
                  </to>
                </anchor>
              </controlPr>
            </control>
          </mc:Choice>
        </mc:AlternateContent>
        <mc:AlternateContent xmlns:mc="http://schemas.openxmlformats.org/markup-compatibility/2006">
          <mc:Choice Requires="x14">
            <control shapeId="74993" r:id="rId244" name="Check Box 241">
              <controlPr defaultSize="0" autoFill="0" autoLine="0" autoPict="0" altText="">
                <anchor moveWithCells="1">
                  <from>
                    <xdr:col>165</xdr:col>
                    <xdr:colOff>0</xdr:colOff>
                    <xdr:row>47</xdr:row>
                    <xdr:rowOff>0</xdr:rowOff>
                  </from>
                  <to>
                    <xdr:col>166</xdr:col>
                    <xdr:colOff>7620</xdr:colOff>
                    <xdr:row>48</xdr:row>
                    <xdr:rowOff>0</xdr:rowOff>
                  </to>
                </anchor>
              </controlPr>
            </control>
          </mc:Choice>
        </mc:AlternateContent>
        <mc:AlternateContent xmlns:mc="http://schemas.openxmlformats.org/markup-compatibility/2006">
          <mc:Choice Requires="x14">
            <control shapeId="74994" r:id="rId245" name="Check Box 242">
              <controlPr defaultSize="0" autoFill="0" autoLine="0" autoPict="0" altText="">
                <anchor moveWithCells="1">
                  <from>
                    <xdr:col>171</xdr:col>
                    <xdr:colOff>182880</xdr:colOff>
                    <xdr:row>47</xdr:row>
                    <xdr:rowOff>0</xdr:rowOff>
                  </from>
                  <to>
                    <xdr:col>173</xdr:col>
                    <xdr:colOff>7620</xdr:colOff>
                    <xdr:row>48</xdr:row>
                    <xdr:rowOff>0</xdr:rowOff>
                  </to>
                </anchor>
              </controlPr>
            </control>
          </mc:Choice>
        </mc:AlternateContent>
        <mc:AlternateContent xmlns:mc="http://schemas.openxmlformats.org/markup-compatibility/2006">
          <mc:Choice Requires="x14">
            <control shapeId="74995" r:id="rId246" name="Check Box 243">
              <controlPr defaultSize="0" autoFill="0" autoLine="0" autoPict="0" altText="">
                <anchor moveWithCells="1">
                  <from>
                    <xdr:col>178</xdr:col>
                    <xdr:colOff>182880</xdr:colOff>
                    <xdr:row>47</xdr:row>
                    <xdr:rowOff>0</xdr:rowOff>
                  </from>
                  <to>
                    <xdr:col>180</xdr:col>
                    <xdr:colOff>7620</xdr:colOff>
                    <xdr:row>48</xdr:row>
                    <xdr:rowOff>0</xdr:rowOff>
                  </to>
                </anchor>
              </controlPr>
            </control>
          </mc:Choice>
        </mc:AlternateContent>
        <mc:AlternateContent xmlns:mc="http://schemas.openxmlformats.org/markup-compatibility/2006">
          <mc:Choice Requires="x14">
            <control shapeId="74996" r:id="rId247" name="Check Box 244">
              <controlPr defaultSize="0" autoFill="0" autoLine="0" autoPict="0" altText="">
                <anchor moveWithCells="1">
                  <from>
                    <xdr:col>185</xdr:col>
                    <xdr:colOff>182880</xdr:colOff>
                    <xdr:row>47</xdr:row>
                    <xdr:rowOff>0</xdr:rowOff>
                  </from>
                  <to>
                    <xdr:col>187</xdr:col>
                    <xdr:colOff>7620</xdr:colOff>
                    <xdr:row>48</xdr:row>
                    <xdr:rowOff>0</xdr:rowOff>
                  </to>
                </anchor>
              </controlPr>
            </control>
          </mc:Choice>
        </mc:AlternateContent>
        <mc:AlternateContent xmlns:mc="http://schemas.openxmlformats.org/markup-compatibility/2006">
          <mc:Choice Requires="x14">
            <control shapeId="74997" r:id="rId248" name="Check Box 245">
              <controlPr defaultSize="0" autoFill="0" autoLine="0" autoPict="0" altText="">
                <anchor moveWithCells="1">
                  <from>
                    <xdr:col>165</xdr:col>
                    <xdr:colOff>0</xdr:colOff>
                    <xdr:row>44</xdr:row>
                    <xdr:rowOff>0</xdr:rowOff>
                  </from>
                  <to>
                    <xdr:col>166</xdr:col>
                    <xdr:colOff>7620</xdr:colOff>
                    <xdr:row>45</xdr:row>
                    <xdr:rowOff>0</xdr:rowOff>
                  </to>
                </anchor>
              </controlPr>
            </control>
          </mc:Choice>
        </mc:AlternateContent>
        <mc:AlternateContent xmlns:mc="http://schemas.openxmlformats.org/markup-compatibility/2006">
          <mc:Choice Requires="x14">
            <control shapeId="74998" r:id="rId249" name="Check Box 246">
              <controlPr defaultSize="0" autoFill="0" autoLine="0" autoPict="0" altText="">
                <anchor moveWithCells="1">
                  <from>
                    <xdr:col>171</xdr:col>
                    <xdr:colOff>182880</xdr:colOff>
                    <xdr:row>44</xdr:row>
                    <xdr:rowOff>0</xdr:rowOff>
                  </from>
                  <to>
                    <xdr:col>173</xdr:col>
                    <xdr:colOff>7620</xdr:colOff>
                    <xdr:row>45</xdr:row>
                    <xdr:rowOff>0</xdr:rowOff>
                  </to>
                </anchor>
              </controlPr>
            </control>
          </mc:Choice>
        </mc:AlternateContent>
        <mc:AlternateContent xmlns:mc="http://schemas.openxmlformats.org/markup-compatibility/2006">
          <mc:Choice Requires="x14">
            <control shapeId="74999" r:id="rId250" name="Check Box 247">
              <controlPr defaultSize="0" autoFill="0" autoLine="0" autoPict="0" altText="">
                <anchor moveWithCells="1">
                  <from>
                    <xdr:col>179</xdr:col>
                    <xdr:colOff>0</xdr:colOff>
                    <xdr:row>44</xdr:row>
                    <xdr:rowOff>0</xdr:rowOff>
                  </from>
                  <to>
                    <xdr:col>180</xdr:col>
                    <xdr:colOff>7620</xdr:colOff>
                    <xdr:row>45</xdr:row>
                    <xdr:rowOff>0</xdr:rowOff>
                  </to>
                </anchor>
              </controlPr>
            </control>
          </mc:Choice>
        </mc:AlternateContent>
        <mc:AlternateContent xmlns:mc="http://schemas.openxmlformats.org/markup-compatibility/2006">
          <mc:Choice Requires="x14">
            <control shapeId="75000" r:id="rId251" name="Check Box 248">
              <controlPr defaultSize="0" autoFill="0" autoLine="0" autoPict="0" altText="">
                <anchor moveWithCells="1">
                  <from>
                    <xdr:col>165</xdr:col>
                    <xdr:colOff>0</xdr:colOff>
                    <xdr:row>45</xdr:row>
                    <xdr:rowOff>0</xdr:rowOff>
                  </from>
                  <to>
                    <xdr:col>166</xdr:col>
                    <xdr:colOff>7620</xdr:colOff>
                    <xdr:row>46</xdr:row>
                    <xdr:rowOff>0</xdr:rowOff>
                  </to>
                </anchor>
              </controlPr>
            </control>
          </mc:Choice>
        </mc:AlternateContent>
        <mc:AlternateContent xmlns:mc="http://schemas.openxmlformats.org/markup-compatibility/2006">
          <mc:Choice Requires="x14">
            <control shapeId="75001" r:id="rId252" name="Check Box 249">
              <controlPr defaultSize="0" autoFill="0" autoLine="0" autoPict="0" altText="">
                <anchor moveWithCells="1">
                  <from>
                    <xdr:col>171</xdr:col>
                    <xdr:colOff>182880</xdr:colOff>
                    <xdr:row>45</xdr:row>
                    <xdr:rowOff>0</xdr:rowOff>
                  </from>
                  <to>
                    <xdr:col>173</xdr:col>
                    <xdr:colOff>7620</xdr:colOff>
                    <xdr:row>46</xdr:row>
                    <xdr:rowOff>0</xdr:rowOff>
                  </to>
                </anchor>
              </controlPr>
            </control>
          </mc:Choice>
        </mc:AlternateContent>
        <mc:AlternateContent xmlns:mc="http://schemas.openxmlformats.org/markup-compatibility/2006">
          <mc:Choice Requires="x14">
            <control shapeId="75002" r:id="rId253" name="Check Box 250">
              <controlPr defaultSize="0" autoFill="0" autoLine="0" autoPict="0" altText="">
                <anchor moveWithCells="1">
                  <from>
                    <xdr:col>179</xdr:col>
                    <xdr:colOff>0</xdr:colOff>
                    <xdr:row>45</xdr:row>
                    <xdr:rowOff>0</xdr:rowOff>
                  </from>
                  <to>
                    <xdr:col>180</xdr:col>
                    <xdr:colOff>7620</xdr:colOff>
                    <xdr:row>46</xdr:row>
                    <xdr:rowOff>0</xdr:rowOff>
                  </to>
                </anchor>
              </controlPr>
            </control>
          </mc:Choice>
        </mc:AlternateContent>
        <mc:AlternateContent xmlns:mc="http://schemas.openxmlformats.org/markup-compatibility/2006">
          <mc:Choice Requires="x14">
            <control shapeId="75003" r:id="rId254" name="Check Box 251">
              <controlPr defaultSize="0" autoFill="0" autoLine="0" autoPict="0" altText="">
                <anchor moveWithCells="1">
                  <from>
                    <xdr:col>165</xdr:col>
                    <xdr:colOff>0</xdr:colOff>
                    <xdr:row>46</xdr:row>
                    <xdr:rowOff>0</xdr:rowOff>
                  </from>
                  <to>
                    <xdr:col>166</xdr:col>
                    <xdr:colOff>7620</xdr:colOff>
                    <xdr:row>47</xdr:row>
                    <xdr:rowOff>0</xdr:rowOff>
                  </to>
                </anchor>
              </controlPr>
            </control>
          </mc:Choice>
        </mc:AlternateContent>
        <mc:AlternateContent xmlns:mc="http://schemas.openxmlformats.org/markup-compatibility/2006">
          <mc:Choice Requires="x14">
            <control shapeId="75004" r:id="rId255" name="Check Box 252">
              <controlPr defaultSize="0" autoFill="0" autoLine="0" autoPict="0" altText="">
                <anchor moveWithCells="1">
                  <from>
                    <xdr:col>171</xdr:col>
                    <xdr:colOff>182880</xdr:colOff>
                    <xdr:row>46</xdr:row>
                    <xdr:rowOff>0</xdr:rowOff>
                  </from>
                  <to>
                    <xdr:col>173</xdr:col>
                    <xdr:colOff>7620</xdr:colOff>
                    <xdr:row>47</xdr:row>
                    <xdr:rowOff>0</xdr:rowOff>
                  </to>
                </anchor>
              </controlPr>
            </control>
          </mc:Choice>
        </mc:AlternateContent>
        <mc:AlternateContent xmlns:mc="http://schemas.openxmlformats.org/markup-compatibility/2006">
          <mc:Choice Requires="x14">
            <control shapeId="75005" r:id="rId256" name="Check Box 253">
              <controlPr defaultSize="0" autoFill="0" autoLine="0" autoPict="0" altText="">
                <anchor moveWithCells="1">
                  <from>
                    <xdr:col>179</xdr:col>
                    <xdr:colOff>0</xdr:colOff>
                    <xdr:row>46</xdr:row>
                    <xdr:rowOff>0</xdr:rowOff>
                  </from>
                  <to>
                    <xdr:col>180</xdr:col>
                    <xdr:colOff>7620</xdr:colOff>
                    <xdr:row>47</xdr:row>
                    <xdr:rowOff>0</xdr:rowOff>
                  </to>
                </anchor>
              </controlPr>
            </control>
          </mc:Choice>
        </mc:AlternateContent>
        <mc:AlternateContent xmlns:mc="http://schemas.openxmlformats.org/markup-compatibility/2006">
          <mc:Choice Requires="x14">
            <control shapeId="75006" r:id="rId257" name="Check Box 254">
              <controlPr defaultSize="0" autoFill="0" autoLine="0" autoPict="0" altText="">
                <anchor moveWithCells="1">
                  <from>
                    <xdr:col>165</xdr:col>
                    <xdr:colOff>0</xdr:colOff>
                    <xdr:row>54</xdr:row>
                    <xdr:rowOff>0</xdr:rowOff>
                  </from>
                  <to>
                    <xdr:col>166</xdr:col>
                    <xdr:colOff>7620</xdr:colOff>
                    <xdr:row>55</xdr:row>
                    <xdr:rowOff>0</xdr:rowOff>
                  </to>
                </anchor>
              </controlPr>
            </control>
          </mc:Choice>
        </mc:AlternateContent>
        <mc:AlternateContent xmlns:mc="http://schemas.openxmlformats.org/markup-compatibility/2006">
          <mc:Choice Requires="x14">
            <control shapeId="75007" r:id="rId258" name="Check Box 255">
              <controlPr defaultSize="0" autoFill="0" autoLine="0" autoPict="0" altText="">
                <anchor moveWithCells="1">
                  <from>
                    <xdr:col>172</xdr:col>
                    <xdr:colOff>182880</xdr:colOff>
                    <xdr:row>54</xdr:row>
                    <xdr:rowOff>0</xdr:rowOff>
                  </from>
                  <to>
                    <xdr:col>174</xdr:col>
                    <xdr:colOff>22860</xdr:colOff>
                    <xdr:row>55</xdr:row>
                    <xdr:rowOff>0</xdr:rowOff>
                  </to>
                </anchor>
              </controlPr>
            </control>
          </mc:Choice>
        </mc:AlternateContent>
        <mc:AlternateContent xmlns:mc="http://schemas.openxmlformats.org/markup-compatibility/2006">
          <mc:Choice Requires="x14">
            <control shapeId="75008" r:id="rId259" name="Check Box 256">
              <controlPr defaultSize="0" autoFill="0" autoLine="0" autoPict="0" altText="">
                <anchor moveWithCells="1">
                  <from>
                    <xdr:col>180</xdr:col>
                    <xdr:colOff>0</xdr:colOff>
                    <xdr:row>54</xdr:row>
                    <xdr:rowOff>0</xdr:rowOff>
                  </from>
                  <to>
                    <xdr:col>181</xdr:col>
                    <xdr:colOff>7620</xdr:colOff>
                    <xdr:row>55</xdr:row>
                    <xdr:rowOff>0</xdr:rowOff>
                  </to>
                </anchor>
              </controlPr>
            </control>
          </mc:Choice>
        </mc:AlternateContent>
        <mc:AlternateContent xmlns:mc="http://schemas.openxmlformats.org/markup-compatibility/2006">
          <mc:Choice Requires="x14">
            <control shapeId="75009" r:id="rId260" name="Check Box 257">
              <controlPr defaultSize="0" autoFill="0" autoLine="0" autoPict="0" altText="">
                <anchor moveWithCells="1">
                  <from>
                    <xdr:col>165</xdr:col>
                    <xdr:colOff>0</xdr:colOff>
                    <xdr:row>55</xdr:row>
                    <xdr:rowOff>0</xdr:rowOff>
                  </from>
                  <to>
                    <xdr:col>166</xdr:col>
                    <xdr:colOff>7620</xdr:colOff>
                    <xdr:row>56</xdr:row>
                    <xdr:rowOff>0</xdr:rowOff>
                  </to>
                </anchor>
              </controlPr>
            </control>
          </mc:Choice>
        </mc:AlternateContent>
        <mc:AlternateContent xmlns:mc="http://schemas.openxmlformats.org/markup-compatibility/2006">
          <mc:Choice Requires="x14">
            <control shapeId="75010" r:id="rId261" name="Check Box 258">
              <controlPr defaultSize="0" autoFill="0" autoLine="0" autoPict="0" altText="">
                <anchor moveWithCells="1">
                  <from>
                    <xdr:col>175</xdr:col>
                    <xdr:colOff>0</xdr:colOff>
                    <xdr:row>55</xdr:row>
                    <xdr:rowOff>0</xdr:rowOff>
                  </from>
                  <to>
                    <xdr:col>176</xdr:col>
                    <xdr:colOff>7620</xdr:colOff>
                    <xdr:row>56</xdr:row>
                    <xdr:rowOff>0</xdr:rowOff>
                  </to>
                </anchor>
              </controlPr>
            </control>
          </mc:Choice>
        </mc:AlternateContent>
        <mc:AlternateContent xmlns:mc="http://schemas.openxmlformats.org/markup-compatibility/2006">
          <mc:Choice Requires="x14">
            <control shapeId="75011" r:id="rId262" name="Check Box 259">
              <controlPr defaultSize="0" autoFill="0" autoLine="0" autoPict="0" altText="">
                <anchor moveWithCells="1">
                  <from>
                    <xdr:col>165</xdr:col>
                    <xdr:colOff>0</xdr:colOff>
                    <xdr:row>56</xdr:row>
                    <xdr:rowOff>0</xdr:rowOff>
                  </from>
                  <to>
                    <xdr:col>166</xdr:col>
                    <xdr:colOff>7620</xdr:colOff>
                    <xdr:row>57</xdr:row>
                    <xdr:rowOff>0</xdr:rowOff>
                  </to>
                </anchor>
              </controlPr>
            </control>
          </mc:Choice>
        </mc:AlternateContent>
        <mc:AlternateContent xmlns:mc="http://schemas.openxmlformats.org/markup-compatibility/2006">
          <mc:Choice Requires="x14">
            <control shapeId="75012" r:id="rId263" name="Check Box 260">
              <controlPr defaultSize="0" autoFill="0" autoLine="0" autoPict="0" altText="">
                <anchor moveWithCells="1">
                  <from>
                    <xdr:col>171</xdr:col>
                    <xdr:colOff>182880</xdr:colOff>
                    <xdr:row>56</xdr:row>
                    <xdr:rowOff>0</xdr:rowOff>
                  </from>
                  <to>
                    <xdr:col>173</xdr:col>
                    <xdr:colOff>7620</xdr:colOff>
                    <xdr:row>57</xdr:row>
                    <xdr:rowOff>0</xdr:rowOff>
                  </to>
                </anchor>
              </controlPr>
            </control>
          </mc:Choice>
        </mc:AlternateContent>
        <mc:AlternateContent xmlns:mc="http://schemas.openxmlformats.org/markup-compatibility/2006">
          <mc:Choice Requires="x14">
            <control shapeId="75013" r:id="rId264" name="Check Box 261">
              <controlPr defaultSize="0" autoFill="0" autoLine="0" autoPict="0" altText="">
                <anchor moveWithCells="1">
                  <from>
                    <xdr:col>179</xdr:col>
                    <xdr:colOff>0</xdr:colOff>
                    <xdr:row>56</xdr:row>
                    <xdr:rowOff>0</xdr:rowOff>
                  </from>
                  <to>
                    <xdr:col>180</xdr:col>
                    <xdr:colOff>7620</xdr:colOff>
                    <xdr:row>57</xdr:row>
                    <xdr:rowOff>0</xdr:rowOff>
                  </to>
                </anchor>
              </controlPr>
            </control>
          </mc:Choice>
        </mc:AlternateContent>
        <mc:AlternateContent xmlns:mc="http://schemas.openxmlformats.org/markup-compatibility/2006">
          <mc:Choice Requires="x14">
            <control shapeId="75014" r:id="rId265" name="Check Box 262">
              <controlPr defaultSize="0" autoFill="0" autoLine="0" autoPict="0" altText="">
                <anchor moveWithCells="1">
                  <from>
                    <xdr:col>165</xdr:col>
                    <xdr:colOff>0</xdr:colOff>
                    <xdr:row>57</xdr:row>
                    <xdr:rowOff>0</xdr:rowOff>
                  </from>
                  <to>
                    <xdr:col>166</xdr:col>
                    <xdr:colOff>7620</xdr:colOff>
                    <xdr:row>58</xdr:row>
                    <xdr:rowOff>0</xdr:rowOff>
                  </to>
                </anchor>
              </controlPr>
            </control>
          </mc:Choice>
        </mc:AlternateContent>
        <mc:AlternateContent xmlns:mc="http://schemas.openxmlformats.org/markup-compatibility/2006">
          <mc:Choice Requires="x14">
            <control shapeId="75015" r:id="rId266" name="Check Box 263">
              <controlPr defaultSize="0" autoFill="0" autoLine="0" autoPict="0" altText="">
                <anchor moveWithCells="1">
                  <from>
                    <xdr:col>172</xdr:col>
                    <xdr:colOff>0</xdr:colOff>
                    <xdr:row>57</xdr:row>
                    <xdr:rowOff>0</xdr:rowOff>
                  </from>
                  <to>
                    <xdr:col>173</xdr:col>
                    <xdr:colOff>7620</xdr:colOff>
                    <xdr:row>58</xdr:row>
                    <xdr:rowOff>0</xdr:rowOff>
                  </to>
                </anchor>
              </controlPr>
            </control>
          </mc:Choice>
        </mc:AlternateContent>
        <mc:AlternateContent xmlns:mc="http://schemas.openxmlformats.org/markup-compatibility/2006">
          <mc:Choice Requires="x14">
            <control shapeId="75016" r:id="rId267" name="Check Box 264">
              <controlPr defaultSize="0" autoFill="0" autoLine="0" autoPict="0" altText="">
                <anchor moveWithCells="1">
                  <from>
                    <xdr:col>179</xdr:col>
                    <xdr:colOff>0</xdr:colOff>
                    <xdr:row>57</xdr:row>
                    <xdr:rowOff>0</xdr:rowOff>
                  </from>
                  <to>
                    <xdr:col>180</xdr:col>
                    <xdr:colOff>7620</xdr:colOff>
                    <xdr:row>58</xdr:row>
                    <xdr:rowOff>0</xdr:rowOff>
                  </to>
                </anchor>
              </controlPr>
            </control>
          </mc:Choice>
        </mc:AlternateContent>
        <mc:AlternateContent xmlns:mc="http://schemas.openxmlformats.org/markup-compatibility/2006">
          <mc:Choice Requires="x14">
            <control shapeId="75017" r:id="rId268" name="Check Box 265">
              <controlPr defaultSize="0" autoFill="0" autoLine="0" autoPict="0" altText="">
                <anchor moveWithCells="1">
                  <from>
                    <xdr:col>165</xdr:col>
                    <xdr:colOff>0</xdr:colOff>
                    <xdr:row>58</xdr:row>
                    <xdr:rowOff>0</xdr:rowOff>
                  </from>
                  <to>
                    <xdr:col>166</xdr:col>
                    <xdr:colOff>7620</xdr:colOff>
                    <xdr:row>59</xdr:row>
                    <xdr:rowOff>0</xdr:rowOff>
                  </to>
                </anchor>
              </controlPr>
            </control>
          </mc:Choice>
        </mc:AlternateContent>
        <mc:AlternateContent xmlns:mc="http://schemas.openxmlformats.org/markup-compatibility/2006">
          <mc:Choice Requires="x14">
            <control shapeId="75018" r:id="rId269" name="Check Box 266">
              <controlPr defaultSize="0" autoFill="0" autoLine="0" autoPict="0" altText="">
                <anchor moveWithCells="1">
                  <from>
                    <xdr:col>171</xdr:col>
                    <xdr:colOff>182880</xdr:colOff>
                    <xdr:row>58</xdr:row>
                    <xdr:rowOff>0</xdr:rowOff>
                  </from>
                  <to>
                    <xdr:col>173</xdr:col>
                    <xdr:colOff>7620</xdr:colOff>
                    <xdr:row>59</xdr:row>
                    <xdr:rowOff>7620</xdr:rowOff>
                  </to>
                </anchor>
              </controlPr>
            </control>
          </mc:Choice>
        </mc:AlternateContent>
        <mc:AlternateContent xmlns:mc="http://schemas.openxmlformats.org/markup-compatibility/2006">
          <mc:Choice Requires="x14">
            <control shapeId="75019" r:id="rId270" name="Check Box 267">
              <controlPr defaultSize="0" autoFill="0" autoLine="0" autoPict="0" altText="">
                <anchor moveWithCells="1">
                  <from>
                    <xdr:col>179</xdr:col>
                    <xdr:colOff>0</xdr:colOff>
                    <xdr:row>58</xdr:row>
                    <xdr:rowOff>0</xdr:rowOff>
                  </from>
                  <to>
                    <xdr:col>180</xdr:col>
                    <xdr:colOff>7620</xdr:colOff>
                    <xdr:row>59</xdr:row>
                    <xdr:rowOff>0</xdr:rowOff>
                  </to>
                </anchor>
              </controlPr>
            </control>
          </mc:Choice>
        </mc:AlternateContent>
        <mc:AlternateContent xmlns:mc="http://schemas.openxmlformats.org/markup-compatibility/2006">
          <mc:Choice Requires="x14">
            <control shapeId="75020" r:id="rId271" name="Check Box 268">
              <controlPr defaultSize="0" autoFill="0" autoLine="0" autoPict="0" altText="">
                <anchor moveWithCells="1">
                  <from>
                    <xdr:col>165</xdr:col>
                    <xdr:colOff>0</xdr:colOff>
                    <xdr:row>59</xdr:row>
                    <xdr:rowOff>0</xdr:rowOff>
                  </from>
                  <to>
                    <xdr:col>166</xdr:col>
                    <xdr:colOff>7620</xdr:colOff>
                    <xdr:row>60</xdr:row>
                    <xdr:rowOff>0</xdr:rowOff>
                  </to>
                </anchor>
              </controlPr>
            </control>
          </mc:Choice>
        </mc:AlternateContent>
        <mc:AlternateContent xmlns:mc="http://schemas.openxmlformats.org/markup-compatibility/2006">
          <mc:Choice Requires="x14">
            <control shapeId="75021" r:id="rId272" name="Check Box 269">
              <controlPr defaultSize="0" autoFill="0" autoLine="0" autoPict="0" altText="">
                <anchor moveWithCells="1">
                  <from>
                    <xdr:col>171</xdr:col>
                    <xdr:colOff>182880</xdr:colOff>
                    <xdr:row>59</xdr:row>
                    <xdr:rowOff>0</xdr:rowOff>
                  </from>
                  <to>
                    <xdr:col>173</xdr:col>
                    <xdr:colOff>7620</xdr:colOff>
                    <xdr:row>60</xdr:row>
                    <xdr:rowOff>0</xdr:rowOff>
                  </to>
                </anchor>
              </controlPr>
            </control>
          </mc:Choice>
        </mc:AlternateContent>
        <mc:AlternateContent xmlns:mc="http://schemas.openxmlformats.org/markup-compatibility/2006">
          <mc:Choice Requires="x14">
            <control shapeId="75022" r:id="rId273" name="Check Box 270">
              <controlPr defaultSize="0" autoFill="0" autoLine="0" autoPict="0" altText="">
                <anchor moveWithCells="1">
                  <from>
                    <xdr:col>178</xdr:col>
                    <xdr:colOff>182880</xdr:colOff>
                    <xdr:row>59</xdr:row>
                    <xdr:rowOff>0</xdr:rowOff>
                  </from>
                  <to>
                    <xdr:col>180</xdr:col>
                    <xdr:colOff>7620</xdr:colOff>
                    <xdr:row>60</xdr:row>
                    <xdr:rowOff>0</xdr:rowOff>
                  </to>
                </anchor>
              </controlPr>
            </control>
          </mc:Choice>
        </mc:AlternateContent>
        <mc:AlternateContent xmlns:mc="http://schemas.openxmlformats.org/markup-compatibility/2006">
          <mc:Choice Requires="x14">
            <control shapeId="75023" r:id="rId274" name="Check Box 271">
              <controlPr defaultSize="0" autoFill="0" autoLine="0" autoPict="0" altText="">
                <anchor moveWithCells="1">
                  <from>
                    <xdr:col>185</xdr:col>
                    <xdr:colOff>182880</xdr:colOff>
                    <xdr:row>59</xdr:row>
                    <xdr:rowOff>0</xdr:rowOff>
                  </from>
                  <to>
                    <xdr:col>187</xdr:col>
                    <xdr:colOff>7620</xdr:colOff>
                    <xdr:row>60</xdr:row>
                    <xdr:rowOff>0</xdr:rowOff>
                  </to>
                </anchor>
              </controlPr>
            </control>
          </mc:Choice>
        </mc:AlternateContent>
        <mc:AlternateContent xmlns:mc="http://schemas.openxmlformats.org/markup-compatibility/2006">
          <mc:Choice Requires="x14">
            <control shapeId="75024" r:id="rId275" name="Check Box 272">
              <controlPr defaultSize="0" autoFill="0" autoLine="0" autoPict="0" altText="">
                <anchor moveWithCells="1">
                  <from>
                    <xdr:col>165</xdr:col>
                    <xdr:colOff>0</xdr:colOff>
                    <xdr:row>66</xdr:row>
                    <xdr:rowOff>0</xdr:rowOff>
                  </from>
                  <to>
                    <xdr:col>166</xdr:col>
                    <xdr:colOff>7620</xdr:colOff>
                    <xdr:row>67</xdr:row>
                    <xdr:rowOff>0</xdr:rowOff>
                  </to>
                </anchor>
              </controlPr>
            </control>
          </mc:Choice>
        </mc:AlternateContent>
        <mc:AlternateContent xmlns:mc="http://schemas.openxmlformats.org/markup-compatibility/2006">
          <mc:Choice Requires="x14">
            <control shapeId="75025" r:id="rId276" name="Check Box 273">
              <controlPr defaultSize="0" autoFill="0" autoLine="0" autoPict="0" altText="">
                <anchor moveWithCells="1">
                  <from>
                    <xdr:col>172</xdr:col>
                    <xdr:colOff>182880</xdr:colOff>
                    <xdr:row>66</xdr:row>
                    <xdr:rowOff>0</xdr:rowOff>
                  </from>
                  <to>
                    <xdr:col>174</xdr:col>
                    <xdr:colOff>7620</xdr:colOff>
                    <xdr:row>67</xdr:row>
                    <xdr:rowOff>0</xdr:rowOff>
                  </to>
                </anchor>
              </controlPr>
            </control>
          </mc:Choice>
        </mc:AlternateContent>
        <mc:AlternateContent xmlns:mc="http://schemas.openxmlformats.org/markup-compatibility/2006">
          <mc:Choice Requires="x14">
            <control shapeId="75026" r:id="rId277" name="Check Box 274">
              <controlPr defaultSize="0" autoFill="0" autoLine="0" autoPict="0" altText="">
                <anchor moveWithCells="1">
                  <from>
                    <xdr:col>180</xdr:col>
                    <xdr:colOff>0</xdr:colOff>
                    <xdr:row>66</xdr:row>
                    <xdr:rowOff>0</xdr:rowOff>
                  </from>
                  <to>
                    <xdr:col>181</xdr:col>
                    <xdr:colOff>7620</xdr:colOff>
                    <xdr:row>67</xdr:row>
                    <xdr:rowOff>0</xdr:rowOff>
                  </to>
                </anchor>
              </controlPr>
            </control>
          </mc:Choice>
        </mc:AlternateContent>
        <mc:AlternateContent xmlns:mc="http://schemas.openxmlformats.org/markup-compatibility/2006">
          <mc:Choice Requires="x14">
            <control shapeId="75027" r:id="rId278" name="Check Box 275">
              <controlPr defaultSize="0" autoFill="0" autoLine="0" autoPict="0" altText="">
                <anchor moveWithCells="1">
                  <from>
                    <xdr:col>165</xdr:col>
                    <xdr:colOff>0</xdr:colOff>
                    <xdr:row>67</xdr:row>
                    <xdr:rowOff>0</xdr:rowOff>
                  </from>
                  <to>
                    <xdr:col>166</xdr:col>
                    <xdr:colOff>7620</xdr:colOff>
                    <xdr:row>68</xdr:row>
                    <xdr:rowOff>0</xdr:rowOff>
                  </to>
                </anchor>
              </controlPr>
            </control>
          </mc:Choice>
        </mc:AlternateContent>
        <mc:AlternateContent xmlns:mc="http://schemas.openxmlformats.org/markup-compatibility/2006">
          <mc:Choice Requires="x14">
            <control shapeId="75028" r:id="rId279" name="Check Box 276">
              <controlPr defaultSize="0" autoFill="0" autoLine="0" autoPict="0" altText="">
                <anchor moveWithCells="1">
                  <from>
                    <xdr:col>175</xdr:col>
                    <xdr:colOff>0</xdr:colOff>
                    <xdr:row>67</xdr:row>
                    <xdr:rowOff>0</xdr:rowOff>
                  </from>
                  <to>
                    <xdr:col>176</xdr:col>
                    <xdr:colOff>7620</xdr:colOff>
                    <xdr:row>68</xdr:row>
                    <xdr:rowOff>0</xdr:rowOff>
                  </to>
                </anchor>
              </controlPr>
            </control>
          </mc:Choice>
        </mc:AlternateContent>
        <mc:AlternateContent xmlns:mc="http://schemas.openxmlformats.org/markup-compatibility/2006">
          <mc:Choice Requires="x14">
            <control shapeId="75029" r:id="rId280" name="Check Box 277">
              <controlPr defaultSize="0" autoFill="0" autoLine="0" autoPict="0" altText="">
                <anchor moveWithCells="1">
                  <from>
                    <xdr:col>165</xdr:col>
                    <xdr:colOff>0</xdr:colOff>
                    <xdr:row>68</xdr:row>
                    <xdr:rowOff>0</xdr:rowOff>
                  </from>
                  <to>
                    <xdr:col>166</xdr:col>
                    <xdr:colOff>7620</xdr:colOff>
                    <xdr:row>69</xdr:row>
                    <xdr:rowOff>0</xdr:rowOff>
                  </to>
                </anchor>
              </controlPr>
            </control>
          </mc:Choice>
        </mc:AlternateContent>
        <mc:AlternateContent xmlns:mc="http://schemas.openxmlformats.org/markup-compatibility/2006">
          <mc:Choice Requires="x14">
            <control shapeId="75030" r:id="rId281" name="Check Box 278">
              <controlPr defaultSize="0" autoFill="0" autoLine="0" autoPict="0" altText="">
                <anchor moveWithCells="1">
                  <from>
                    <xdr:col>171</xdr:col>
                    <xdr:colOff>182880</xdr:colOff>
                    <xdr:row>68</xdr:row>
                    <xdr:rowOff>0</xdr:rowOff>
                  </from>
                  <to>
                    <xdr:col>173</xdr:col>
                    <xdr:colOff>7620</xdr:colOff>
                    <xdr:row>69</xdr:row>
                    <xdr:rowOff>0</xdr:rowOff>
                  </to>
                </anchor>
              </controlPr>
            </control>
          </mc:Choice>
        </mc:AlternateContent>
        <mc:AlternateContent xmlns:mc="http://schemas.openxmlformats.org/markup-compatibility/2006">
          <mc:Choice Requires="x14">
            <control shapeId="75031" r:id="rId282" name="Check Box 279">
              <controlPr defaultSize="0" autoFill="0" autoLine="0" autoPict="0" altText="">
                <anchor moveWithCells="1">
                  <from>
                    <xdr:col>179</xdr:col>
                    <xdr:colOff>0</xdr:colOff>
                    <xdr:row>68</xdr:row>
                    <xdr:rowOff>0</xdr:rowOff>
                  </from>
                  <to>
                    <xdr:col>180</xdr:col>
                    <xdr:colOff>7620</xdr:colOff>
                    <xdr:row>69</xdr:row>
                    <xdr:rowOff>0</xdr:rowOff>
                  </to>
                </anchor>
              </controlPr>
            </control>
          </mc:Choice>
        </mc:AlternateContent>
        <mc:AlternateContent xmlns:mc="http://schemas.openxmlformats.org/markup-compatibility/2006">
          <mc:Choice Requires="x14">
            <control shapeId="75032" r:id="rId283" name="Check Box 280">
              <controlPr defaultSize="0" autoFill="0" autoLine="0" autoPict="0" altText="">
                <anchor moveWithCells="1">
                  <from>
                    <xdr:col>165</xdr:col>
                    <xdr:colOff>0</xdr:colOff>
                    <xdr:row>69</xdr:row>
                    <xdr:rowOff>0</xdr:rowOff>
                  </from>
                  <to>
                    <xdr:col>166</xdr:col>
                    <xdr:colOff>7620</xdr:colOff>
                    <xdr:row>70</xdr:row>
                    <xdr:rowOff>0</xdr:rowOff>
                  </to>
                </anchor>
              </controlPr>
            </control>
          </mc:Choice>
        </mc:AlternateContent>
        <mc:AlternateContent xmlns:mc="http://schemas.openxmlformats.org/markup-compatibility/2006">
          <mc:Choice Requires="x14">
            <control shapeId="75033" r:id="rId284" name="Check Box 281">
              <controlPr defaultSize="0" autoFill="0" autoLine="0" autoPict="0" altText="">
                <anchor moveWithCells="1">
                  <from>
                    <xdr:col>171</xdr:col>
                    <xdr:colOff>182880</xdr:colOff>
                    <xdr:row>69</xdr:row>
                    <xdr:rowOff>0</xdr:rowOff>
                  </from>
                  <to>
                    <xdr:col>173</xdr:col>
                    <xdr:colOff>7620</xdr:colOff>
                    <xdr:row>70</xdr:row>
                    <xdr:rowOff>0</xdr:rowOff>
                  </to>
                </anchor>
              </controlPr>
            </control>
          </mc:Choice>
        </mc:AlternateContent>
        <mc:AlternateContent xmlns:mc="http://schemas.openxmlformats.org/markup-compatibility/2006">
          <mc:Choice Requires="x14">
            <control shapeId="75034" r:id="rId285" name="Check Box 282">
              <controlPr defaultSize="0" autoFill="0" autoLine="0" autoPict="0" altText="">
                <anchor moveWithCells="1">
                  <from>
                    <xdr:col>179</xdr:col>
                    <xdr:colOff>0</xdr:colOff>
                    <xdr:row>69</xdr:row>
                    <xdr:rowOff>0</xdr:rowOff>
                  </from>
                  <to>
                    <xdr:col>180</xdr:col>
                    <xdr:colOff>7620</xdr:colOff>
                    <xdr:row>70</xdr:row>
                    <xdr:rowOff>0</xdr:rowOff>
                  </to>
                </anchor>
              </controlPr>
            </control>
          </mc:Choice>
        </mc:AlternateContent>
        <mc:AlternateContent xmlns:mc="http://schemas.openxmlformats.org/markup-compatibility/2006">
          <mc:Choice Requires="x14">
            <control shapeId="75035" r:id="rId286" name="Check Box 283">
              <controlPr defaultSize="0" autoFill="0" autoLine="0" autoPict="0" altText="">
                <anchor moveWithCells="1">
                  <from>
                    <xdr:col>165</xdr:col>
                    <xdr:colOff>0</xdr:colOff>
                    <xdr:row>70</xdr:row>
                    <xdr:rowOff>0</xdr:rowOff>
                  </from>
                  <to>
                    <xdr:col>166</xdr:col>
                    <xdr:colOff>7620</xdr:colOff>
                    <xdr:row>71</xdr:row>
                    <xdr:rowOff>0</xdr:rowOff>
                  </to>
                </anchor>
              </controlPr>
            </control>
          </mc:Choice>
        </mc:AlternateContent>
        <mc:AlternateContent xmlns:mc="http://schemas.openxmlformats.org/markup-compatibility/2006">
          <mc:Choice Requires="x14">
            <control shapeId="75036" r:id="rId287" name="Check Box 284">
              <controlPr defaultSize="0" autoFill="0" autoLine="0" autoPict="0" altText="">
                <anchor moveWithCells="1">
                  <from>
                    <xdr:col>171</xdr:col>
                    <xdr:colOff>182880</xdr:colOff>
                    <xdr:row>70</xdr:row>
                    <xdr:rowOff>0</xdr:rowOff>
                  </from>
                  <to>
                    <xdr:col>173</xdr:col>
                    <xdr:colOff>7620</xdr:colOff>
                    <xdr:row>71</xdr:row>
                    <xdr:rowOff>0</xdr:rowOff>
                  </to>
                </anchor>
              </controlPr>
            </control>
          </mc:Choice>
        </mc:AlternateContent>
        <mc:AlternateContent xmlns:mc="http://schemas.openxmlformats.org/markup-compatibility/2006">
          <mc:Choice Requires="x14">
            <control shapeId="75037" r:id="rId288" name="Check Box 285">
              <controlPr defaultSize="0" autoFill="0" autoLine="0" autoPict="0" altText="">
                <anchor moveWithCells="1">
                  <from>
                    <xdr:col>179</xdr:col>
                    <xdr:colOff>0</xdr:colOff>
                    <xdr:row>70</xdr:row>
                    <xdr:rowOff>0</xdr:rowOff>
                  </from>
                  <to>
                    <xdr:col>180</xdr:col>
                    <xdr:colOff>7620</xdr:colOff>
                    <xdr:row>71</xdr:row>
                    <xdr:rowOff>0</xdr:rowOff>
                  </to>
                </anchor>
              </controlPr>
            </control>
          </mc:Choice>
        </mc:AlternateContent>
        <mc:AlternateContent xmlns:mc="http://schemas.openxmlformats.org/markup-compatibility/2006">
          <mc:Choice Requires="x14">
            <control shapeId="75038" r:id="rId289" name="Check Box 286">
              <controlPr defaultSize="0" autoFill="0" autoLine="0" autoPict="0" altText="">
                <anchor moveWithCells="1">
                  <from>
                    <xdr:col>165</xdr:col>
                    <xdr:colOff>0</xdr:colOff>
                    <xdr:row>71</xdr:row>
                    <xdr:rowOff>0</xdr:rowOff>
                  </from>
                  <to>
                    <xdr:col>166</xdr:col>
                    <xdr:colOff>7620</xdr:colOff>
                    <xdr:row>72</xdr:row>
                    <xdr:rowOff>0</xdr:rowOff>
                  </to>
                </anchor>
              </controlPr>
            </control>
          </mc:Choice>
        </mc:AlternateContent>
        <mc:AlternateContent xmlns:mc="http://schemas.openxmlformats.org/markup-compatibility/2006">
          <mc:Choice Requires="x14">
            <control shapeId="75039" r:id="rId290" name="Check Box 287">
              <controlPr defaultSize="0" autoFill="0" autoLine="0" autoPict="0" altText="">
                <anchor moveWithCells="1">
                  <from>
                    <xdr:col>171</xdr:col>
                    <xdr:colOff>182880</xdr:colOff>
                    <xdr:row>71</xdr:row>
                    <xdr:rowOff>0</xdr:rowOff>
                  </from>
                  <to>
                    <xdr:col>173</xdr:col>
                    <xdr:colOff>7620</xdr:colOff>
                    <xdr:row>72</xdr:row>
                    <xdr:rowOff>0</xdr:rowOff>
                  </to>
                </anchor>
              </controlPr>
            </control>
          </mc:Choice>
        </mc:AlternateContent>
        <mc:AlternateContent xmlns:mc="http://schemas.openxmlformats.org/markup-compatibility/2006">
          <mc:Choice Requires="x14">
            <control shapeId="75040" r:id="rId291" name="Check Box 288">
              <controlPr defaultSize="0" autoFill="0" autoLine="0" autoPict="0" altText="">
                <anchor moveWithCells="1">
                  <from>
                    <xdr:col>178</xdr:col>
                    <xdr:colOff>182880</xdr:colOff>
                    <xdr:row>71</xdr:row>
                    <xdr:rowOff>0</xdr:rowOff>
                  </from>
                  <to>
                    <xdr:col>180</xdr:col>
                    <xdr:colOff>7620</xdr:colOff>
                    <xdr:row>72</xdr:row>
                    <xdr:rowOff>0</xdr:rowOff>
                  </to>
                </anchor>
              </controlPr>
            </control>
          </mc:Choice>
        </mc:AlternateContent>
        <mc:AlternateContent xmlns:mc="http://schemas.openxmlformats.org/markup-compatibility/2006">
          <mc:Choice Requires="x14">
            <control shapeId="75041" r:id="rId292" name="Check Box 289">
              <controlPr defaultSize="0" autoFill="0" autoLine="0" autoPict="0" altText="">
                <anchor moveWithCells="1">
                  <from>
                    <xdr:col>185</xdr:col>
                    <xdr:colOff>182880</xdr:colOff>
                    <xdr:row>71</xdr:row>
                    <xdr:rowOff>0</xdr:rowOff>
                  </from>
                  <to>
                    <xdr:col>187</xdr:col>
                    <xdr:colOff>7620</xdr:colOff>
                    <xdr:row>72</xdr:row>
                    <xdr:rowOff>0</xdr:rowOff>
                  </to>
                </anchor>
              </controlPr>
            </control>
          </mc:Choice>
        </mc:AlternateContent>
        <mc:AlternateContent xmlns:mc="http://schemas.openxmlformats.org/markup-compatibility/2006">
          <mc:Choice Requires="x14">
            <control shapeId="75042" r:id="rId293" name="Check Box 290">
              <controlPr defaultSize="0" autoFill="0" autoLine="0" autoPict="0" altText="">
                <anchor moveWithCells="1">
                  <from>
                    <xdr:col>165</xdr:col>
                    <xdr:colOff>0</xdr:colOff>
                    <xdr:row>40</xdr:row>
                    <xdr:rowOff>228600</xdr:rowOff>
                  </from>
                  <to>
                    <xdr:col>166</xdr:col>
                    <xdr:colOff>7620</xdr:colOff>
                    <xdr:row>42</xdr:row>
                    <xdr:rowOff>0</xdr:rowOff>
                  </to>
                </anchor>
              </controlPr>
            </control>
          </mc:Choice>
        </mc:AlternateContent>
        <mc:AlternateContent xmlns:mc="http://schemas.openxmlformats.org/markup-compatibility/2006">
          <mc:Choice Requires="x14">
            <control shapeId="75043" r:id="rId294" name="Check Box 291">
              <controlPr defaultSize="0" autoFill="0" autoLine="0" autoPict="0" altText="">
                <anchor moveWithCells="1">
                  <from>
                    <xdr:col>170</xdr:col>
                    <xdr:colOff>182880</xdr:colOff>
                    <xdr:row>40</xdr:row>
                    <xdr:rowOff>228600</xdr:rowOff>
                  </from>
                  <to>
                    <xdr:col>172</xdr:col>
                    <xdr:colOff>7620</xdr:colOff>
                    <xdr:row>42</xdr:row>
                    <xdr:rowOff>0</xdr:rowOff>
                  </to>
                </anchor>
              </controlPr>
            </control>
          </mc:Choice>
        </mc:AlternateContent>
        <mc:AlternateContent xmlns:mc="http://schemas.openxmlformats.org/markup-compatibility/2006">
          <mc:Choice Requires="x14">
            <control shapeId="75044" r:id="rId295" name="Check Box 292">
              <controlPr defaultSize="0" autoFill="0" autoLine="0" autoPict="0" altText="">
                <anchor moveWithCells="1">
                  <from>
                    <xdr:col>165</xdr:col>
                    <xdr:colOff>0</xdr:colOff>
                    <xdr:row>52</xdr:row>
                    <xdr:rowOff>228600</xdr:rowOff>
                  </from>
                  <to>
                    <xdr:col>166</xdr:col>
                    <xdr:colOff>7620</xdr:colOff>
                    <xdr:row>54</xdr:row>
                    <xdr:rowOff>0</xdr:rowOff>
                  </to>
                </anchor>
              </controlPr>
            </control>
          </mc:Choice>
        </mc:AlternateContent>
        <mc:AlternateContent xmlns:mc="http://schemas.openxmlformats.org/markup-compatibility/2006">
          <mc:Choice Requires="x14">
            <control shapeId="75045" r:id="rId296" name="Check Box 293">
              <controlPr defaultSize="0" autoFill="0" autoLine="0" autoPict="0" altText="">
                <anchor moveWithCells="1">
                  <from>
                    <xdr:col>170</xdr:col>
                    <xdr:colOff>182880</xdr:colOff>
                    <xdr:row>52</xdr:row>
                    <xdr:rowOff>228600</xdr:rowOff>
                  </from>
                  <to>
                    <xdr:col>172</xdr:col>
                    <xdr:colOff>7620</xdr:colOff>
                    <xdr:row>54</xdr:row>
                    <xdr:rowOff>0</xdr:rowOff>
                  </to>
                </anchor>
              </controlPr>
            </control>
          </mc:Choice>
        </mc:AlternateContent>
        <mc:AlternateContent xmlns:mc="http://schemas.openxmlformats.org/markup-compatibility/2006">
          <mc:Choice Requires="x14">
            <control shapeId="75046" r:id="rId297" name="Check Box 294">
              <controlPr defaultSize="0" autoFill="0" autoLine="0" autoPict="0" altText="">
                <anchor moveWithCells="1">
                  <from>
                    <xdr:col>165</xdr:col>
                    <xdr:colOff>0</xdr:colOff>
                    <xdr:row>64</xdr:row>
                    <xdr:rowOff>228600</xdr:rowOff>
                  </from>
                  <to>
                    <xdr:col>166</xdr:col>
                    <xdr:colOff>7620</xdr:colOff>
                    <xdr:row>66</xdr:row>
                    <xdr:rowOff>0</xdr:rowOff>
                  </to>
                </anchor>
              </controlPr>
            </control>
          </mc:Choice>
        </mc:AlternateContent>
        <mc:AlternateContent xmlns:mc="http://schemas.openxmlformats.org/markup-compatibility/2006">
          <mc:Choice Requires="x14">
            <control shapeId="75047" r:id="rId298" name="Check Box 295">
              <controlPr defaultSize="0" autoFill="0" autoLine="0" autoPict="0" altText="">
                <anchor moveWithCells="1">
                  <from>
                    <xdr:col>170</xdr:col>
                    <xdr:colOff>182880</xdr:colOff>
                    <xdr:row>64</xdr:row>
                    <xdr:rowOff>228600</xdr:rowOff>
                  </from>
                  <to>
                    <xdr:col>172</xdr:col>
                    <xdr:colOff>7620</xdr:colOff>
                    <xdr:row>66</xdr:row>
                    <xdr:rowOff>0</xdr:rowOff>
                  </to>
                </anchor>
              </controlPr>
            </control>
          </mc:Choice>
        </mc:AlternateContent>
        <mc:AlternateContent xmlns:mc="http://schemas.openxmlformats.org/markup-compatibility/2006">
          <mc:Choice Requires="x14">
            <control shapeId="75048" r:id="rId299" name="Check Box 296">
              <controlPr defaultSize="0" autoFill="0" autoLine="0" autoPict="0" altText="">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C637232-6024-4EA0-8E8D-8971222C0B9F}">
          <x14:formula1>
            <xm:f>用途番号用!$A$2:$A$33</xm:f>
          </x14:formula1>
          <xm:sqref>J7:R7 BJ7:BR7 DJ7:DR7 FJ7:FR7</xm:sqref>
        </x14:dataValidation>
        <x14:dataValidation type="list" allowBlank="1" showInputMessage="1" showErrorMessage="1" xr:uid="{BC8013DC-3B8F-4B4C-8076-E41D2B7DE625}">
          <x14:formula1>
            <xm:f>用途番号用!$C$2:$C$7</xm:f>
          </x14:formula1>
          <xm:sqref>J14:AJ15 BJ14:CJ15 DJ14:EJ15 FJ14:GJ15</xm:sqref>
        </x14:dataValidation>
        <x14:dataValidation type="list" operator="greaterThan" allowBlank="1" showInputMessage="1" showErrorMessage="1" xr:uid="{B2819DCC-EE91-4160-807F-76E7B7B7266A}">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ED1C5BE-8C22-4CA0-A0C3-072157CAB74B}">
          <x14:formula1>
            <xm:f>用途番号用!$B$2:$B$73</xm:f>
          </x14:formula1>
          <xm:sqref>J12:AJ12 BJ12:CJ12 DJ12:EJ12 FJ12:GJ12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73"/>
  <sheetViews>
    <sheetView workbookViewId="0">
      <selection activeCell="J7" sqref="J7"/>
    </sheetView>
  </sheetViews>
  <sheetFormatPr defaultColWidth="9" defaultRowHeight="13.2"/>
  <cols>
    <col min="1" max="1" width="9" style="386" customWidth="1"/>
    <col min="2" max="16384" width="9" style="386"/>
  </cols>
  <sheetData>
    <row r="1" spans="1:3">
      <c r="A1" s="386" t="s">
        <v>38</v>
      </c>
      <c r="B1" s="386" t="s">
        <v>2438</v>
      </c>
      <c r="C1" s="386" t="s">
        <v>54</v>
      </c>
    </row>
    <row r="2" spans="1:3">
      <c r="A2" s="386" t="s">
        <v>154</v>
      </c>
      <c r="B2" s="386" t="s">
        <v>148</v>
      </c>
      <c r="C2" s="386" t="s">
        <v>154</v>
      </c>
    </row>
    <row r="3" spans="1:3">
      <c r="A3" s="386" t="s">
        <v>165</v>
      </c>
      <c r="B3" s="386" t="s">
        <v>157</v>
      </c>
      <c r="C3" s="386" t="s">
        <v>165</v>
      </c>
    </row>
    <row r="4" spans="1:3">
      <c r="A4" s="386">
        <v>10</v>
      </c>
      <c r="B4" s="386" t="s">
        <v>168</v>
      </c>
      <c r="C4" s="386" t="s">
        <v>176</v>
      </c>
    </row>
    <row r="5" spans="1:3">
      <c r="A5" s="386">
        <v>11</v>
      </c>
      <c r="B5" s="386" t="s">
        <v>178</v>
      </c>
      <c r="C5" s="386" t="s">
        <v>185</v>
      </c>
    </row>
    <row r="6" spans="1:3">
      <c r="A6" s="386">
        <v>12</v>
      </c>
      <c r="B6" s="386" t="s">
        <v>188</v>
      </c>
      <c r="C6" s="386" t="s">
        <v>195</v>
      </c>
    </row>
    <row r="7" spans="1:3">
      <c r="A7" s="386">
        <v>13</v>
      </c>
      <c r="B7" s="386" t="s">
        <v>204</v>
      </c>
      <c r="C7" s="386" t="s">
        <v>3162</v>
      </c>
    </row>
    <row r="8" spans="1:3">
      <c r="A8" s="386">
        <v>14</v>
      </c>
      <c r="B8" s="386" t="s">
        <v>209</v>
      </c>
    </row>
    <row r="9" spans="1:3">
      <c r="A9" s="386">
        <v>15</v>
      </c>
      <c r="B9" s="386" t="s">
        <v>3165</v>
      </c>
    </row>
    <row r="10" spans="1:3">
      <c r="A10" s="386">
        <v>16</v>
      </c>
      <c r="B10" s="386" t="s">
        <v>212</v>
      </c>
    </row>
    <row r="11" spans="1:3">
      <c r="A11" s="386">
        <v>17</v>
      </c>
      <c r="B11" s="386" t="s">
        <v>215</v>
      </c>
    </row>
    <row r="12" spans="1:3">
      <c r="A12" s="386">
        <v>18</v>
      </c>
      <c r="B12" s="386" t="s">
        <v>218</v>
      </c>
    </row>
    <row r="13" spans="1:3">
      <c r="A13" s="386">
        <v>19</v>
      </c>
      <c r="B13" s="386" t="s">
        <v>221</v>
      </c>
    </row>
    <row r="14" spans="1:3">
      <c r="A14" s="386">
        <v>20</v>
      </c>
      <c r="B14" s="386" t="s">
        <v>224</v>
      </c>
    </row>
    <row r="15" spans="1:3">
      <c r="A15" s="386">
        <v>21</v>
      </c>
      <c r="B15" s="386" t="s">
        <v>3174</v>
      </c>
    </row>
    <row r="16" spans="1:3">
      <c r="A16" s="386">
        <v>22</v>
      </c>
      <c r="B16" s="386" t="s">
        <v>227</v>
      </c>
    </row>
    <row r="17" spans="1:2">
      <c r="A17" s="386">
        <v>23</v>
      </c>
      <c r="B17" s="386" t="s">
        <v>230</v>
      </c>
    </row>
    <row r="18" spans="1:2">
      <c r="A18" s="386">
        <v>24</v>
      </c>
      <c r="B18" s="386" t="s">
        <v>3178</v>
      </c>
    </row>
    <row r="19" spans="1:2">
      <c r="A19" s="386">
        <v>30</v>
      </c>
      <c r="B19" s="386" t="s">
        <v>233</v>
      </c>
    </row>
    <row r="20" spans="1:2">
      <c r="A20" s="386">
        <v>31</v>
      </c>
      <c r="B20" s="386" t="s">
        <v>236</v>
      </c>
    </row>
    <row r="21" spans="1:2">
      <c r="A21" s="386">
        <v>32</v>
      </c>
      <c r="B21" s="386" t="s">
        <v>239</v>
      </c>
    </row>
    <row r="22" spans="1:2">
      <c r="A22" s="386">
        <v>33</v>
      </c>
      <c r="B22" s="386" t="s">
        <v>242</v>
      </c>
    </row>
    <row r="23" spans="1:2">
      <c r="A23" s="386">
        <v>34</v>
      </c>
      <c r="B23" s="386" t="s">
        <v>3182</v>
      </c>
    </row>
    <row r="24" spans="1:2">
      <c r="A24" s="386">
        <v>35</v>
      </c>
      <c r="B24" s="386" t="s">
        <v>245</v>
      </c>
    </row>
    <row r="25" spans="1:2">
      <c r="A25" s="386">
        <v>36</v>
      </c>
      <c r="B25" s="386" t="s">
        <v>248</v>
      </c>
    </row>
    <row r="26" spans="1:2">
      <c r="A26" s="386">
        <v>37</v>
      </c>
      <c r="B26" s="386" t="s">
        <v>251</v>
      </c>
    </row>
    <row r="27" spans="1:2">
      <c r="A27" s="386">
        <v>38</v>
      </c>
      <c r="B27" s="386" t="s">
        <v>254</v>
      </c>
    </row>
    <row r="28" spans="1:2">
      <c r="A28" s="386">
        <v>39</v>
      </c>
      <c r="B28" s="386" t="s">
        <v>257</v>
      </c>
    </row>
    <row r="29" spans="1:2">
      <c r="A29" s="386">
        <v>40</v>
      </c>
      <c r="B29" s="386" t="s">
        <v>260</v>
      </c>
    </row>
    <row r="30" spans="1:2">
      <c r="A30" s="386">
        <v>41</v>
      </c>
      <c r="B30" s="386" t="s">
        <v>263</v>
      </c>
    </row>
    <row r="31" spans="1:2">
      <c r="A31" s="386">
        <v>42</v>
      </c>
      <c r="B31" s="386" t="s">
        <v>266</v>
      </c>
    </row>
    <row r="32" spans="1:2">
      <c r="A32" s="386">
        <v>43</v>
      </c>
      <c r="B32" s="386" t="s">
        <v>269</v>
      </c>
    </row>
    <row r="33" spans="1:2">
      <c r="A33" s="386">
        <v>44</v>
      </c>
      <c r="B33" s="386" t="s">
        <v>272</v>
      </c>
    </row>
    <row r="34" spans="1:2">
      <c r="B34" s="386" t="s">
        <v>275</v>
      </c>
    </row>
    <row r="35" spans="1:2">
      <c r="B35" s="386" t="s">
        <v>278</v>
      </c>
    </row>
    <row r="36" spans="1:2">
      <c r="B36" s="386" t="s">
        <v>281</v>
      </c>
    </row>
    <row r="37" spans="1:2">
      <c r="B37" s="386" t="s">
        <v>284</v>
      </c>
    </row>
    <row r="38" spans="1:2">
      <c r="B38" s="386" t="s">
        <v>287</v>
      </c>
    </row>
    <row r="39" spans="1:2">
      <c r="B39" s="386" t="s">
        <v>290</v>
      </c>
    </row>
    <row r="40" spans="1:2">
      <c r="B40" s="386" t="s">
        <v>293</v>
      </c>
    </row>
    <row r="41" spans="1:2">
      <c r="B41" s="386" t="s">
        <v>296</v>
      </c>
    </row>
    <row r="42" spans="1:2">
      <c r="B42" s="386" t="s">
        <v>299</v>
      </c>
    </row>
    <row r="43" spans="1:2">
      <c r="B43" s="386" t="s">
        <v>302</v>
      </c>
    </row>
    <row r="44" spans="1:2">
      <c r="B44" s="386" t="s">
        <v>305</v>
      </c>
    </row>
    <row r="45" spans="1:2">
      <c r="B45" s="386" t="s">
        <v>308</v>
      </c>
    </row>
    <row r="46" spans="1:2">
      <c r="B46" s="386" t="s">
        <v>311</v>
      </c>
    </row>
    <row r="47" spans="1:2">
      <c r="B47" s="386" t="s">
        <v>314</v>
      </c>
    </row>
    <row r="48" spans="1:2">
      <c r="B48" s="386" t="s">
        <v>317</v>
      </c>
    </row>
    <row r="49" spans="2:2">
      <c r="B49" s="386" t="s">
        <v>320</v>
      </c>
    </row>
    <row r="50" spans="2:2">
      <c r="B50" s="386" t="s">
        <v>323</v>
      </c>
    </row>
    <row r="51" spans="2:2">
      <c r="B51" s="386" t="s">
        <v>326</v>
      </c>
    </row>
    <row r="52" spans="2:2">
      <c r="B52" s="386" t="s">
        <v>328</v>
      </c>
    </row>
    <row r="53" spans="2:2">
      <c r="B53" s="386" t="s">
        <v>330</v>
      </c>
    </row>
    <row r="54" spans="2:2">
      <c r="B54" s="386" t="s">
        <v>332</v>
      </c>
    </row>
    <row r="55" spans="2:2">
      <c r="B55" s="386" t="s">
        <v>334</v>
      </c>
    </row>
    <row r="56" spans="2:2">
      <c r="B56" s="386" t="s">
        <v>336</v>
      </c>
    </row>
    <row r="57" spans="2:2">
      <c r="B57" s="386" t="s">
        <v>338</v>
      </c>
    </row>
    <row r="58" spans="2:2">
      <c r="B58" s="386" t="s">
        <v>340</v>
      </c>
    </row>
    <row r="59" spans="2:2">
      <c r="B59" s="386" t="s">
        <v>342</v>
      </c>
    </row>
    <row r="60" spans="2:2">
      <c r="B60" s="386" t="s">
        <v>344</v>
      </c>
    </row>
    <row r="61" spans="2:2">
      <c r="B61" s="386" t="s">
        <v>346</v>
      </c>
    </row>
    <row r="62" spans="2:2">
      <c r="B62" s="386" t="s">
        <v>348</v>
      </c>
    </row>
    <row r="63" spans="2:2">
      <c r="B63" s="386" t="s">
        <v>350</v>
      </c>
    </row>
    <row r="64" spans="2:2">
      <c r="B64" s="386" t="s">
        <v>352</v>
      </c>
    </row>
    <row r="65" spans="2:2">
      <c r="B65" s="386" t="s">
        <v>354</v>
      </c>
    </row>
    <row r="66" spans="2:2">
      <c r="B66" s="386" t="s">
        <v>356</v>
      </c>
    </row>
    <row r="67" spans="2:2">
      <c r="B67" s="386" t="s">
        <v>358</v>
      </c>
    </row>
    <row r="68" spans="2:2">
      <c r="B68" s="386" t="s">
        <v>360</v>
      </c>
    </row>
    <row r="69" spans="2:2">
      <c r="B69" s="386" t="s">
        <v>362</v>
      </c>
    </row>
    <row r="70" spans="2:2">
      <c r="B70" s="386" t="s">
        <v>3192</v>
      </c>
    </row>
    <row r="71" spans="2:2">
      <c r="B71" s="386" t="s">
        <v>3194</v>
      </c>
    </row>
    <row r="72" spans="2:2">
      <c r="B72" s="386" t="s">
        <v>3196</v>
      </c>
    </row>
    <row r="73" spans="2:2">
      <c r="B73" s="386" t="s">
        <v>364</v>
      </c>
    </row>
  </sheetData>
  <phoneticPr fontId="122"/>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J45"/>
  <sheetViews>
    <sheetView zoomScaleNormal="100" zoomScaleSheetLayoutView="100" workbookViewId="0">
      <selection activeCell="AJ1" sqref="AJ1"/>
    </sheetView>
  </sheetViews>
  <sheetFormatPr defaultColWidth="2.33203125" defaultRowHeight="18" customHeight="1"/>
  <cols>
    <col min="1" max="1" width="2.33203125" style="457" customWidth="1"/>
    <col min="2" max="16384" width="2.33203125" style="457"/>
  </cols>
  <sheetData>
    <row r="1" spans="1:35" ht="18" customHeight="1">
      <c r="A1" s="457" t="s">
        <v>3270</v>
      </c>
    </row>
    <row r="3" spans="1:35" ht="18" customHeight="1">
      <c r="A3" s="1706" t="s">
        <v>3269</v>
      </c>
      <c r="B3" s="1706"/>
      <c r="C3" s="1706"/>
      <c r="D3" s="1706"/>
      <c r="E3" s="1706"/>
      <c r="F3" s="1706"/>
      <c r="G3" s="1706"/>
      <c r="H3" s="1706"/>
      <c r="I3" s="1706"/>
      <c r="J3" s="1706"/>
      <c r="K3" s="1706"/>
      <c r="L3" s="1706"/>
      <c r="M3" s="1706"/>
      <c r="N3" s="1706"/>
      <c r="O3" s="1706"/>
      <c r="P3" s="1706"/>
      <c r="Q3" s="1706"/>
      <c r="R3" s="1706"/>
      <c r="S3" s="1706"/>
      <c r="T3" s="1706"/>
      <c r="U3" s="1706"/>
      <c r="V3" s="1706"/>
      <c r="W3" s="1706"/>
      <c r="X3" s="1706"/>
      <c r="Y3" s="1706"/>
      <c r="Z3" s="1706"/>
      <c r="AA3" s="1706"/>
      <c r="AB3" s="1706"/>
      <c r="AC3" s="1706"/>
      <c r="AD3" s="1706"/>
      <c r="AE3" s="1706"/>
      <c r="AF3" s="1706"/>
      <c r="AG3" s="1706"/>
      <c r="AH3" s="1706"/>
      <c r="AI3" s="1706"/>
    </row>
    <row r="4" spans="1:35" ht="18" customHeight="1">
      <c r="A4" s="1707"/>
      <c r="B4" s="1707"/>
      <c r="C4" s="1707"/>
      <c r="D4" s="1707"/>
      <c r="E4" s="1707"/>
      <c r="F4" s="1707"/>
      <c r="G4" s="1707"/>
      <c r="H4" s="1707"/>
      <c r="I4" s="1707"/>
      <c r="J4" s="1707"/>
      <c r="K4" s="1707"/>
      <c r="L4" s="1707"/>
      <c r="M4" s="1707"/>
      <c r="N4" s="1707"/>
      <c r="O4" s="1707"/>
      <c r="P4" s="1707"/>
      <c r="Q4" s="1707"/>
      <c r="R4" s="1707"/>
      <c r="S4" s="1707"/>
      <c r="T4" s="1707"/>
      <c r="U4" s="1707"/>
      <c r="V4" s="1707"/>
      <c r="W4" s="1707"/>
      <c r="X4" s="1707"/>
      <c r="Y4" s="1707"/>
      <c r="Z4" s="1707"/>
      <c r="AA4" s="1707"/>
      <c r="AB4" s="1707"/>
      <c r="AC4" s="1707"/>
      <c r="AD4" s="1707"/>
      <c r="AE4" s="1707"/>
      <c r="AF4" s="1707"/>
      <c r="AG4" s="1707"/>
      <c r="AH4" s="1707"/>
      <c r="AI4" s="1707"/>
    </row>
    <row r="5" spans="1:35" ht="18" customHeight="1">
      <c r="Y5" s="1709" t="s">
        <v>3268</v>
      </c>
      <c r="Z5" s="1709"/>
      <c r="AA5" s="1709"/>
      <c r="AB5" s="1709"/>
      <c r="AC5" s="1709"/>
      <c r="AD5" s="1709"/>
      <c r="AE5" s="1709"/>
      <c r="AF5" s="1709"/>
      <c r="AG5" s="1709"/>
      <c r="AH5" s="1709"/>
      <c r="AI5" s="1709"/>
    </row>
    <row r="6" spans="1:35" ht="18" customHeight="1">
      <c r="A6" s="457" t="s">
        <v>3267</v>
      </c>
    </row>
    <row r="8" spans="1:35" ht="18" customHeight="1">
      <c r="S8" s="524"/>
      <c r="U8" s="526"/>
      <c r="V8" s="526"/>
      <c r="W8" s="526"/>
      <c r="X8" s="526"/>
      <c r="Y8" s="526"/>
      <c r="Z8" s="526"/>
      <c r="AA8" s="526"/>
      <c r="AB8" s="526"/>
      <c r="AC8" s="526"/>
      <c r="AD8" s="526"/>
      <c r="AE8" s="526"/>
      <c r="AF8" s="526"/>
      <c r="AG8" s="526"/>
      <c r="AH8" s="526"/>
    </row>
    <row r="9" spans="1:35" ht="18" customHeight="1">
      <c r="AI9" s="524"/>
    </row>
    <row r="10" spans="1:35" ht="18" customHeight="1">
      <c r="S10" s="524" t="s">
        <v>3266</v>
      </c>
      <c r="U10" s="1708" t="str">
        <f>cst_wskakunin_dairi1_JIMU_NAME</f>
        <v>一級建築士事務所　UHEC</v>
      </c>
      <c r="V10" s="1708"/>
      <c r="W10" s="1708"/>
      <c r="X10" s="1708"/>
      <c r="Y10" s="1708"/>
      <c r="Z10" s="1708"/>
      <c r="AA10" s="1708"/>
      <c r="AB10" s="1708"/>
      <c r="AC10" s="1708"/>
      <c r="AD10" s="1708"/>
      <c r="AE10" s="1708"/>
      <c r="AF10" s="1708"/>
      <c r="AG10" s="1708"/>
      <c r="AH10" s="1708"/>
      <c r="AI10" s="524"/>
    </row>
    <row r="11" spans="1:35" ht="18" customHeight="1">
      <c r="S11" s="524"/>
      <c r="U11" s="1708" t="str">
        <f>cst_wskakunin_dairi1_NAME</f>
        <v>藤田　ゆき子</v>
      </c>
      <c r="V11" s="1708"/>
      <c r="W11" s="1708"/>
      <c r="X11" s="1708"/>
      <c r="Y11" s="1708"/>
      <c r="Z11" s="1708"/>
      <c r="AA11" s="1708"/>
      <c r="AB11" s="1708"/>
      <c r="AC11" s="1708"/>
      <c r="AD11" s="1708"/>
      <c r="AE11" s="1708"/>
      <c r="AF11" s="1708"/>
      <c r="AG11" s="1708"/>
      <c r="AH11" s="1708"/>
      <c r="AI11" s="524"/>
    </row>
    <row r="12" spans="1:35" ht="18" customHeight="1">
      <c r="S12" s="524"/>
      <c r="U12" s="525"/>
      <c r="V12" s="525"/>
      <c r="W12" s="525"/>
      <c r="X12" s="525"/>
      <c r="Y12" s="525"/>
      <c r="Z12" s="525"/>
      <c r="AA12" s="525"/>
      <c r="AB12" s="525"/>
      <c r="AC12" s="525"/>
      <c r="AD12" s="525"/>
      <c r="AE12" s="525"/>
      <c r="AF12" s="525"/>
      <c r="AG12" s="525"/>
      <c r="AH12" s="525"/>
      <c r="AI12" s="524"/>
    </row>
    <row r="13" spans="1:35" ht="18" customHeight="1">
      <c r="S13" s="524"/>
      <c r="U13" s="525"/>
      <c r="V13" s="525"/>
      <c r="W13" s="525"/>
      <c r="X13" s="525"/>
      <c r="Y13" s="525"/>
      <c r="Z13" s="525"/>
      <c r="AA13" s="525"/>
      <c r="AB13" s="525"/>
      <c r="AC13" s="525"/>
      <c r="AD13" s="525"/>
      <c r="AE13" s="525"/>
      <c r="AF13" s="525"/>
      <c r="AG13" s="525"/>
      <c r="AH13" s="525"/>
      <c r="AI13" s="524"/>
    </row>
    <row r="14" spans="1:35" ht="18" customHeight="1">
      <c r="S14" s="524"/>
      <c r="U14" s="525"/>
      <c r="V14" s="525"/>
      <c r="W14" s="525"/>
      <c r="X14" s="525"/>
      <c r="Y14" s="525"/>
      <c r="Z14" s="525"/>
      <c r="AA14" s="525"/>
      <c r="AB14" s="525"/>
      <c r="AC14" s="525"/>
      <c r="AD14" s="525"/>
      <c r="AE14" s="525"/>
      <c r="AF14" s="525"/>
      <c r="AG14" s="525"/>
      <c r="AH14" s="525"/>
      <c r="AI14" s="524"/>
    </row>
    <row r="15" spans="1:35" ht="18" customHeight="1">
      <c r="A15" s="457" t="s">
        <v>3265</v>
      </c>
    </row>
    <row r="16" spans="1:35" ht="18" customHeight="1">
      <c r="A16" s="457" t="s">
        <v>3264</v>
      </c>
    </row>
    <row r="18" spans="1:35" ht="18" customHeight="1">
      <c r="A18" s="1723" t="s">
        <v>3263</v>
      </c>
      <c r="B18" s="1724"/>
      <c r="C18" s="1724"/>
      <c r="D18" s="1724"/>
      <c r="E18" s="1724"/>
      <c r="F18" s="1724"/>
      <c r="G18" s="1724"/>
      <c r="H18" s="1724"/>
      <c r="I18" s="1724"/>
      <c r="J18" s="1731" t="str">
        <f>cst_wskakunin_BUILD_NAME</f>
        <v>テスト新築工事</v>
      </c>
      <c r="K18" s="1732"/>
      <c r="L18" s="1732"/>
      <c r="M18" s="1732"/>
      <c r="N18" s="1732"/>
      <c r="O18" s="1732"/>
      <c r="P18" s="1732"/>
      <c r="Q18" s="1732"/>
      <c r="R18" s="1732"/>
      <c r="S18" s="1732"/>
      <c r="T18" s="1732"/>
      <c r="U18" s="1732"/>
      <c r="V18" s="1732"/>
      <c r="W18" s="1732"/>
      <c r="X18" s="1732"/>
      <c r="Y18" s="1732"/>
      <c r="Z18" s="1732"/>
      <c r="AA18" s="1732"/>
      <c r="AB18" s="1732"/>
      <c r="AC18" s="1732"/>
      <c r="AD18" s="1732"/>
      <c r="AE18" s="1732"/>
      <c r="AF18" s="1732"/>
      <c r="AG18" s="1732"/>
      <c r="AH18" s="1732"/>
      <c r="AI18" s="1733"/>
    </row>
    <row r="19" spans="1:35" ht="25.95" customHeight="1">
      <c r="A19" s="1725" t="s">
        <v>3700</v>
      </c>
      <c r="B19" s="1726"/>
      <c r="C19" s="1726"/>
      <c r="D19" s="1726"/>
      <c r="E19" s="1726"/>
      <c r="F19" s="1726"/>
      <c r="G19" s="1726"/>
      <c r="H19" s="1726"/>
      <c r="I19" s="1726"/>
      <c r="J19" s="1712" t="s">
        <v>2675</v>
      </c>
      <c r="K19" s="1713"/>
      <c r="L19" s="1735" t="str">
        <f>cst_shinsei_HIKIUKE_DATE</f>
        <v/>
      </c>
      <c r="M19" s="1735"/>
      <c r="N19" s="523" t="s">
        <v>380</v>
      </c>
      <c r="O19" s="1718" t="str">
        <f>cst_shinsei_HIKIUKE_DATE</f>
        <v/>
      </c>
      <c r="P19" s="1718"/>
      <c r="Q19" s="495" t="s">
        <v>0</v>
      </c>
      <c r="R19" s="1734" t="str">
        <f>cst_shinsei_HIKIUKE_DATE</f>
        <v/>
      </c>
      <c r="S19" s="1734"/>
      <c r="T19" s="522" t="s">
        <v>3057</v>
      </c>
      <c r="U19" s="1721" t="str">
        <f>cst_shinsei_UKETUKE_NO</f>
        <v/>
      </c>
      <c r="V19" s="1721"/>
      <c r="W19" s="1721"/>
      <c r="X19" s="1721"/>
      <c r="Y19" s="1721"/>
      <c r="Z19" s="1721"/>
      <c r="AA19" s="1721"/>
      <c r="AB19" s="1721"/>
      <c r="AC19" s="1721"/>
      <c r="AD19" s="1721"/>
      <c r="AE19" s="1721"/>
      <c r="AF19" s="1721"/>
      <c r="AG19" s="1721"/>
      <c r="AH19" s="1721"/>
      <c r="AI19" s="1722"/>
    </row>
    <row r="20" spans="1:35" ht="21" customHeight="1">
      <c r="A20" s="1727" t="s">
        <v>3262</v>
      </c>
      <c r="B20" s="1728"/>
      <c r="C20" s="1728"/>
      <c r="D20" s="1728"/>
      <c r="E20" s="1728"/>
      <c r="F20" s="1728"/>
      <c r="G20" s="1728"/>
      <c r="H20" s="1728"/>
      <c r="I20" s="1728"/>
      <c r="J20" s="1714" t="s">
        <v>2675</v>
      </c>
      <c r="K20" s="1715"/>
      <c r="L20" s="1710"/>
      <c r="M20" s="1710"/>
      <c r="N20" s="521" t="s">
        <v>380</v>
      </c>
      <c r="O20" s="1719"/>
      <c r="P20" s="1719"/>
      <c r="Q20" s="520" t="s">
        <v>0</v>
      </c>
      <c r="R20" s="1719"/>
      <c r="S20" s="1719"/>
      <c r="T20" s="518" t="s">
        <v>3057</v>
      </c>
      <c r="U20" s="519"/>
      <c r="V20" s="517"/>
      <c r="W20" s="518"/>
      <c r="X20" s="517"/>
      <c r="Y20" s="1711"/>
      <c r="Z20" s="1711"/>
      <c r="AA20" s="1711"/>
      <c r="AB20" s="1711"/>
      <c r="AC20" s="1711"/>
      <c r="AD20" s="1711"/>
      <c r="AE20" s="1711"/>
      <c r="AF20" s="516"/>
      <c r="AG20" s="516"/>
      <c r="AH20" s="516"/>
      <c r="AI20" s="515"/>
    </row>
    <row r="21" spans="1:35" ht="21" customHeight="1">
      <c r="A21" s="1729" t="s">
        <v>32</v>
      </c>
      <c r="B21" s="1730"/>
      <c r="C21" s="1730"/>
      <c r="D21" s="1730"/>
      <c r="E21" s="1730"/>
      <c r="F21" s="1730"/>
      <c r="G21" s="1730"/>
      <c r="H21" s="1730"/>
      <c r="I21" s="1730"/>
      <c r="J21" s="1731" t="str">
        <f>cst_wskakunin_owner1__space</f>
        <v>株式会社ユーイック不動産　代表取締役社長　野崎　豊</v>
      </c>
      <c r="K21" s="1732"/>
      <c r="L21" s="1732"/>
      <c r="M21" s="1732"/>
      <c r="N21" s="1732"/>
      <c r="O21" s="1732"/>
      <c r="P21" s="1732"/>
      <c r="Q21" s="1732"/>
      <c r="R21" s="1732"/>
      <c r="S21" s="1732"/>
      <c r="T21" s="1732"/>
      <c r="U21" s="1732"/>
      <c r="V21" s="1732"/>
      <c r="W21" s="1732"/>
      <c r="X21" s="1732"/>
      <c r="Y21" s="1732"/>
      <c r="Z21" s="1732"/>
      <c r="AA21" s="1732"/>
      <c r="AB21" s="1732"/>
      <c r="AC21" s="1732"/>
      <c r="AD21" s="1732"/>
      <c r="AE21" s="1732"/>
      <c r="AF21" s="1732"/>
      <c r="AG21" s="1732"/>
      <c r="AH21" s="1732"/>
      <c r="AI21" s="1733"/>
    </row>
    <row r="22" spans="1:35" ht="21" customHeight="1">
      <c r="A22" s="514" t="s">
        <v>3261</v>
      </c>
      <c r="B22" s="506"/>
      <c r="C22" s="506"/>
      <c r="D22" s="506"/>
      <c r="E22" s="506"/>
      <c r="F22" s="506"/>
      <c r="G22" s="506"/>
      <c r="H22" s="506"/>
      <c r="I22" s="506"/>
      <c r="J22" s="506"/>
      <c r="K22" s="506"/>
      <c r="L22" s="506"/>
      <c r="M22" s="513"/>
      <c r="N22" s="507"/>
      <c r="O22" s="512"/>
      <c r="P22" s="511"/>
      <c r="Q22" s="510"/>
      <c r="R22" s="507"/>
      <c r="S22" s="507"/>
      <c r="T22" s="502"/>
      <c r="U22" s="507"/>
      <c r="V22" s="507"/>
      <c r="W22" s="508"/>
      <c r="X22" s="509"/>
      <c r="Y22" s="507"/>
      <c r="Z22" s="508"/>
      <c r="AA22" s="507"/>
      <c r="AB22" s="506"/>
      <c r="AC22" s="505"/>
      <c r="AD22" s="505"/>
      <c r="AE22" s="505"/>
      <c r="AF22" s="505"/>
      <c r="AG22" s="505"/>
      <c r="AH22" s="505"/>
      <c r="AI22" s="501"/>
    </row>
    <row r="23" spans="1:35" ht="18" customHeight="1">
      <c r="A23" s="1716" t="s">
        <v>3260</v>
      </c>
      <c r="B23" s="1717"/>
      <c r="C23" s="504"/>
      <c r="D23" s="503"/>
      <c r="E23" s="503"/>
      <c r="F23" s="502"/>
      <c r="G23" s="502"/>
      <c r="H23" s="502"/>
      <c r="I23" s="502"/>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502"/>
      <c r="AH23" s="502"/>
      <c r="AI23" s="501"/>
    </row>
    <row r="24" spans="1:35" ht="18" customHeight="1">
      <c r="A24" s="1702"/>
      <c r="B24" s="1703"/>
      <c r="C24" s="490"/>
      <c r="D24" s="489"/>
      <c r="E24" s="489"/>
      <c r="AB24" s="500"/>
      <c r="AC24" s="500"/>
      <c r="AD24" s="500"/>
      <c r="AE24" s="500"/>
      <c r="AF24" s="500"/>
      <c r="AG24" s="500"/>
      <c r="AH24" s="500"/>
      <c r="AI24" s="499"/>
    </row>
    <row r="25" spans="1:35" ht="18" customHeight="1">
      <c r="A25" s="1702"/>
      <c r="B25" s="1703"/>
      <c r="C25" s="490"/>
      <c r="D25" s="489"/>
      <c r="E25" s="489"/>
      <c r="AI25" s="484"/>
    </row>
    <row r="26" spans="1:35" ht="18" customHeight="1">
      <c r="A26" s="1702"/>
      <c r="B26" s="1703"/>
      <c r="C26" s="490"/>
      <c r="D26" s="489"/>
      <c r="E26" s="489"/>
      <c r="AI26" s="484"/>
    </row>
    <row r="27" spans="1:35" ht="18" customHeight="1">
      <c r="A27" s="1702"/>
      <c r="B27" s="1703"/>
      <c r="C27" s="490"/>
      <c r="D27" s="489"/>
      <c r="E27" s="489"/>
      <c r="AI27" s="484"/>
    </row>
    <row r="28" spans="1:35" ht="18" customHeight="1">
      <c r="A28" s="1702"/>
      <c r="B28" s="1703"/>
      <c r="C28" s="490"/>
      <c r="D28" s="489"/>
      <c r="E28" s="489"/>
      <c r="AI28" s="484"/>
    </row>
    <row r="29" spans="1:35" ht="18" customHeight="1">
      <c r="A29" s="1702"/>
      <c r="B29" s="1703"/>
      <c r="C29" s="490"/>
      <c r="D29" s="489"/>
      <c r="E29" s="489"/>
      <c r="AI29" s="484"/>
    </row>
    <row r="30" spans="1:35" ht="18" customHeight="1">
      <c r="A30" s="1704"/>
      <c r="B30" s="1705"/>
      <c r="C30" s="498"/>
      <c r="D30" s="497"/>
      <c r="E30" s="497"/>
      <c r="F30" s="496"/>
      <c r="G30" s="496"/>
      <c r="H30" s="496"/>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4"/>
    </row>
    <row r="31" spans="1:35" ht="18" customHeight="1">
      <c r="A31" s="1702" t="s">
        <v>3259</v>
      </c>
      <c r="B31" s="1703"/>
      <c r="C31" s="490"/>
      <c r="D31" s="489"/>
      <c r="E31" s="489"/>
      <c r="F31" s="491"/>
      <c r="G31" s="488"/>
      <c r="H31" s="488"/>
      <c r="I31" s="487"/>
      <c r="J31" s="487"/>
      <c r="K31" s="487"/>
      <c r="L31" s="486"/>
      <c r="M31" s="485"/>
      <c r="N31" s="485"/>
      <c r="O31" s="485"/>
      <c r="P31" s="485"/>
      <c r="Q31" s="485"/>
      <c r="R31" s="485"/>
      <c r="AI31" s="484"/>
    </row>
    <row r="32" spans="1:35" ht="18" customHeight="1">
      <c r="A32" s="1702"/>
      <c r="B32" s="1703"/>
      <c r="C32" s="490"/>
      <c r="D32" s="489"/>
      <c r="E32" s="489"/>
      <c r="F32" s="488"/>
      <c r="G32" s="488"/>
      <c r="H32" s="488"/>
      <c r="I32" s="487"/>
      <c r="J32" s="487"/>
      <c r="K32" s="487"/>
      <c r="L32" s="486"/>
      <c r="M32" s="485"/>
      <c r="N32" s="485"/>
      <c r="O32" s="485"/>
      <c r="P32" s="485"/>
      <c r="Q32" s="485"/>
      <c r="R32" s="485"/>
      <c r="AI32" s="484"/>
    </row>
    <row r="33" spans="1:36" ht="18" customHeight="1">
      <c r="A33" s="1702"/>
      <c r="B33" s="1703"/>
      <c r="C33" s="490"/>
      <c r="D33" s="489"/>
      <c r="E33" s="489"/>
      <c r="I33" s="493"/>
      <c r="J33" s="493"/>
      <c r="K33" s="493"/>
      <c r="L33" s="487"/>
      <c r="M33" s="487"/>
      <c r="N33" s="487"/>
      <c r="O33" s="487"/>
      <c r="P33" s="487"/>
      <c r="Q33" s="487"/>
      <c r="R33" s="487"/>
      <c r="S33" s="487"/>
      <c r="T33" s="487"/>
      <c r="U33" s="487"/>
      <c r="V33" s="487"/>
      <c r="W33" s="487"/>
      <c r="X33" s="487"/>
      <c r="Y33" s="487"/>
      <c r="Z33" s="487"/>
      <c r="AA33" s="487"/>
      <c r="AB33" s="487"/>
      <c r="AC33" s="487"/>
      <c r="AD33" s="487"/>
      <c r="AE33" s="487"/>
      <c r="AF33" s="487"/>
      <c r="AG33" s="487"/>
      <c r="AH33" s="487"/>
      <c r="AI33" s="492"/>
    </row>
    <row r="34" spans="1:36" ht="18" customHeight="1">
      <c r="A34" s="1702"/>
      <c r="B34" s="1703"/>
      <c r="C34" s="490"/>
      <c r="D34" s="489"/>
      <c r="E34" s="489"/>
      <c r="F34" s="491"/>
      <c r="G34" s="488"/>
      <c r="H34" s="488"/>
      <c r="I34" s="487"/>
      <c r="J34" s="487"/>
      <c r="K34" s="487"/>
      <c r="L34" s="486"/>
      <c r="M34" s="485"/>
      <c r="N34" s="485"/>
      <c r="O34" s="485"/>
      <c r="P34" s="485"/>
      <c r="Q34" s="485"/>
      <c r="R34" s="485"/>
      <c r="T34" s="486"/>
      <c r="U34" s="485"/>
      <c r="V34" s="485"/>
      <c r="W34" s="485"/>
      <c r="X34" s="485"/>
      <c r="Y34" s="485"/>
      <c r="Z34" s="485"/>
      <c r="AB34" s="486"/>
      <c r="AC34" s="485"/>
      <c r="AD34" s="485"/>
      <c r="AE34" s="485"/>
      <c r="AF34" s="485"/>
      <c r="AG34" s="485"/>
      <c r="AH34" s="485"/>
      <c r="AI34" s="484"/>
    </row>
    <row r="35" spans="1:36" ht="18" customHeight="1">
      <c r="A35" s="1702"/>
      <c r="B35" s="1703"/>
      <c r="C35" s="490"/>
      <c r="D35" s="489"/>
      <c r="E35" s="489"/>
      <c r="F35" s="488"/>
      <c r="G35" s="488"/>
      <c r="H35" s="488"/>
      <c r="I35" s="487"/>
      <c r="J35" s="487"/>
      <c r="K35" s="487"/>
      <c r="L35" s="486"/>
      <c r="M35" s="485"/>
      <c r="N35" s="485"/>
      <c r="O35" s="485"/>
      <c r="P35" s="485"/>
      <c r="Q35" s="485"/>
      <c r="R35" s="485"/>
      <c r="T35" s="486"/>
      <c r="U35" s="485"/>
      <c r="V35" s="485"/>
      <c r="W35" s="485"/>
      <c r="X35" s="485"/>
      <c r="Y35" s="485"/>
      <c r="Z35" s="485"/>
      <c r="AB35" s="486"/>
      <c r="AC35" s="485"/>
      <c r="AD35" s="485"/>
      <c r="AE35" s="485"/>
      <c r="AF35" s="485"/>
      <c r="AG35" s="485"/>
      <c r="AH35" s="485"/>
      <c r="AI35" s="484"/>
    </row>
    <row r="36" spans="1:36" ht="18" customHeight="1">
      <c r="A36" s="1704"/>
      <c r="B36" s="1705"/>
      <c r="C36" s="483"/>
      <c r="D36" s="482"/>
      <c r="E36" s="482"/>
      <c r="F36" s="482"/>
      <c r="G36" s="482"/>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1"/>
    </row>
    <row r="37" spans="1:36" ht="6" customHeight="1"/>
    <row r="38" spans="1:36" ht="18" customHeight="1">
      <c r="A38" s="480" t="s">
        <v>3258</v>
      </c>
      <c r="B38" s="479"/>
      <c r="C38" s="479"/>
      <c r="D38" s="479"/>
      <c r="E38" s="479"/>
      <c r="F38" s="479"/>
      <c r="G38" s="479"/>
      <c r="H38" s="479"/>
      <c r="I38" s="479"/>
      <c r="J38" s="479"/>
      <c r="K38" s="478"/>
      <c r="L38" s="1699" t="s">
        <v>3257</v>
      </c>
      <c r="M38" s="1700"/>
      <c r="N38" s="1700"/>
      <c r="O38" s="1700"/>
      <c r="P38" s="1700"/>
      <c r="Q38" s="1700"/>
      <c r="R38" s="1700"/>
      <c r="S38" s="1700"/>
      <c r="T38" s="1700"/>
      <c r="U38" s="1700"/>
      <c r="V38" s="1700"/>
      <c r="W38" s="1700"/>
      <c r="X38" s="1700"/>
      <c r="Y38" s="1700"/>
      <c r="Z38" s="1700"/>
      <c r="AA38" s="1700"/>
      <c r="AB38" s="1700"/>
      <c r="AC38" s="1700"/>
      <c r="AD38" s="1700"/>
      <c r="AE38" s="1700"/>
      <c r="AF38" s="1700"/>
      <c r="AG38" s="1700"/>
      <c r="AH38" s="1700"/>
      <c r="AI38" s="1701"/>
    </row>
    <row r="39" spans="1:36" ht="18" customHeight="1">
      <c r="A39" s="477" t="s">
        <v>3256</v>
      </c>
      <c r="B39" s="476"/>
      <c r="C39" s="476"/>
      <c r="D39" s="476"/>
      <c r="E39" s="476"/>
      <c r="F39" s="476"/>
      <c r="G39" s="476"/>
      <c r="H39" s="476"/>
      <c r="I39" s="476"/>
      <c r="J39" s="476"/>
      <c r="K39" s="475"/>
      <c r="L39" s="474"/>
      <c r="M39" s="473"/>
      <c r="N39" s="473"/>
      <c r="O39" s="473"/>
      <c r="P39" s="473"/>
      <c r="Q39" s="473"/>
      <c r="R39" s="473"/>
      <c r="S39" s="473"/>
      <c r="T39" s="473"/>
      <c r="U39" s="472"/>
      <c r="V39" s="472"/>
      <c r="W39" s="472"/>
      <c r="X39" s="472"/>
      <c r="Y39" s="472"/>
      <c r="Z39" s="472"/>
      <c r="AA39" s="472"/>
      <c r="AB39" s="472"/>
      <c r="AC39" s="472"/>
      <c r="AD39" s="472"/>
      <c r="AE39" s="472"/>
      <c r="AF39" s="472"/>
      <c r="AG39" s="472"/>
      <c r="AH39" s="472"/>
      <c r="AI39" s="471"/>
    </row>
    <row r="40" spans="1:36" ht="18" customHeight="1">
      <c r="A40" s="470" t="s">
        <v>3255</v>
      </c>
      <c r="B40" s="469"/>
      <c r="C40" s="469"/>
      <c r="D40" s="469"/>
      <c r="E40" s="469"/>
      <c r="F40" s="469"/>
      <c r="G40" s="469"/>
      <c r="H40" s="469"/>
      <c r="I40" s="469"/>
      <c r="J40" s="469"/>
      <c r="K40" s="468"/>
      <c r="L40" s="467"/>
      <c r="M40" s="466"/>
      <c r="N40" s="466"/>
      <c r="O40" s="466"/>
      <c r="P40" s="466"/>
      <c r="Q40" s="466"/>
      <c r="R40" s="466"/>
      <c r="S40" s="466"/>
      <c r="T40" s="466"/>
      <c r="U40" s="465"/>
      <c r="V40" s="465"/>
      <c r="W40" s="465"/>
      <c r="X40" s="465"/>
      <c r="Y40" s="465"/>
      <c r="Z40" s="465"/>
      <c r="AA40" s="465"/>
      <c r="AB40" s="465"/>
      <c r="AC40" s="465"/>
      <c r="AD40" s="465"/>
      <c r="AE40" s="465"/>
      <c r="AF40" s="465"/>
      <c r="AG40" s="465"/>
      <c r="AH40" s="465"/>
      <c r="AI40" s="464"/>
    </row>
    <row r="41" spans="1:36" ht="18" customHeight="1">
      <c r="A41" s="463" t="s">
        <v>3254</v>
      </c>
      <c r="B41" s="462"/>
      <c r="C41" s="462"/>
      <c r="D41" s="462"/>
      <c r="E41" s="462"/>
      <c r="F41" s="462"/>
      <c r="G41" s="462"/>
      <c r="H41" s="462"/>
      <c r="I41" s="462"/>
      <c r="J41" s="462"/>
      <c r="K41" s="461"/>
      <c r="L41" s="460"/>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8"/>
    </row>
    <row r="42" spans="1:36" ht="18" customHeight="1">
      <c r="A42" s="457" t="s">
        <v>3253</v>
      </c>
    </row>
    <row r="43" spans="1:36" ht="18" customHeight="1">
      <c r="A43" s="457" t="s">
        <v>2677</v>
      </c>
      <c r="B43" s="457" t="s">
        <v>3252</v>
      </c>
    </row>
    <row r="44" spans="1:36" ht="28.95" customHeight="1">
      <c r="A44" s="1021" t="s">
        <v>2678</v>
      </c>
      <c r="B44" s="1720" t="s">
        <v>3251</v>
      </c>
      <c r="C44" s="1720"/>
      <c r="D44" s="1720"/>
      <c r="E44" s="1720"/>
      <c r="F44" s="1720"/>
      <c r="G44" s="1720"/>
      <c r="H44" s="1720"/>
      <c r="I44" s="1720"/>
      <c r="J44" s="1720"/>
      <c r="K44" s="1720"/>
      <c r="L44" s="1720"/>
      <c r="M44" s="1720"/>
      <c r="N44" s="1720"/>
      <c r="O44" s="1720"/>
      <c r="P44" s="1720"/>
      <c r="Q44" s="1720"/>
      <c r="R44" s="1720"/>
      <c r="S44" s="1720"/>
      <c r="T44" s="1720"/>
      <c r="U44" s="1720"/>
      <c r="V44" s="1720"/>
      <c r="W44" s="1720"/>
      <c r="X44" s="1720"/>
      <c r="Y44" s="1720"/>
      <c r="Z44" s="1720"/>
      <c r="AA44" s="1720"/>
      <c r="AB44" s="1720"/>
      <c r="AC44" s="1720"/>
      <c r="AD44" s="1720"/>
      <c r="AE44" s="1720"/>
      <c r="AF44" s="1720"/>
      <c r="AG44" s="1720"/>
      <c r="AH44" s="1720"/>
      <c r="AI44" s="1720"/>
      <c r="AJ44" s="1022"/>
    </row>
    <row r="45" spans="1:36" ht="18" customHeight="1">
      <c r="A45" s="1021" t="s">
        <v>3107</v>
      </c>
      <c r="B45" s="1698" t="s">
        <v>3250</v>
      </c>
      <c r="C45" s="1698"/>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c r="AB45" s="1698"/>
      <c r="AC45" s="1698"/>
      <c r="AD45" s="1698"/>
      <c r="AE45" s="1698"/>
      <c r="AF45" s="1698"/>
      <c r="AG45" s="1698"/>
      <c r="AH45" s="1698"/>
      <c r="AI45" s="1698"/>
      <c r="AJ45" s="1698"/>
    </row>
  </sheetData>
  <mergeCells count="26">
    <mergeCell ref="U19:AI19"/>
    <mergeCell ref="A18:I18"/>
    <mergeCell ref="A19:I19"/>
    <mergeCell ref="A20:I20"/>
    <mergeCell ref="A21:I21"/>
    <mergeCell ref="J18:AI18"/>
    <mergeCell ref="J21:AI21"/>
    <mergeCell ref="R19:S19"/>
    <mergeCell ref="R20:S20"/>
    <mergeCell ref="L19:M19"/>
    <mergeCell ref="B45:AJ45"/>
    <mergeCell ref="L38:AI38"/>
    <mergeCell ref="A31:B36"/>
    <mergeCell ref="A3:AI3"/>
    <mergeCell ref="A4:AI4"/>
    <mergeCell ref="U11:AH11"/>
    <mergeCell ref="U10:AH10"/>
    <mergeCell ref="Y5:AI5"/>
    <mergeCell ref="L20:M20"/>
    <mergeCell ref="Y20:AE20"/>
    <mergeCell ref="J19:K19"/>
    <mergeCell ref="J20:K20"/>
    <mergeCell ref="A23:B30"/>
    <mergeCell ref="O19:P19"/>
    <mergeCell ref="O20:P20"/>
    <mergeCell ref="B44:AI44"/>
  </mergeCells>
  <phoneticPr fontId="122"/>
  <dataValidations count="1">
    <dataValidation type="list" allowBlank="1" showInputMessage="1" sqref="J19:K20" xr:uid="{00000000-0002-0000-1700-000000000000}">
      <formula1>"令和,平成,　　"</formula1>
    </dataValidation>
  </dataValidations>
  <printOptions horizontalCentered="1"/>
  <pageMargins left="0.98425196850393704" right="0.78740157480314965" top="0.39370078740157483" bottom="0.39370078740157483" header="0.51181102362204722" footer="0.51181102362204722"/>
  <pageSetup paperSize="9" orientation="portrait" blackAndWhite="1" r:id="rId1"/>
  <headerFooter alignWithMargins="0">
    <oddFooter>&amp;R&amp;8 20250401</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J45"/>
  <sheetViews>
    <sheetView zoomScaleNormal="100" zoomScaleSheetLayoutView="100" workbookViewId="0">
      <selection activeCell="AJ1" sqref="AJ1"/>
    </sheetView>
  </sheetViews>
  <sheetFormatPr defaultColWidth="2.33203125" defaultRowHeight="18" customHeight="1"/>
  <cols>
    <col min="1" max="1" width="2.33203125" style="527" customWidth="1"/>
    <col min="2" max="16384" width="2.33203125" style="527"/>
  </cols>
  <sheetData>
    <row r="1" spans="1:35" ht="18" customHeight="1">
      <c r="A1" s="527" t="s">
        <v>3270</v>
      </c>
    </row>
    <row r="3" spans="1:35" ht="18" customHeight="1">
      <c r="A3" s="1759" t="s">
        <v>3269</v>
      </c>
      <c r="B3" s="1759"/>
      <c r="C3" s="1759"/>
      <c r="D3" s="1759"/>
      <c r="E3" s="1759"/>
      <c r="F3" s="1759"/>
      <c r="G3" s="1759"/>
      <c r="H3" s="1759"/>
      <c r="I3" s="1759"/>
      <c r="J3" s="1759"/>
      <c r="K3" s="1759"/>
      <c r="L3" s="1759"/>
      <c r="M3" s="1759"/>
      <c r="N3" s="1759"/>
      <c r="O3" s="1759"/>
      <c r="P3" s="1759"/>
      <c r="Q3" s="1759"/>
      <c r="R3" s="1759"/>
      <c r="S3" s="1759"/>
      <c r="T3" s="1759"/>
      <c r="U3" s="1759"/>
      <c r="V3" s="1759"/>
      <c r="W3" s="1759"/>
      <c r="X3" s="1759"/>
      <c r="Y3" s="1759"/>
      <c r="Z3" s="1759"/>
      <c r="AA3" s="1759"/>
      <c r="AB3" s="1759"/>
      <c r="AC3" s="1759"/>
      <c r="AD3" s="1759"/>
      <c r="AE3" s="1759"/>
      <c r="AF3" s="1759"/>
      <c r="AG3" s="1759"/>
      <c r="AH3" s="1759"/>
      <c r="AI3" s="1759"/>
    </row>
    <row r="4" spans="1:35" ht="18" customHeight="1">
      <c r="A4" s="1759" t="s">
        <v>3277</v>
      </c>
      <c r="B4" s="1759"/>
      <c r="C4" s="1759"/>
      <c r="D4" s="1759"/>
      <c r="E4" s="1759"/>
      <c r="F4" s="1759"/>
      <c r="G4" s="1759"/>
      <c r="H4" s="1759"/>
      <c r="I4" s="1759"/>
      <c r="J4" s="1759"/>
      <c r="K4" s="1759"/>
      <c r="L4" s="1759"/>
      <c r="M4" s="1759"/>
      <c r="N4" s="1759"/>
      <c r="O4" s="1759"/>
      <c r="P4" s="1759"/>
      <c r="Q4" s="1759"/>
      <c r="R4" s="1759"/>
      <c r="S4" s="1759"/>
      <c r="T4" s="1759"/>
      <c r="U4" s="1759"/>
      <c r="V4" s="1759"/>
      <c r="W4" s="1759"/>
      <c r="X4" s="1759"/>
      <c r="Y4" s="1759"/>
      <c r="Z4" s="1759"/>
      <c r="AA4" s="1759"/>
      <c r="AB4" s="1759"/>
      <c r="AC4" s="1759"/>
      <c r="AD4" s="1759"/>
      <c r="AE4" s="1759"/>
      <c r="AF4" s="1759"/>
      <c r="AG4" s="1759"/>
      <c r="AH4" s="1759"/>
      <c r="AI4" s="1759"/>
    </row>
    <row r="5" spans="1:35" ht="18" customHeight="1">
      <c r="Y5" s="1736" t="s">
        <v>3276</v>
      </c>
      <c r="Z5" s="1736"/>
      <c r="AA5" s="1736"/>
      <c r="AB5" s="1736"/>
      <c r="AC5" s="1736"/>
      <c r="AD5" s="1736"/>
      <c r="AE5" s="1736"/>
      <c r="AF5" s="1736"/>
      <c r="AG5" s="1736"/>
      <c r="AH5" s="1736"/>
      <c r="AI5" s="1736"/>
    </row>
    <row r="6" spans="1:35" ht="18" customHeight="1">
      <c r="A6" s="527" t="s">
        <v>3267</v>
      </c>
    </row>
    <row r="8" spans="1:35" ht="18" customHeight="1">
      <c r="S8" s="591"/>
      <c r="U8" s="593"/>
      <c r="V8" s="593"/>
      <c r="W8" s="593"/>
      <c r="X8" s="593"/>
      <c r="Y8" s="593"/>
      <c r="Z8" s="593"/>
      <c r="AA8" s="593"/>
      <c r="AB8" s="593"/>
      <c r="AC8" s="593"/>
      <c r="AD8" s="593"/>
      <c r="AE8" s="593"/>
      <c r="AF8" s="593"/>
      <c r="AG8" s="593"/>
      <c r="AH8" s="593"/>
    </row>
    <row r="9" spans="1:35" ht="18" customHeight="1">
      <c r="AI9" s="591"/>
    </row>
    <row r="10" spans="1:35" ht="18" customHeight="1">
      <c r="S10" s="591" t="s">
        <v>3266</v>
      </c>
      <c r="U10" s="1760" t="str">
        <f>cst_wskakunin_dairi1_JIMU_NAME</f>
        <v>一級建築士事務所　UHEC</v>
      </c>
      <c r="V10" s="1760"/>
      <c r="W10" s="1760"/>
      <c r="X10" s="1760"/>
      <c r="Y10" s="1760"/>
      <c r="Z10" s="1760"/>
      <c r="AA10" s="1760"/>
      <c r="AB10" s="1760"/>
      <c r="AC10" s="1760"/>
      <c r="AD10" s="1760"/>
      <c r="AE10" s="1760"/>
      <c r="AF10" s="1760"/>
      <c r="AG10" s="1760"/>
      <c r="AH10" s="1760"/>
      <c r="AI10" s="591"/>
    </row>
    <row r="11" spans="1:35" ht="18" customHeight="1">
      <c r="S11" s="591"/>
      <c r="U11" s="1760" t="str">
        <f>cst_wskakunin_dairi1_NAME</f>
        <v>藤田　ゆき子</v>
      </c>
      <c r="V11" s="1760"/>
      <c r="W11" s="1760"/>
      <c r="X11" s="1760"/>
      <c r="Y11" s="1760"/>
      <c r="Z11" s="1760"/>
      <c r="AA11" s="1760"/>
      <c r="AB11" s="1760"/>
      <c r="AC11" s="1760"/>
      <c r="AD11" s="1760"/>
      <c r="AE11" s="1760"/>
      <c r="AF11" s="1760"/>
      <c r="AG11" s="1760"/>
      <c r="AH11" s="1760"/>
      <c r="AI11" s="591"/>
    </row>
    <row r="12" spans="1:35" ht="18" customHeight="1">
      <c r="S12" s="591"/>
      <c r="U12" s="592"/>
      <c r="V12" s="592"/>
      <c r="W12" s="592"/>
      <c r="X12" s="592"/>
      <c r="Y12" s="592"/>
      <c r="Z12" s="592"/>
      <c r="AA12" s="592"/>
      <c r="AB12" s="592"/>
      <c r="AC12" s="592"/>
      <c r="AD12" s="592"/>
      <c r="AE12" s="592"/>
      <c r="AF12" s="592"/>
      <c r="AG12" s="592"/>
      <c r="AH12" s="592"/>
      <c r="AI12" s="591"/>
    </row>
    <row r="13" spans="1:35" ht="18" customHeight="1">
      <c r="S13" s="591"/>
      <c r="U13" s="592"/>
      <c r="V13" s="592"/>
      <c r="W13" s="592"/>
      <c r="X13" s="592"/>
      <c r="Y13" s="592"/>
      <c r="Z13" s="592"/>
      <c r="AA13" s="592"/>
      <c r="AB13" s="592"/>
      <c r="AC13" s="592"/>
      <c r="AD13" s="592"/>
      <c r="AE13" s="592"/>
      <c r="AF13" s="592"/>
      <c r="AG13" s="592"/>
      <c r="AH13" s="592"/>
      <c r="AI13" s="591"/>
    </row>
    <row r="14" spans="1:35" ht="18" customHeight="1">
      <c r="S14" s="591"/>
      <c r="U14" s="592"/>
      <c r="V14" s="592"/>
      <c r="W14" s="592"/>
      <c r="X14" s="592"/>
      <c r="Y14" s="592"/>
      <c r="Z14" s="592"/>
      <c r="AA14" s="592"/>
      <c r="AB14" s="592"/>
      <c r="AC14" s="592"/>
      <c r="AD14" s="592"/>
      <c r="AE14" s="592"/>
      <c r="AF14" s="592"/>
      <c r="AG14" s="592"/>
      <c r="AH14" s="592"/>
      <c r="AI14" s="591"/>
    </row>
    <row r="15" spans="1:35" ht="18" customHeight="1">
      <c r="A15" s="527" t="s">
        <v>3275</v>
      </c>
    </row>
    <row r="16" spans="1:35" ht="18" customHeight="1">
      <c r="A16" s="527" t="s">
        <v>3264</v>
      </c>
    </row>
    <row r="18" spans="1:35" ht="18" customHeight="1">
      <c r="A18" s="1767" t="s">
        <v>3274</v>
      </c>
      <c r="B18" s="1768"/>
      <c r="C18" s="1768"/>
      <c r="D18" s="1768"/>
      <c r="E18" s="1768"/>
      <c r="F18" s="1768"/>
      <c r="G18" s="1768"/>
      <c r="H18" s="1768"/>
      <c r="I18" s="1752" t="str">
        <f>cst_wskakunin_BUILD_NAME</f>
        <v>テスト新築工事</v>
      </c>
      <c r="J18" s="1753"/>
      <c r="K18" s="1753"/>
      <c r="L18" s="1753"/>
      <c r="M18" s="1753"/>
      <c r="N18" s="1753"/>
      <c r="O18" s="1753"/>
      <c r="P18" s="1753"/>
      <c r="Q18" s="1753"/>
      <c r="R18" s="1753"/>
      <c r="S18" s="1753"/>
      <c r="T18" s="1753"/>
      <c r="U18" s="1753"/>
      <c r="V18" s="1753"/>
      <c r="W18" s="1753"/>
      <c r="X18" s="1753"/>
      <c r="Y18" s="1753"/>
      <c r="Z18" s="1753"/>
      <c r="AA18" s="1753"/>
      <c r="AB18" s="1753"/>
      <c r="AC18" s="1753"/>
      <c r="AD18" s="1753"/>
      <c r="AE18" s="1753"/>
      <c r="AF18" s="1753"/>
      <c r="AG18" s="1753"/>
      <c r="AH18" s="1753"/>
      <c r="AI18" s="1754"/>
    </row>
    <row r="19" spans="1:35" ht="21" customHeight="1">
      <c r="A19" s="1769" t="s">
        <v>3273</v>
      </c>
      <c r="B19" s="1770"/>
      <c r="C19" s="1770"/>
      <c r="D19" s="1770"/>
      <c r="E19" s="1770"/>
      <c r="F19" s="1770"/>
      <c r="G19" s="1770"/>
      <c r="H19" s="1770"/>
      <c r="I19" s="1757" t="s">
        <v>2675</v>
      </c>
      <c r="J19" s="1758"/>
      <c r="K19" s="1748" t="str">
        <f>cst_KAKU_SUMI_KOUFU_DATE</f>
        <v/>
      </c>
      <c r="L19" s="1749"/>
      <c r="M19" s="590" t="s">
        <v>380</v>
      </c>
      <c r="N19" s="1747" t="str">
        <f>cst_KAKU_SUMI_KOUFU_DATE</f>
        <v/>
      </c>
      <c r="O19" s="1747"/>
      <c r="P19" s="589" t="s">
        <v>0</v>
      </c>
      <c r="Q19" s="1746" t="str">
        <f>cst_KAKU_SUMI_KOUFU_DATE</f>
        <v/>
      </c>
      <c r="R19" s="1746"/>
      <c r="S19" s="587" t="s">
        <v>3057</v>
      </c>
      <c r="T19" s="588"/>
      <c r="U19" s="1744" t="str">
        <f>cst_shinsei_KAKU_SUMI_NO</f>
        <v/>
      </c>
      <c r="V19" s="1744"/>
      <c r="W19" s="1744"/>
      <c r="X19" s="1744"/>
      <c r="Y19" s="1744"/>
      <c r="Z19" s="1744"/>
      <c r="AA19" s="1744"/>
      <c r="AB19" s="1744"/>
      <c r="AC19" s="1744"/>
      <c r="AD19" s="1744"/>
      <c r="AE19" s="1744"/>
      <c r="AF19" s="1744"/>
      <c r="AG19" s="1744"/>
      <c r="AH19" s="1744"/>
      <c r="AI19" s="1745"/>
    </row>
    <row r="20" spans="1:35" ht="21" customHeight="1">
      <c r="A20" s="1769" t="s">
        <v>3272</v>
      </c>
      <c r="B20" s="1770"/>
      <c r="C20" s="1770"/>
      <c r="D20" s="1770"/>
      <c r="E20" s="1770"/>
      <c r="F20" s="1770"/>
      <c r="G20" s="1770"/>
      <c r="H20" s="1770"/>
      <c r="I20" s="1757" t="s">
        <v>2675</v>
      </c>
      <c r="J20" s="1758"/>
      <c r="K20" s="1750"/>
      <c r="L20" s="1751"/>
      <c r="M20" s="590" t="s">
        <v>380</v>
      </c>
      <c r="N20" s="1743"/>
      <c r="O20" s="1743"/>
      <c r="P20" s="589" t="s">
        <v>0</v>
      </c>
      <c r="Q20" s="1743"/>
      <c r="R20" s="1743"/>
      <c r="S20" s="587" t="s">
        <v>3057</v>
      </c>
      <c r="T20" s="587"/>
      <c r="U20" s="587"/>
      <c r="V20" s="587"/>
      <c r="W20" s="587"/>
      <c r="X20" s="587"/>
      <c r="Y20" s="588"/>
      <c r="Z20" s="586"/>
      <c r="AA20" s="587"/>
      <c r="AB20" s="586"/>
      <c r="AC20" s="585"/>
      <c r="AD20" s="584"/>
      <c r="AE20" s="584"/>
      <c r="AF20" s="584"/>
      <c r="AG20" s="584"/>
      <c r="AH20" s="584"/>
      <c r="AI20" s="583"/>
    </row>
    <row r="21" spans="1:35" ht="21" customHeight="1">
      <c r="A21" s="1767" t="s">
        <v>32</v>
      </c>
      <c r="B21" s="1768"/>
      <c r="C21" s="1768"/>
      <c r="D21" s="1768"/>
      <c r="E21" s="1768"/>
      <c r="F21" s="1768"/>
      <c r="G21" s="1768"/>
      <c r="H21" s="1768"/>
      <c r="I21" s="1752" t="str">
        <f>cst_wskakunin_owner1__space</f>
        <v>株式会社ユーイック不動産　代表取締役社長　野崎　豊</v>
      </c>
      <c r="J21" s="1753"/>
      <c r="K21" s="1753"/>
      <c r="L21" s="1753"/>
      <c r="M21" s="1753"/>
      <c r="N21" s="1753"/>
      <c r="O21" s="1753"/>
      <c r="P21" s="1753"/>
      <c r="Q21" s="1753"/>
      <c r="R21" s="1753"/>
      <c r="S21" s="1753"/>
      <c r="T21" s="1753"/>
      <c r="U21" s="1753"/>
      <c r="V21" s="1753"/>
      <c r="W21" s="1753"/>
      <c r="X21" s="1753"/>
      <c r="Y21" s="1753"/>
      <c r="Z21" s="1753"/>
      <c r="AA21" s="1753"/>
      <c r="AB21" s="1753"/>
      <c r="AC21" s="1753"/>
      <c r="AD21" s="1753"/>
      <c r="AE21" s="1753"/>
      <c r="AF21" s="1753"/>
      <c r="AG21" s="1753"/>
      <c r="AH21" s="1753"/>
      <c r="AI21" s="1754"/>
    </row>
    <row r="22" spans="1:35" ht="21" customHeight="1">
      <c r="A22" s="582" t="s">
        <v>3261</v>
      </c>
      <c r="B22" s="574"/>
      <c r="C22" s="574"/>
      <c r="D22" s="574"/>
      <c r="E22" s="574"/>
      <c r="F22" s="574"/>
      <c r="G22" s="574"/>
      <c r="H22" s="574"/>
      <c r="I22" s="574"/>
      <c r="J22" s="574"/>
      <c r="K22" s="574"/>
      <c r="L22" s="574"/>
      <c r="M22" s="581"/>
      <c r="N22" s="575"/>
      <c r="O22" s="580"/>
      <c r="P22" s="579"/>
      <c r="Q22" s="578"/>
      <c r="R22" s="575"/>
      <c r="S22" s="575"/>
      <c r="T22" s="570"/>
      <c r="U22" s="575"/>
      <c r="V22" s="575"/>
      <c r="W22" s="576"/>
      <c r="X22" s="577"/>
      <c r="Y22" s="575"/>
      <c r="Z22" s="576"/>
      <c r="AA22" s="575"/>
      <c r="AB22" s="574"/>
      <c r="AC22" s="573"/>
      <c r="AD22" s="573"/>
      <c r="AE22" s="573"/>
      <c r="AF22" s="573"/>
      <c r="AG22" s="573"/>
      <c r="AH22" s="573"/>
      <c r="AI22" s="569"/>
    </row>
    <row r="23" spans="1:35" ht="18" customHeight="1">
      <c r="A23" s="1761" t="s">
        <v>3260</v>
      </c>
      <c r="B23" s="1762"/>
      <c r="C23" s="572"/>
      <c r="D23" s="571"/>
      <c r="E23" s="571"/>
      <c r="F23" s="570"/>
      <c r="G23" s="570"/>
      <c r="H23" s="570"/>
      <c r="I23" s="570"/>
      <c r="J23" s="570"/>
      <c r="K23" s="570"/>
      <c r="L23" s="570"/>
      <c r="M23" s="570"/>
      <c r="N23" s="570"/>
      <c r="O23" s="570"/>
      <c r="P23" s="570"/>
      <c r="Q23" s="570"/>
      <c r="R23" s="570"/>
      <c r="S23" s="570"/>
      <c r="T23" s="570"/>
      <c r="U23" s="570"/>
      <c r="V23" s="570"/>
      <c r="W23" s="570"/>
      <c r="X23" s="570"/>
      <c r="Y23" s="570"/>
      <c r="Z23" s="570"/>
      <c r="AA23" s="570"/>
      <c r="AB23" s="570"/>
      <c r="AC23" s="570"/>
      <c r="AD23" s="570"/>
      <c r="AE23" s="570"/>
      <c r="AF23" s="570"/>
      <c r="AG23" s="570"/>
      <c r="AH23" s="570"/>
      <c r="AI23" s="569"/>
    </row>
    <row r="24" spans="1:35" ht="18" customHeight="1">
      <c r="A24" s="1763"/>
      <c r="B24" s="1764"/>
      <c r="C24" s="558"/>
      <c r="D24" s="557"/>
      <c r="E24" s="557"/>
      <c r="AB24" s="568"/>
      <c r="AC24" s="568"/>
      <c r="AD24" s="568"/>
      <c r="AE24" s="568"/>
      <c r="AF24" s="568"/>
      <c r="AG24" s="568"/>
      <c r="AH24" s="568"/>
      <c r="AI24" s="567"/>
    </row>
    <row r="25" spans="1:35" ht="18" customHeight="1">
      <c r="A25" s="1763"/>
      <c r="B25" s="1764"/>
      <c r="C25" s="558"/>
      <c r="D25" s="557"/>
      <c r="E25" s="557"/>
      <c r="AI25" s="552"/>
    </row>
    <row r="26" spans="1:35" ht="18" customHeight="1">
      <c r="A26" s="1763"/>
      <c r="B26" s="1764"/>
      <c r="C26" s="558"/>
      <c r="D26" s="557"/>
      <c r="E26" s="557"/>
      <c r="AI26" s="552"/>
    </row>
    <row r="27" spans="1:35" ht="18" customHeight="1">
      <c r="A27" s="1763"/>
      <c r="B27" s="1764"/>
      <c r="C27" s="558"/>
      <c r="D27" s="557"/>
      <c r="E27" s="557"/>
      <c r="AI27" s="552"/>
    </row>
    <row r="28" spans="1:35" ht="18" customHeight="1">
      <c r="A28" s="1763"/>
      <c r="B28" s="1764"/>
      <c r="C28" s="558"/>
      <c r="D28" s="557"/>
      <c r="E28" s="557"/>
      <c r="AI28" s="552"/>
    </row>
    <row r="29" spans="1:35" ht="18" customHeight="1">
      <c r="A29" s="1763"/>
      <c r="B29" s="1764"/>
      <c r="C29" s="558"/>
      <c r="D29" s="557"/>
      <c r="E29" s="557"/>
      <c r="AI29" s="552"/>
    </row>
    <row r="30" spans="1:35" ht="18" customHeight="1">
      <c r="A30" s="1765"/>
      <c r="B30" s="1766"/>
      <c r="C30" s="566"/>
      <c r="D30" s="565"/>
      <c r="E30" s="565"/>
      <c r="F30" s="564"/>
      <c r="G30" s="564"/>
      <c r="H30" s="564"/>
      <c r="I30" s="563"/>
      <c r="J30" s="563"/>
      <c r="K30" s="563"/>
      <c r="L30" s="563"/>
      <c r="M30" s="563"/>
      <c r="N30" s="563"/>
      <c r="O30" s="563"/>
      <c r="P30" s="563"/>
      <c r="Q30" s="563"/>
      <c r="R30" s="563"/>
      <c r="S30" s="563"/>
      <c r="T30" s="563"/>
      <c r="U30" s="563"/>
      <c r="V30" s="563"/>
      <c r="W30" s="563"/>
      <c r="X30" s="563"/>
      <c r="Y30" s="563"/>
      <c r="Z30" s="563"/>
      <c r="AA30" s="563"/>
      <c r="AB30" s="563"/>
      <c r="AC30" s="563"/>
      <c r="AD30" s="563"/>
      <c r="AE30" s="563"/>
      <c r="AF30" s="563"/>
      <c r="AG30" s="563"/>
      <c r="AH30" s="563"/>
      <c r="AI30" s="562"/>
    </row>
    <row r="31" spans="1:35" ht="18" customHeight="1">
      <c r="A31" s="1763" t="s">
        <v>3259</v>
      </c>
      <c r="B31" s="1764"/>
      <c r="C31" s="558"/>
      <c r="D31" s="557"/>
      <c r="E31" s="557"/>
      <c r="F31" s="559"/>
      <c r="G31" s="556"/>
      <c r="H31" s="556"/>
      <c r="I31" s="555"/>
      <c r="J31" s="555"/>
      <c r="K31" s="555"/>
      <c r="L31" s="554"/>
      <c r="M31" s="553"/>
      <c r="N31" s="553"/>
      <c r="O31" s="553"/>
      <c r="P31" s="553"/>
      <c r="Q31" s="553"/>
      <c r="R31" s="553"/>
      <c r="AI31" s="552"/>
    </row>
    <row r="32" spans="1:35" ht="18" customHeight="1">
      <c r="A32" s="1763"/>
      <c r="B32" s="1764"/>
      <c r="C32" s="558"/>
      <c r="D32" s="557"/>
      <c r="E32" s="557"/>
      <c r="F32" s="556"/>
      <c r="G32" s="556"/>
      <c r="H32" s="556"/>
      <c r="I32" s="555"/>
      <c r="J32" s="555"/>
      <c r="K32" s="555"/>
      <c r="L32" s="554"/>
      <c r="M32" s="553"/>
      <c r="N32" s="553"/>
      <c r="O32" s="553"/>
      <c r="P32" s="553"/>
      <c r="Q32" s="553"/>
      <c r="R32" s="553"/>
      <c r="AI32" s="552"/>
    </row>
    <row r="33" spans="1:36" ht="18" customHeight="1">
      <c r="A33" s="1763"/>
      <c r="B33" s="1764"/>
      <c r="C33" s="558"/>
      <c r="D33" s="557"/>
      <c r="E33" s="557"/>
      <c r="I33" s="561"/>
      <c r="J33" s="561"/>
      <c r="K33" s="561"/>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560"/>
    </row>
    <row r="34" spans="1:36" ht="18" customHeight="1">
      <c r="A34" s="1763"/>
      <c r="B34" s="1764"/>
      <c r="C34" s="558"/>
      <c r="D34" s="557"/>
      <c r="E34" s="557"/>
      <c r="F34" s="559"/>
      <c r="G34" s="556"/>
      <c r="H34" s="556"/>
      <c r="I34" s="555"/>
      <c r="J34" s="555"/>
      <c r="K34" s="555"/>
      <c r="L34" s="554"/>
      <c r="M34" s="553"/>
      <c r="N34" s="553"/>
      <c r="O34" s="553"/>
      <c r="P34" s="553"/>
      <c r="Q34" s="553"/>
      <c r="R34" s="553"/>
      <c r="T34" s="554"/>
      <c r="U34" s="553"/>
      <c r="V34" s="553"/>
      <c r="W34" s="553"/>
      <c r="X34" s="553"/>
      <c r="Y34" s="553"/>
      <c r="Z34" s="553"/>
      <c r="AB34" s="554"/>
      <c r="AC34" s="553"/>
      <c r="AD34" s="553"/>
      <c r="AE34" s="553"/>
      <c r="AF34" s="553"/>
      <c r="AG34" s="553"/>
      <c r="AH34" s="553"/>
      <c r="AI34" s="552"/>
    </row>
    <row r="35" spans="1:36" ht="18" customHeight="1">
      <c r="A35" s="1763"/>
      <c r="B35" s="1764"/>
      <c r="C35" s="558"/>
      <c r="D35" s="557"/>
      <c r="E35" s="557"/>
      <c r="F35" s="556"/>
      <c r="G35" s="556"/>
      <c r="H35" s="556"/>
      <c r="I35" s="555"/>
      <c r="J35" s="555"/>
      <c r="K35" s="555"/>
      <c r="L35" s="554"/>
      <c r="M35" s="553"/>
      <c r="N35" s="553"/>
      <c r="O35" s="553"/>
      <c r="P35" s="553"/>
      <c r="Q35" s="553"/>
      <c r="R35" s="553"/>
      <c r="T35" s="554"/>
      <c r="U35" s="553"/>
      <c r="V35" s="553"/>
      <c r="W35" s="553"/>
      <c r="X35" s="553"/>
      <c r="Y35" s="553"/>
      <c r="Z35" s="553"/>
      <c r="AB35" s="554"/>
      <c r="AC35" s="553"/>
      <c r="AD35" s="553"/>
      <c r="AE35" s="553"/>
      <c r="AF35" s="553"/>
      <c r="AG35" s="553"/>
      <c r="AH35" s="553"/>
      <c r="AI35" s="552"/>
    </row>
    <row r="36" spans="1:36" ht="18" customHeight="1">
      <c r="A36" s="1765"/>
      <c r="B36" s="1766"/>
      <c r="C36" s="551"/>
      <c r="D36" s="550"/>
      <c r="E36" s="550"/>
      <c r="F36" s="550"/>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49"/>
    </row>
    <row r="37" spans="1:36" ht="6" customHeight="1"/>
    <row r="38" spans="1:36" ht="21" customHeight="1">
      <c r="A38" s="548" t="s">
        <v>3258</v>
      </c>
      <c r="B38" s="547"/>
      <c r="C38" s="547"/>
      <c r="D38" s="547"/>
      <c r="E38" s="547"/>
      <c r="F38" s="547"/>
      <c r="G38" s="547"/>
      <c r="H38" s="547"/>
      <c r="I38" s="547"/>
      <c r="J38" s="547"/>
      <c r="K38" s="546"/>
      <c r="L38" s="1740" t="s">
        <v>3257</v>
      </c>
      <c r="M38" s="1741"/>
      <c r="N38" s="1741"/>
      <c r="O38" s="1741"/>
      <c r="P38" s="1741"/>
      <c r="Q38" s="1741"/>
      <c r="R38" s="1741"/>
      <c r="S38" s="1741"/>
      <c r="T38" s="1741"/>
      <c r="U38" s="1741"/>
      <c r="V38" s="1741"/>
      <c r="W38" s="1741"/>
      <c r="X38" s="1741"/>
      <c r="Y38" s="1741"/>
      <c r="Z38" s="1741"/>
      <c r="AA38" s="1741"/>
      <c r="AB38" s="1741"/>
      <c r="AC38" s="1741"/>
      <c r="AD38" s="1742"/>
      <c r="AE38" s="1737" t="s">
        <v>3271</v>
      </c>
      <c r="AF38" s="1738"/>
      <c r="AG38" s="1738"/>
      <c r="AH38" s="1738"/>
      <c r="AI38" s="1739"/>
    </row>
    <row r="39" spans="1:36" ht="18" customHeight="1">
      <c r="A39" s="545" t="s">
        <v>3256</v>
      </c>
      <c r="B39" s="544"/>
      <c r="C39" s="544"/>
      <c r="D39" s="544"/>
      <c r="E39" s="544"/>
      <c r="F39" s="544"/>
      <c r="G39" s="544"/>
      <c r="H39" s="544"/>
      <c r="I39" s="544"/>
      <c r="J39" s="544"/>
      <c r="K39" s="543"/>
      <c r="L39" s="542"/>
      <c r="M39" s="541"/>
      <c r="N39" s="541"/>
      <c r="O39" s="541"/>
      <c r="P39" s="541"/>
      <c r="Q39" s="541"/>
      <c r="R39" s="541"/>
      <c r="S39" s="541"/>
      <c r="T39" s="541"/>
      <c r="U39" s="540"/>
      <c r="V39" s="540"/>
      <c r="W39" s="540"/>
      <c r="X39" s="540"/>
      <c r="Y39" s="540"/>
      <c r="Z39" s="540"/>
      <c r="AA39" s="540"/>
      <c r="AB39" s="540"/>
      <c r="AC39" s="540"/>
      <c r="AD39" s="540"/>
      <c r="AE39" s="1740"/>
      <c r="AF39" s="1741"/>
      <c r="AG39" s="1741"/>
      <c r="AH39" s="1741"/>
      <c r="AI39" s="1742"/>
    </row>
    <row r="40" spans="1:36" ht="18" customHeight="1">
      <c r="A40" s="539" t="s">
        <v>3255</v>
      </c>
      <c r="B40" s="538"/>
      <c r="C40" s="538"/>
      <c r="D40" s="538"/>
      <c r="E40" s="538"/>
      <c r="F40" s="538"/>
      <c r="G40" s="538"/>
      <c r="H40" s="538"/>
      <c r="I40" s="538"/>
      <c r="J40" s="538"/>
      <c r="K40" s="537"/>
      <c r="L40" s="536"/>
      <c r="M40" s="535"/>
      <c r="N40" s="535"/>
      <c r="O40" s="535"/>
      <c r="P40" s="535"/>
      <c r="Q40" s="535"/>
      <c r="R40" s="535"/>
      <c r="S40" s="535"/>
      <c r="T40" s="535"/>
      <c r="U40" s="534"/>
      <c r="V40" s="534"/>
      <c r="W40" s="534"/>
      <c r="X40" s="534"/>
      <c r="Y40" s="534"/>
      <c r="Z40" s="534"/>
      <c r="AA40" s="534"/>
      <c r="AB40" s="534"/>
      <c r="AC40" s="534"/>
      <c r="AD40" s="534"/>
      <c r="AE40" s="1740"/>
      <c r="AF40" s="1741"/>
      <c r="AG40" s="1741"/>
      <c r="AH40" s="1741"/>
      <c r="AI40" s="1742"/>
    </row>
    <row r="41" spans="1:36" ht="18" customHeight="1">
      <c r="A41" s="533" t="s">
        <v>3254</v>
      </c>
      <c r="B41" s="532"/>
      <c r="C41" s="532"/>
      <c r="D41" s="532"/>
      <c r="E41" s="532"/>
      <c r="F41" s="532"/>
      <c r="G41" s="532"/>
      <c r="H41" s="532"/>
      <c r="I41" s="532"/>
      <c r="J41" s="532"/>
      <c r="K41" s="531"/>
      <c r="L41" s="530"/>
      <c r="M41" s="529"/>
      <c r="N41" s="529"/>
      <c r="O41" s="529"/>
      <c r="P41" s="529"/>
      <c r="Q41" s="529"/>
      <c r="R41" s="529"/>
      <c r="S41" s="529"/>
      <c r="T41" s="529"/>
      <c r="U41" s="529"/>
      <c r="V41" s="529"/>
      <c r="W41" s="529"/>
      <c r="X41" s="529"/>
      <c r="Y41" s="529"/>
      <c r="Z41" s="529"/>
      <c r="AA41" s="529"/>
      <c r="AB41" s="529"/>
      <c r="AC41" s="529"/>
      <c r="AD41" s="529"/>
      <c r="AE41" s="1740"/>
      <c r="AF41" s="1741"/>
      <c r="AG41" s="1741"/>
      <c r="AH41" s="1741"/>
      <c r="AI41" s="1742"/>
    </row>
    <row r="42" spans="1:36" ht="18" customHeight="1">
      <c r="A42" s="527" t="s">
        <v>3253</v>
      </c>
    </row>
    <row r="43" spans="1:36" ht="18" customHeight="1">
      <c r="A43" s="528" t="s">
        <v>2677</v>
      </c>
      <c r="B43" s="1756" t="s">
        <v>3252</v>
      </c>
      <c r="C43" s="1756"/>
      <c r="D43" s="1756"/>
      <c r="E43" s="1756"/>
      <c r="F43" s="1756"/>
      <c r="G43" s="1756"/>
      <c r="H43" s="1756"/>
      <c r="I43" s="1756"/>
      <c r="J43" s="1756"/>
      <c r="K43" s="1756"/>
      <c r="L43" s="1756"/>
      <c r="M43" s="1756"/>
      <c r="N43" s="1756"/>
      <c r="O43" s="1756"/>
      <c r="P43" s="1756"/>
      <c r="Q43" s="1756"/>
      <c r="R43" s="1756"/>
      <c r="S43" s="1756"/>
      <c r="T43" s="1756"/>
      <c r="U43" s="1756"/>
      <c r="V43" s="1756"/>
      <c r="W43" s="1756"/>
      <c r="X43" s="1756"/>
      <c r="Y43" s="1756"/>
      <c r="Z43" s="1756"/>
      <c r="AA43" s="1756"/>
      <c r="AB43" s="1756"/>
      <c r="AC43" s="1756"/>
      <c r="AD43" s="1756"/>
      <c r="AE43" s="1756"/>
      <c r="AF43" s="1756"/>
      <c r="AG43" s="1756"/>
      <c r="AH43" s="1756"/>
      <c r="AI43" s="1756"/>
      <c r="AJ43" s="1756"/>
    </row>
    <row r="44" spans="1:36" ht="28.95" customHeight="1">
      <c r="A44" s="528" t="s">
        <v>2678</v>
      </c>
      <c r="B44" s="1755" t="s">
        <v>3251</v>
      </c>
      <c r="C44" s="1755"/>
      <c r="D44" s="1755"/>
      <c r="E44" s="1755"/>
      <c r="F44" s="1755"/>
      <c r="G44" s="1755"/>
      <c r="H44" s="1755"/>
      <c r="I44" s="1755"/>
      <c r="J44" s="1755"/>
      <c r="K44" s="1755"/>
      <c r="L44" s="1755"/>
      <c r="M44" s="1755"/>
      <c r="N44" s="1755"/>
      <c r="O44" s="1755"/>
      <c r="P44" s="1755"/>
      <c r="Q44" s="1755"/>
      <c r="R44" s="1755"/>
      <c r="S44" s="1755"/>
      <c r="T44" s="1755"/>
      <c r="U44" s="1755"/>
      <c r="V44" s="1755"/>
      <c r="W44" s="1755"/>
      <c r="X44" s="1755"/>
      <c r="Y44" s="1755"/>
      <c r="Z44" s="1755"/>
      <c r="AA44" s="1755"/>
      <c r="AB44" s="1755"/>
      <c r="AC44" s="1755"/>
      <c r="AD44" s="1755"/>
      <c r="AE44" s="1755"/>
      <c r="AF44" s="1755"/>
      <c r="AG44" s="1755"/>
      <c r="AH44" s="1755"/>
      <c r="AI44" s="1755"/>
      <c r="AJ44" s="1023"/>
    </row>
    <row r="45" spans="1:36" ht="18" customHeight="1">
      <c r="A45" s="528" t="s">
        <v>3107</v>
      </c>
      <c r="B45" s="1756" t="s">
        <v>3250</v>
      </c>
      <c r="C45" s="1756"/>
      <c r="D45" s="1756"/>
      <c r="E45" s="1756"/>
      <c r="F45" s="1756"/>
      <c r="G45" s="1756"/>
      <c r="H45" s="1756"/>
      <c r="I45" s="1756"/>
      <c r="J45" s="1756"/>
      <c r="K45" s="1756"/>
      <c r="L45" s="1756"/>
      <c r="M45" s="1756"/>
      <c r="N45" s="1756"/>
      <c r="O45" s="1756"/>
      <c r="P45" s="1756"/>
      <c r="Q45" s="1756"/>
      <c r="R45" s="1756"/>
      <c r="S45" s="1756"/>
      <c r="T45" s="1756"/>
      <c r="U45" s="1756"/>
      <c r="V45" s="1756"/>
      <c r="W45" s="1756"/>
      <c r="X45" s="1756"/>
      <c r="Y45" s="1756"/>
      <c r="Z45" s="1756"/>
      <c r="AA45" s="1756"/>
      <c r="AB45" s="1756"/>
      <c r="AC45" s="1756"/>
      <c r="AD45" s="1756"/>
      <c r="AE45" s="1756"/>
      <c r="AF45" s="1756"/>
      <c r="AG45" s="1756"/>
      <c r="AH45" s="1756"/>
      <c r="AI45" s="1756"/>
      <c r="AJ45" s="1756"/>
    </row>
  </sheetData>
  <mergeCells count="28">
    <mergeCell ref="B44:AI44"/>
    <mergeCell ref="B43:AJ43"/>
    <mergeCell ref="B45:AJ45"/>
    <mergeCell ref="I19:J19"/>
    <mergeCell ref="A3:AI3"/>
    <mergeCell ref="A4:AI4"/>
    <mergeCell ref="U11:AH11"/>
    <mergeCell ref="U10:AH10"/>
    <mergeCell ref="A23:B30"/>
    <mergeCell ref="A31:B36"/>
    <mergeCell ref="A18:H18"/>
    <mergeCell ref="A19:H19"/>
    <mergeCell ref="A20:H20"/>
    <mergeCell ref="A21:H21"/>
    <mergeCell ref="I18:AI18"/>
    <mergeCell ref="I20:J20"/>
    <mergeCell ref="Y5:AI5"/>
    <mergeCell ref="AE38:AI38"/>
    <mergeCell ref="AE39:AI41"/>
    <mergeCell ref="L38:AD38"/>
    <mergeCell ref="Q20:R20"/>
    <mergeCell ref="U19:AI19"/>
    <mergeCell ref="Q19:R19"/>
    <mergeCell ref="N19:O19"/>
    <mergeCell ref="N20:O20"/>
    <mergeCell ref="K19:L19"/>
    <mergeCell ref="K20:L20"/>
    <mergeCell ref="I21:AI21"/>
  </mergeCells>
  <phoneticPr fontId="122"/>
  <dataValidations count="1">
    <dataValidation type="list" allowBlank="1" showInputMessage="1" sqref="I19:I20" xr:uid="{00000000-0002-0000-1800-000000000000}">
      <formula1>"令和,平成,　　"</formula1>
    </dataValidation>
  </dataValidations>
  <printOptions horizontalCentered="1"/>
  <pageMargins left="0.98425196850393704" right="0.78740157480314965" top="0.39370078740157483" bottom="0.39370078740157483" header="0.51181102362204722" footer="0.51181102362204722"/>
  <pageSetup paperSize="9" orientation="portrait" blackAndWhite="1" r:id="rId1"/>
  <headerFooter alignWithMargins="0">
    <oddFooter>&amp;R&amp;8 20250401</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40"/>
  <sheetViews>
    <sheetView zoomScaleNormal="100" zoomScaleSheetLayoutView="100" workbookViewId="0"/>
  </sheetViews>
  <sheetFormatPr defaultColWidth="2.109375" defaultRowHeight="18" customHeight="1"/>
  <cols>
    <col min="1" max="37" width="2.33203125" style="826" customWidth="1"/>
    <col min="38" max="38" width="2.109375" style="826" customWidth="1"/>
    <col min="39" max="16384" width="2.109375" style="826"/>
  </cols>
  <sheetData>
    <row r="1" spans="1:35" ht="18" customHeight="1">
      <c r="A1" s="843" t="s">
        <v>3464</v>
      </c>
      <c r="B1" s="843"/>
      <c r="C1" s="843"/>
      <c r="D1" s="843"/>
      <c r="E1" s="843"/>
      <c r="F1" s="843"/>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row>
    <row r="2" spans="1:35" ht="18" customHeight="1">
      <c r="A2" s="843"/>
      <c r="B2" s="843"/>
      <c r="C2" s="843"/>
      <c r="D2" s="843"/>
      <c r="E2" s="843"/>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row>
    <row r="3" spans="1:35" ht="18" customHeight="1">
      <c r="A3" s="847" t="s">
        <v>3463</v>
      </c>
      <c r="B3" s="847"/>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row>
    <row r="4" spans="1:35" ht="18" customHeight="1">
      <c r="A4" s="847" t="s">
        <v>5</v>
      </c>
      <c r="B4" s="847"/>
      <c r="C4" s="847"/>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row>
    <row r="5" spans="1:35" ht="18" customHeight="1">
      <c r="A5" s="847"/>
      <c r="B5" s="847"/>
      <c r="C5" s="847"/>
      <c r="D5" s="847"/>
      <c r="E5" s="847"/>
      <c r="F5" s="847"/>
      <c r="G5" s="847"/>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row>
    <row r="6" spans="1:35" ht="18" customHeight="1">
      <c r="A6" s="848" t="s">
        <v>3462</v>
      </c>
      <c r="B6" s="847"/>
      <c r="C6" s="847"/>
      <c r="D6" s="847"/>
      <c r="E6" s="847"/>
      <c r="F6" s="847"/>
      <c r="G6" s="847"/>
      <c r="H6" s="847"/>
      <c r="I6" s="847"/>
      <c r="J6" s="847"/>
      <c r="K6" s="847"/>
      <c r="L6" s="847"/>
      <c r="M6" s="847"/>
      <c r="N6" s="847"/>
      <c r="O6" s="847"/>
      <c r="P6" s="847"/>
      <c r="Q6" s="847"/>
      <c r="R6" s="847"/>
      <c r="S6" s="847"/>
      <c r="T6" s="847"/>
      <c r="U6" s="847"/>
      <c r="V6" s="847"/>
      <c r="W6" s="847"/>
      <c r="X6" s="847"/>
      <c r="Y6" s="847"/>
      <c r="Z6" s="847"/>
      <c r="AA6" s="847"/>
      <c r="AB6" s="847"/>
      <c r="AC6" s="847"/>
      <c r="AD6" s="847"/>
      <c r="AE6" s="847"/>
      <c r="AF6" s="847"/>
      <c r="AG6" s="847"/>
      <c r="AH6" s="847"/>
      <c r="AI6" s="847"/>
    </row>
    <row r="7" spans="1:35" ht="18" customHeight="1">
      <c r="A7" s="843" t="s">
        <v>3461</v>
      </c>
      <c r="B7" s="843"/>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row>
    <row r="8" spans="1:35" ht="18" customHeight="1">
      <c r="A8" s="843"/>
      <c r="B8" s="843"/>
      <c r="C8" s="843"/>
      <c r="D8" s="843"/>
      <c r="E8" s="843"/>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843"/>
      <c r="AF8" s="843"/>
      <c r="AG8" s="843"/>
      <c r="AH8" s="843"/>
      <c r="AI8" s="843"/>
    </row>
    <row r="9" spans="1:35" ht="18" customHeight="1">
      <c r="A9" s="843"/>
      <c r="B9" s="843"/>
      <c r="C9" s="843"/>
      <c r="D9" s="843"/>
      <c r="E9" s="843"/>
      <c r="F9" s="843"/>
      <c r="G9" s="843"/>
      <c r="H9" s="843"/>
      <c r="I9" s="843"/>
      <c r="J9" s="843"/>
      <c r="K9" s="843"/>
      <c r="L9" s="843"/>
      <c r="M9" s="843"/>
      <c r="N9" s="843"/>
      <c r="O9" s="843"/>
      <c r="P9" s="843"/>
      <c r="Q9" s="843"/>
      <c r="R9" s="843"/>
      <c r="S9" s="843"/>
      <c r="T9" s="843"/>
      <c r="U9" s="843"/>
      <c r="V9" s="843"/>
      <c r="W9" s="843"/>
      <c r="X9" s="843"/>
      <c r="Y9" s="843"/>
      <c r="Z9" s="843"/>
      <c r="AA9" s="843"/>
      <c r="AB9" s="843"/>
      <c r="AC9" s="843"/>
      <c r="AD9" s="843"/>
      <c r="AE9" s="843"/>
      <c r="AF9" s="843"/>
      <c r="AG9" s="843"/>
      <c r="AH9" s="843"/>
      <c r="AI9" s="843"/>
    </row>
    <row r="10" spans="1:35" ht="18" customHeight="1">
      <c r="A10" s="843"/>
      <c r="B10" s="843"/>
      <c r="C10" s="843"/>
      <c r="D10" s="843"/>
      <c r="E10" s="843"/>
      <c r="F10" s="843"/>
      <c r="G10" s="843"/>
      <c r="H10" s="843"/>
      <c r="I10" s="843"/>
      <c r="J10" s="843"/>
      <c r="K10" s="843"/>
      <c r="L10" s="843"/>
      <c r="M10" s="843"/>
      <c r="N10" s="843"/>
      <c r="O10" s="843"/>
      <c r="P10" s="843"/>
      <c r="Q10" s="843"/>
      <c r="R10" s="843"/>
      <c r="S10" s="843"/>
      <c r="T10" s="843"/>
      <c r="U10" s="843"/>
      <c r="V10" s="843"/>
      <c r="W10" s="843"/>
      <c r="X10" s="843"/>
      <c r="Y10" s="843"/>
      <c r="Z10" s="843"/>
      <c r="AA10" s="843"/>
      <c r="AB10" s="843"/>
      <c r="AC10" s="843"/>
      <c r="AD10" s="843"/>
      <c r="AE10" s="843"/>
      <c r="AF10" s="843"/>
      <c r="AG10" s="843"/>
      <c r="AH10" s="843"/>
      <c r="AI10" s="843"/>
    </row>
    <row r="11" spans="1:35" ht="18" customHeight="1">
      <c r="A11" s="843" t="s">
        <v>3460</v>
      </c>
      <c r="B11" s="843"/>
      <c r="C11" s="843"/>
      <c r="D11" s="843"/>
      <c r="E11" s="843"/>
      <c r="F11" s="843"/>
      <c r="G11" s="843"/>
      <c r="H11" s="843"/>
      <c r="I11" s="843"/>
      <c r="J11" s="843"/>
      <c r="K11" s="843"/>
      <c r="L11" s="843"/>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843"/>
    </row>
    <row r="12" spans="1:35" ht="18" customHeight="1">
      <c r="A12" s="843"/>
      <c r="B12" s="843"/>
      <c r="C12" s="843"/>
      <c r="D12" s="843"/>
      <c r="E12" s="843"/>
      <c r="F12" s="843"/>
      <c r="G12" s="843"/>
      <c r="H12" s="843"/>
      <c r="I12" s="843"/>
      <c r="J12" s="843"/>
      <c r="K12" s="843"/>
      <c r="L12" s="843"/>
      <c r="M12" s="843"/>
      <c r="N12" s="843"/>
      <c r="O12" s="843"/>
      <c r="P12" s="843"/>
      <c r="Q12" s="843"/>
      <c r="R12" s="843"/>
      <c r="S12" s="843"/>
      <c r="T12" s="843"/>
      <c r="U12" s="843"/>
      <c r="V12" s="843"/>
      <c r="W12" s="843"/>
      <c r="X12" s="843"/>
      <c r="Y12" s="843"/>
      <c r="Z12" s="843"/>
      <c r="AA12" s="843"/>
      <c r="AB12" s="843"/>
      <c r="AC12" s="843"/>
      <c r="AD12" s="843"/>
      <c r="AE12" s="843"/>
      <c r="AF12" s="843"/>
      <c r="AG12" s="843"/>
      <c r="AH12" s="843"/>
      <c r="AI12" s="843"/>
    </row>
    <row r="13" spans="1:35" ht="18" customHeight="1">
      <c r="A13" s="843"/>
      <c r="B13" s="843"/>
      <c r="C13" s="843"/>
      <c r="D13" s="843"/>
      <c r="E13" s="843"/>
      <c r="F13" s="843"/>
      <c r="G13" s="843"/>
      <c r="H13" s="843"/>
      <c r="I13" s="843"/>
      <c r="J13" s="843"/>
      <c r="K13" s="843"/>
      <c r="L13" s="843"/>
      <c r="M13" s="843"/>
      <c r="N13" s="843"/>
      <c r="O13" s="843"/>
      <c r="P13" s="843"/>
      <c r="Q13" s="843"/>
      <c r="R13" s="843"/>
      <c r="S13" s="843"/>
      <c r="T13" s="843"/>
      <c r="U13" s="843"/>
      <c r="V13" s="843"/>
      <c r="W13" s="843"/>
      <c r="X13" s="843"/>
      <c r="Y13" s="843"/>
      <c r="Z13" s="843"/>
      <c r="AA13" s="843"/>
      <c r="AB13" s="843"/>
      <c r="AC13" s="843"/>
      <c r="AD13" s="843"/>
      <c r="AE13" s="843"/>
      <c r="AF13" s="843"/>
      <c r="AG13" s="843"/>
      <c r="AH13" s="843"/>
      <c r="AI13" s="843"/>
    </row>
    <row r="14" spans="1:35" ht="18" customHeight="1">
      <c r="A14" s="843"/>
      <c r="B14" s="843"/>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6" t="s">
        <v>2675</v>
      </c>
      <c r="AA14" s="1771"/>
      <c r="AB14" s="1771"/>
      <c r="AC14" s="843" t="s">
        <v>380</v>
      </c>
      <c r="AD14" s="1771"/>
      <c r="AE14" s="1771"/>
      <c r="AF14" s="843" t="s">
        <v>0</v>
      </c>
      <c r="AG14" s="1771"/>
      <c r="AH14" s="1771"/>
      <c r="AI14" s="843" t="s">
        <v>3057</v>
      </c>
    </row>
    <row r="15" spans="1:35" ht="18" customHeight="1">
      <c r="A15" s="843"/>
      <c r="B15" s="843"/>
      <c r="C15" s="843"/>
      <c r="D15" s="843"/>
      <c r="E15" s="843"/>
      <c r="F15" s="843"/>
      <c r="G15" s="843"/>
      <c r="H15" s="843"/>
      <c r="I15" s="843"/>
      <c r="J15" s="843"/>
      <c r="K15" s="843"/>
      <c r="L15" s="843"/>
      <c r="M15" s="843"/>
      <c r="N15" s="843"/>
      <c r="O15" s="843"/>
      <c r="P15" s="843"/>
      <c r="Q15" s="843"/>
      <c r="R15" s="843"/>
      <c r="S15" s="843"/>
      <c r="T15" s="843"/>
      <c r="U15" s="843"/>
      <c r="V15" s="843"/>
      <c r="W15" s="843"/>
      <c r="X15" s="843"/>
      <c r="Y15" s="843"/>
      <c r="Z15" s="843"/>
      <c r="AA15" s="843"/>
      <c r="AB15" s="843"/>
      <c r="AC15" s="843"/>
      <c r="AD15" s="843"/>
      <c r="AE15" s="843"/>
      <c r="AF15" s="843"/>
      <c r="AG15" s="843"/>
      <c r="AH15" s="843"/>
      <c r="AI15" s="843"/>
    </row>
    <row r="16" spans="1:35" ht="22.5" customHeight="1">
      <c r="A16" s="843"/>
      <c r="B16" s="843"/>
      <c r="C16" s="843"/>
      <c r="D16" s="843"/>
      <c r="E16" s="843"/>
      <c r="F16" s="843"/>
      <c r="G16" s="843"/>
      <c r="H16" s="843"/>
      <c r="I16" s="843"/>
      <c r="J16" s="843"/>
      <c r="K16" s="843"/>
      <c r="L16" s="843"/>
      <c r="M16" s="843"/>
      <c r="N16" s="1772" t="s">
        <v>3459</v>
      </c>
      <c r="O16" s="1772"/>
      <c r="P16" s="1772"/>
      <c r="Q16" s="1772"/>
      <c r="R16" s="1772"/>
      <c r="S16" s="1772"/>
      <c r="T16" s="843"/>
      <c r="U16" s="1775" t="str">
        <f>cst_wskakunin_APPLICANT_NAME</f>
        <v>株式会社ユーイック不動産 代表取締役社長 野崎　豊</v>
      </c>
      <c r="V16" s="1775"/>
      <c r="W16" s="1775"/>
      <c r="X16" s="1775"/>
      <c r="Y16" s="1775"/>
      <c r="Z16" s="1775"/>
      <c r="AA16" s="1775"/>
      <c r="AB16" s="1775"/>
      <c r="AC16" s="1775"/>
      <c r="AD16" s="1775"/>
      <c r="AE16" s="1775"/>
      <c r="AF16" s="1775"/>
      <c r="AG16" s="1775"/>
      <c r="AH16" s="1775"/>
      <c r="AI16" s="843"/>
    </row>
    <row r="17" spans="1:39" ht="22.5" customHeight="1">
      <c r="A17" s="843"/>
      <c r="B17" s="843"/>
      <c r="C17" s="843"/>
      <c r="D17" s="843"/>
      <c r="E17" s="843"/>
      <c r="F17" s="843"/>
      <c r="G17" s="843"/>
      <c r="H17" s="843"/>
      <c r="I17" s="843"/>
      <c r="J17" s="843"/>
      <c r="K17" s="843"/>
      <c r="L17" s="843"/>
      <c r="M17" s="843"/>
      <c r="N17" s="845"/>
      <c r="O17" s="845"/>
      <c r="P17" s="845"/>
      <c r="Q17" s="845"/>
      <c r="R17" s="845"/>
      <c r="S17" s="845"/>
      <c r="T17" s="843"/>
      <c r="U17" s="1775"/>
      <c r="V17" s="1775"/>
      <c r="W17" s="1775"/>
      <c r="X17" s="1775"/>
      <c r="Y17" s="1775"/>
      <c r="Z17" s="1775"/>
      <c r="AA17" s="1775"/>
      <c r="AB17" s="1775"/>
      <c r="AC17" s="1775"/>
      <c r="AD17" s="1775"/>
      <c r="AE17" s="1775"/>
      <c r="AF17" s="1775"/>
      <c r="AG17" s="1775"/>
      <c r="AH17" s="1775"/>
      <c r="AI17" s="843"/>
    </row>
    <row r="18" spans="1:39" ht="22.5" customHeight="1">
      <c r="A18" s="843"/>
      <c r="B18" s="843"/>
      <c r="C18" s="843"/>
      <c r="D18" s="843"/>
      <c r="E18" s="843"/>
      <c r="F18" s="843"/>
      <c r="G18" s="843"/>
      <c r="H18" s="843"/>
      <c r="I18" s="843"/>
      <c r="J18" s="843"/>
      <c r="K18" s="843"/>
      <c r="L18" s="843"/>
      <c r="M18" s="843"/>
      <c r="N18" s="843"/>
      <c r="O18" s="843"/>
      <c r="P18" s="843"/>
      <c r="Q18" s="843"/>
      <c r="R18" s="843"/>
      <c r="S18" s="843"/>
      <c r="T18" s="843"/>
      <c r="U18" s="1774"/>
      <c r="V18" s="1774"/>
      <c r="W18" s="1774"/>
      <c r="X18" s="1774"/>
      <c r="Y18" s="1774"/>
      <c r="Z18" s="1774"/>
      <c r="AA18" s="1774"/>
      <c r="AB18" s="1774"/>
      <c r="AC18" s="1774"/>
      <c r="AD18" s="1774"/>
      <c r="AE18" s="1774"/>
      <c r="AF18" s="1774"/>
      <c r="AG18" s="1774"/>
      <c r="AH18" s="1774"/>
      <c r="AI18" s="843"/>
      <c r="AM18" s="844"/>
    </row>
    <row r="19" spans="1:39" ht="18" customHeight="1">
      <c r="A19" s="843"/>
      <c r="B19" s="843"/>
      <c r="C19" s="843"/>
      <c r="D19" s="843"/>
      <c r="E19" s="843"/>
      <c r="F19" s="843"/>
      <c r="G19" s="843"/>
      <c r="H19" s="843"/>
      <c r="I19" s="843"/>
      <c r="J19" s="843"/>
      <c r="K19" s="843"/>
      <c r="L19" s="843"/>
      <c r="M19" s="843"/>
      <c r="N19" s="843"/>
      <c r="O19" s="843"/>
      <c r="P19" s="843"/>
      <c r="Q19" s="843"/>
      <c r="R19" s="843"/>
      <c r="S19" s="843"/>
      <c r="T19" s="843"/>
      <c r="U19" s="843"/>
      <c r="V19" s="843"/>
      <c r="W19" s="843"/>
      <c r="X19" s="843"/>
      <c r="Y19" s="843"/>
      <c r="Z19" s="843"/>
      <c r="AA19" s="843"/>
      <c r="AB19" s="843"/>
      <c r="AC19" s="843"/>
      <c r="AD19" s="843"/>
      <c r="AE19" s="843"/>
      <c r="AF19" s="843"/>
      <c r="AG19" s="843"/>
      <c r="AH19" s="843"/>
      <c r="AI19" s="843"/>
    </row>
    <row r="20" spans="1:39" ht="18" customHeight="1">
      <c r="A20" s="843"/>
      <c r="B20" s="843"/>
      <c r="C20" s="843"/>
      <c r="D20" s="843"/>
      <c r="E20" s="843"/>
      <c r="F20" s="843"/>
      <c r="G20" s="843"/>
      <c r="H20" s="843"/>
      <c r="I20" s="843"/>
      <c r="J20" s="843"/>
      <c r="K20" s="843"/>
      <c r="L20" s="843"/>
      <c r="M20" s="843"/>
      <c r="N20" s="843"/>
      <c r="O20" s="843"/>
      <c r="P20" s="843"/>
      <c r="Q20" s="843"/>
      <c r="R20" s="843"/>
      <c r="S20" s="843"/>
      <c r="T20" s="843"/>
      <c r="U20" s="842"/>
      <c r="V20" s="842"/>
      <c r="W20" s="842"/>
      <c r="X20" s="842"/>
      <c r="Y20" s="842"/>
      <c r="Z20" s="842"/>
      <c r="AA20" s="842"/>
      <c r="AB20" s="842"/>
      <c r="AC20" s="842"/>
      <c r="AD20" s="842"/>
      <c r="AE20" s="842"/>
      <c r="AF20" s="842"/>
      <c r="AG20" s="842"/>
      <c r="AH20" s="842"/>
      <c r="AI20" s="843"/>
    </row>
    <row r="22" spans="1:39" ht="22.5" customHeight="1"/>
    <row r="23" spans="1:39" ht="18" customHeight="1">
      <c r="U23" s="842"/>
      <c r="V23" s="842"/>
      <c r="W23" s="842"/>
      <c r="X23" s="842"/>
      <c r="Y23" s="842"/>
      <c r="Z23" s="842"/>
      <c r="AA23" s="842"/>
      <c r="AB23" s="842"/>
      <c r="AC23" s="842"/>
      <c r="AD23" s="842"/>
      <c r="AE23" s="842"/>
      <c r="AF23" s="842"/>
      <c r="AG23" s="842"/>
      <c r="AH23" s="842"/>
    </row>
    <row r="24" spans="1:39" ht="18" customHeight="1">
      <c r="U24" s="842"/>
      <c r="V24" s="842"/>
      <c r="W24" s="842"/>
      <c r="AF24" s="842"/>
      <c r="AG24" s="842"/>
      <c r="AH24" s="842"/>
    </row>
    <row r="25" spans="1:39" ht="18" customHeight="1">
      <c r="A25" s="826" t="s">
        <v>3458</v>
      </c>
      <c r="W25" s="842"/>
    </row>
    <row r="26" spans="1:39" ht="18" customHeight="1">
      <c r="C26" s="1773" t="str">
        <f>cst_wsjob_KENTIKUBUTU_box&amp;"建築物"</f>
        <v>■建築物</v>
      </c>
      <c r="D26" s="1786"/>
      <c r="E26" s="1786"/>
      <c r="F26" s="1786"/>
      <c r="L26" s="1773" t="str">
        <f>cst_wsjob_SYOUKOUKI_box&amp;"建築設備（昇降機）"</f>
        <v>□建築設備（昇降機）</v>
      </c>
      <c r="M26" s="1773"/>
      <c r="N26" s="1773"/>
      <c r="O26" s="1773"/>
      <c r="P26" s="1773"/>
      <c r="Q26" s="1773"/>
      <c r="R26" s="1773"/>
      <c r="S26" s="1773"/>
      <c r="X26" s="1773" t="str">
        <f>cst_wsjob_KENTIKUSETUBI_box&amp;"建築設備（昇降機以外）"</f>
        <v>□建築設備（昇降機以外）</v>
      </c>
      <c r="Y26" s="1773"/>
      <c r="Z26" s="1773"/>
      <c r="AA26" s="1773"/>
      <c r="AB26" s="1773"/>
      <c r="AC26" s="1773"/>
      <c r="AD26" s="1773"/>
      <c r="AE26" s="1773"/>
      <c r="AF26" s="1773"/>
    </row>
    <row r="27" spans="1:39" ht="18" customHeight="1">
      <c r="C27" s="1785" t="s">
        <v>3457</v>
      </c>
      <c r="D27" s="1785"/>
      <c r="E27" s="1785"/>
      <c r="F27" s="1785"/>
      <c r="G27" s="1785"/>
      <c r="H27" s="1785"/>
      <c r="I27" s="1785"/>
      <c r="K27" s="841"/>
      <c r="L27" s="1773" t="str">
        <f>cst_wsjob_KOUSAKUBUTU_1_box&amp;"工作物（法第88条第1項）"</f>
        <v>□工作物（法第88条第1項）</v>
      </c>
      <c r="M27" s="1773"/>
      <c r="N27" s="1773"/>
      <c r="O27" s="1773"/>
      <c r="P27" s="1773"/>
      <c r="Q27" s="1773"/>
      <c r="R27" s="1773"/>
      <c r="S27" s="1773"/>
      <c r="T27" s="1773"/>
      <c r="U27" s="1773"/>
      <c r="X27" s="1773" t="str">
        <f>cst_wsjob_KOUSAKUBUTU_2_box&amp;"工作物（法第88条第2項）"</f>
        <v>□工作物（法第88条第2項）</v>
      </c>
      <c r="Y27" s="1773"/>
      <c r="Z27" s="1773"/>
      <c r="AA27" s="1773"/>
      <c r="AB27" s="1773"/>
      <c r="AC27" s="1773"/>
      <c r="AD27" s="1773"/>
      <c r="AE27" s="1773"/>
      <c r="AF27" s="1773"/>
      <c r="AG27" s="1773"/>
    </row>
    <row r="29" spans="1:39" ht="15" customHeight="1">
      <c r="A29" s="1272" t="s">
        <v>3455</v>
      </c>
      <c r="B29" s="1273"/>
      <c r="C29" s="1273"/>
      <c r="D29" s="1273"/>
      <c r="E29" s="1273"/>
      <c r="F29" s="1273"/>
      <c r="G29" s="1273"/>
      <c r="H29" s="1273"/>
      <c r="I29" s="1273"/>
      <c r="J29" s="1273"/>
      <c r="K29" s="1273"/>
      <c r="L29" s="1273"/>
      <c r="M29" s="1273"/>
      <c r="N29" s="1273"/>
      <c r="O29" s="1273"/>
      <c r="P29" s="1273"/>
      <c r="Q29" s="1273"/>
      <c r="R29" s="1273"/>
      <c r="S29" s="1273"/>
      <c r="T29" s="1273"/>
      <c r="U29" s="1273"/>
      <c r="V29" s="1273"/>
      <c r="W29" s="1273"/>
      <c r="X29" s="1273"/>
      <c r="Y29" s="1273"/>
      <c r="Z29" s="1273"/>
      <c r="AA29" s="1273"/>
      <c r="AB29" s="1273"/>
      <c r="AC29" s="1273"/>
      <c r="AD29" s="1273"/>
      <c r="AE29" s="1273"/>
      <c r="AF29" s="1273"/>
      <c r="AG29" s="1273"/>
      <c r="AH29" s="1273"/>
      <c r="AI29" s="1274"/>
    </row>
    <row r="30" spans="1:39" ht="15" customHeight="1">
      <c r="A30" s="1275"/>
      <c r="B30" s="1267"/>
      <c r="C30" s="1276" t="s">
        <v>2675</v>
      </c>
      <c r="D30" s="1267"/>
      <c r="E30" s="1267"/>
      <c r="F30" s="1267" t="s">
        <v>380</v>
      </c>
      <c r="G30" s="1267"/>
      <c r="H30" s="1267"/>
      <c r="I30" s="1267" t="s">
        <v>0</v>
      </c>
      <c r="J30" s="1267"/>
      <c r="K30" s="1267"/>
      <c r="L30" s="1267" t="s">
        <v>3057</v>
      </c>
      <c r="M30" s="1267" t="s">
        <v>3454</v>
      </c>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77"/>
    </row>
    <row r="31" spans="1:39" ht="15" customHeight="1">
      <c r="A31" s="1275"/>
      <c r="B31" s="1267"/>
      <c r="C31" s="1267"/>
      <c r="D31" s="1267"/>
      <c r="E31" s="1267"/>
      <c r="F31" s="1267"/>
      <c r="G31" s="1267"/>
      <c r="H31" s="1267"/>
      <c r="I31" s="1267"/>
      <c r="J31" s="1267"/>
      <c r="K31" s="1267"/>
      <c r="L31" s="1267"/>
      <c r="M31" s="1267"/>
      <c r="N31" s="1267"/>
      <c r="O31" s="1267"/>
      <c r="P31" s="1267"/>
      <c r="Q31" s="1267"/>
      <c r="R31" s="1267"/>
      <c r="S31" s="1267"/>
      <c r="T31" s="1267"/>
      <c r="U31" s="1267"/>
      <c r="V31" s="1267"/>
      <c r="W31" s="1267"/>
      <c r="X31" s="1267"/>
      <c r="Y31" s="1267"/>
      <c r="Z31" s="1267"/>
      <c r="AA31" s="1267"/>
      <c r="AB31" s="1267"/>
      <c r="AC31" s="1267"/>
      <c r="AD31" s="1267"/>
      <c r="AE31" s="1267"/>
      <c r="AF31" s="1267"/>
      <c r="AG31" s="1267"/>
      <c r="AH31" s="1267"/>
      <c r="AI31" s="1277"/>
    </row>
    <row r="32" spans="1:39" ht="15" customHeight="1">
      <c r="A32" s="1278"/>
      <c r="B32" s="1268"/>
      <c r="C32" s="1279" t="s">
        <v>3453</v>
      </c>
      <c r="D32" s="1268"/>
      <c r="E32" s="1268"/>
      <c r="F32" s="1268"/>
      <c r="G32" s="1268"/>
      <c r="H32" s="1268"/>
      <c r="I32" s="1268"/>
      <c r="J32" s="1268"/>
      <c r="K32" s="1268"/>
      <c r="L32" s="1268"/>
      <c r="M32" s="1268" t="s">
        <v>3452</v>
      </c>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80"/>
    </row>
    <row r="33" spans="1:35" ht="25.5" customHeight="1">
      <c r="A33" s="832" t="s">
        <v>3258</v>
      </c>
      <c r="B33" s="840"/>
      <c r="C33" s="840"/>
      <c r="D33" s="840"/>
      <c r="E33" s="840"/>
      <c r="F33" s="840"/>
      <c r="G33" s="840"/>
      <c r="H33" s="840"/>
      <c r="I33" s="840"/>
      <c r="J33" s="840"/>
      <c r="K33" s="839"/>
      <c r="L33" s="832" t="s">
        <v>3450</v>
      </c>
      <c r="M33" s="840"/>
      <c r="N33" s="840"/>
      <c r="O33" s="839"/>
      <c r="P33" s="832" t="s">
        <v>3449</v>
      </c>
      <c r="Q33" s="840"/>
      <c r="R33" s="840"/>
      <c r="S33" s="839"/>
      <c r="T33" s="832" t="s">
        <v>3448</v>
      </c>
      <c r="U33" s="840"/>
      <c r="V33" s="840"/>
      <c r="W33" s="840"/>
      <c r="X33" s="840"/>
      <c r="Y33" s="840"/>
      <c r="Z33" s="840"/>
      <c r="AA33" s="840"/>
      <c r="AB33" s="840"/>
      <c r="AC33" s="840"/>
      <c r="AD33" s="839"/>
      <c r="AE33" s="1790" t="s">
        <v>3447</v>
      </c>
      <c r="AF33" s="1791"/>
      <c r="AG33" s="1791"/>
      <c r="AH33" s="1791"/>
      <c r="AI33" s="1792"/>
    </row>
    <row r="34" spans="1:35" ht="25.5" customHeight="1">
      <c r="A34" s="832"/>
      <c r="B34" s="838" t="s">
        <v>2675</v>
      </c>
      <c r="C34" s="1787"/>
      <c r="D34" s="1787"/>
      <c r="E34" s="831" t="s">
        <v>380</v>
      </c>
      <c r="F34" s="1787"/>
      <c r="G34" s="1787"/>
      <c r="H34" s="831" t="s">
        <v>0</v>
      </c>
      <c r="I34" s="1787"/>
      <c r="J34" s="1787"/>
      <c r="K34" s="830" t="s">
        <v>3057</v>
      </c>
      <c r="L34" s="837"/>
      <c r="M34" s="836"/>
      <c r="N34" s="836"/>
      <c r="O34" s="835"/>
      <c r="P34" s="837"/>
      <c r="Q34" s="836"/>
      <c r="R34" s="836"/>
      <c r="S34" s="835"/>
      <c r="T34" s="832"/>
      <c r="U34" s="838" t="s">
        <v>2675</v>
      </c>
      <c r="V34" s="1787"/>
      <c r="W34" s="1787"/>
      <c r="X34" s="831" t="s">
        <v>380</v>
      </c>
      <c r="Y34" s="1787"/>
      <c r="Z34" s="1787"/>
      <c r="AA34" s="831" t="s">
        <v>0</v>
      </c>
      <c r="AB34" s="1787"/>
      <c r="AC34" s="1787"/>
      <c r="AD34" s="830" t="s">
        <v>3057</v>
      </c>
      <c r="AE34" s="837"/>
      <c r="AF34" s="836"/>
      <c r="AG34" s="836"/>
      <c r="AH34" s="836"/>
      <c r="AI34" s="835"/>
    </row>
    <row r="35" spans="1:35" ht="25.5" customHeight="1">
      <c r="A35" s="1788" t="s">
        <v>3446</v>
      </c>
      <c r="B35" s="1787"/>
      <c r="C35" s="1787"/>
      <c r="D35" s="1787"/>
      <c r="E35" s="1787"/>
      <c r="F35" s="1787"/>
      <c r="G35" s="1787"/>
      <c r="H35" s="1787"/>
      <c r="I35" s="1787"/>
      <c r="J35" s="1787"/>
      <c r="K35" s="1789"/>
      <c r="L35" s="834"/>
      <c r="O35" s="833"/>
      <c r="P35" s="834"/>
      <c r="S35" s="833"/>
      <c r="T35" s="1788" t="s">
        <v>3445</v>
      </c>
      <c r="U35" s="1787"/>
      <c r="V35" s="1787"/>
      <c r="W35" s="1787"/>
      <c r="X35" s="1787"/>
      <c r="Y35" s="1787"/>
      <c r="Z35" s="1787"/>
      <c r="AA35" s="1787"/>
      <c r="AB35" s="1787"/>
      <c r="AC35" s="1787"/>
      <c r="AD35" s="1789"/>
      <c r="AE35" s="834"/>
      <c r="AI35" s="833"/>
    </row>
    <row r="36" spans="1:35" ht="25.5" customHeight="1">
      <c r="A36" s="832" t="s">
        <v>3254</v>
      </c>
      <c r="B36" s="831"/>
      <c r="C36" s="831"/>
      <c r="D36" s="831"/>
      <c r="E36" s="831"/>
      <c r="F36" s="831"/>
      <c r="G36" s="831"/>
      <c r="H36" s="831"/>
      <c r="I36" s="831"/>
      <c r="J36" s="831"/>
      <c r="K36" s="830"/>
      <c r="L36" s="829"/>
      <c r="M36" s="828"/>
      <c r="N36" s="828"/>
      <c r="O36" s="827"/>
      <c r="P36" s="829"/>
      <c r="Q36" s="828"/>
      <c r="R36" s="828"/>
      <c r="S36" s="827"/>
      <c r="T36" s="832" t="s">
        <v>3254</v>
      </c>
      <c r="U36" s="831"/>
      <c r="V36" s="831"/>
      <c r="W36" s="831"/>
      <c r="X36" s="831"/>
      <c r="Y36" s="831"/>
      <c r="Z36" s="831"/>
      <c r="AA36" s="831"/>
      <c r="AB36" s="831"/>
      <c r="AC36" s="831"/>
      <c r="AD36" s="830"/>
      <c r="AE36" s="829"/>
      <c r="AF36" s="828"/>
      <c r="AG36" s="828"/>
      <c r="AH36" s="828"/>
      <c r="AI36" s="827"/>
    </row>
    <row r="37" spans="1:35" ht="18" customHeight="1">
      <c r="A37" s="1776" t="s">
        <v>3444</v>
      </c>
      <c r="B37" s="1777"/>
      <c r="C37" s="1777"/>
      <c r="D37" s="1777"/>
      <c r="E37" s="1777"/>
      <c r="F37" s="1777"/>
      <c r="G37" s="1777"/>
      <c r="H37" s="1777"/>
      <c r="I37" s="1777"/>
      <c r="J37" s="1777"/>
      <c r="K37" s="1777"/>
      <c r="L37" s="1777"/>
      <c r="M37" s="1777"/>
      <c r="N37" s="1777"/>
      <c r="O37" s="1777"/>
      <c r="P37" s="1777"/>
      <c r="Q37" s="1777"/>
      <c r="R37" s="1777"/>
      <c r="S37" s="1777"/>
      <c r="T37" s="1777"/>
      <c r="U37" s="1777"/>
      <c r="V37" s="1777"/>
      <c r="W37" s="1777"/>
      <c r="X37" s="1777"/>
      <c r="Y37" s="1777"/>
      <c r="Z37" s="1777"/>
      <c r="AA37" s="1777"/>
      <c r="AB37" s="1777"/>
      <c r="AC37" s="1777"/>
      <c r="AD37" s="1777"/>
      <c r="AE37" s="1777"/>
      <c r="AF37" s="1777"/>
      <c r="AG37" s="1777"/>
      <c r="AH37" s="1777"/>
      <c r="AI37" s="1778"/>
    </row>
    <row r="38" spans="1:35" ht="18" customHeight="1">
      <c r="A38" s="1779"/>
      <c r="B38" s="1780"/>
      <c r="C38" s="1780"/>
      <c r="D38" s="1780"/>
      <c r="E38" s="1780"/>
      <c r="F38" s="1780"/>
      <c r="G38" s="1780"/>
      <c r="H38" s="1780"/>
      <c r="I38" s="1780"/>
      <c r="J38" s="1780"/>
      <c r="K38" s="1780"/>
      <c r="L38" s="1780"/>
      <c r="M38" s="1780"/>
      <c r="N38" s="1780"/>
      <c r="O38" s="1780"/>
      <c r="P38" s="1780"/>
      <c r="Q38" s="1780"/>
      <c r="R38" s="1780"/>
      <c r="S38" s="1780"/>
      <c r="T38" s="1780"/>
      <c r="U38" s="1780"/>
      <c r="V38" s="1780"/>
      <c r="W38" s="1780"/>
      <c r="X38" s="1780"/>
      <c r="Y38" s="1780"/>
      <c r="Z38" s="1780"/>
      <c r="AA38" s="1780"/>
      <c r="AB38" s="1780"/>
      <c r="AC38" s="1780"/>
      <c r="AD38" s="1780"/>
      <c r="AE38" s="1780"/>
      <c r="AF38" s="1780"/>
      <c r="AG38" s="1780"/>
      <c r="AH38" s="1780"/>
      <c r="AI38" s="1781"/>
    </row>
    <row r="39" spans="1:35" ht="18" customHeight="1">
      <c r="A39" s="1779"/>
      <c r="B39" s="1780"/>
      <c r="C39" s="1780"/>
      <c r="D39" s="1780"/>
      <c r="E39" s="1780"/>
      <c r="F39" s="1780"/>
      <c r="G39" s="1780"/>
      <c r="H39" s="1780"/>
      <c r="I39" s="1780"/>
      <c r="J39" s="1780"/>
      <c r="K39" s="1780"/>
      <c r="L39" s="1780"/>
      <c r="M39" s="1780"/>
      <c r="N39" s="1780"/>
      <c r="O39" s="1780"/>
      <c r="P39" s="1780"/>
      <c r="Q39" s="1780"/>
      <c r="R39" s="1780"/>
      <c r="S39" s="1780"/>
      <c r="T39" s="1780"/>
      <c r="U39" s="1780"/>
      <c r="V39" s="1780"/>
      <c r="W39" s="1780"/>
      <c r="X39" s="1780"/>
      <c r="Y39" s="1780"/>
      <c r="Z39" s="1780"/>
      <c r="AA39" s="1780"/>
      <c r="AB39" s="1780"/>
      <c r="AC39" s="1780"/>
      <c r="AD39" s="1780"/>
      <c r="AE39" s="1780"/>
      <c r="AF39" s="1780"/>
      <c r="AG39" s="1780"/>
      <c r="AH39" s="1780"/>
      <c r="AI39" s="1781"/>
    </row>
    <row r="40" spans="1:35" ht="18" customHeight="1">
      <c r="A40" s="1782"/>
      <c r="B40" s="1783"/>
      <c r="C40" s="1783"/>
      <c r="D40" s="1783"/>
      <c r="E40" s="1783"/>
      <c r="F40" s="1783"/>
      <c r="G40" s="1783"/>
      <c r="H40" s="1783"/>
      <c r="I40" s="1783"/>
      <c r="J40" s="1783"/>
      <c r="K40" s="1783"/>
      <c r="L40" s="1783"/>
      <c r="M40" s="1783"/>
      <c r="N40" s="1783"/>
      <c r="O40" s="1783"/>
      <c r="P40" s="1783"/>
      <c r="Q40" s="1783"/>
      <c r="R40" s="1783"/>
      <c r="S40" s="1783"/>
      <c r="T40" s="1783"/>
      <c r="U40" s="1783"/>
      <c r="V40" s="1783"/>
      <c r="W40" s="1783"/>
      <c r="X40" s="1783"/>
      <c r="Y40" s="1783"/>
      <c r="Z40" s="1783"/>
      <c r="AA40" s="1783"/>
      <c r="AB40" s="1783"/>
      <c r="AC40" s="1783"/>
      <c r="AD40" s="1783"/>
      <c r="AE40" s="1783"/>
      <c r="AF40" s="1783"/>
      <c r="AG40" s="1783"/>
      <c r="AH40" s="1783"/>
      <c r="AI40" s="1784"/>
    </row>
  </sheetData>
  <mergeCells count="22">
    <mergeCell ref="A37:AI40"/>
    <mergeCell ref="C27:I27"/>
    <mergeCell ref="C26:F26"/>
    <mergeCell ref="L27:U27"/>
    <mergeCell ref="L26:S26"/>
    <mergeCell ref="V34:W34"/>
    <mergeCell ref="Y34:Z34"/>
    <mergeCell ref="AB34:AC34"/>
    <mergeCell ref="A35:K35"/>
    <mergeCell ref="T35:AD35"/>
    <mergeCell ref="I34:J34"/>
    <mergeCell ref="AE33:AI33"/>
    <mergeCell ref="C34:D34"/>
    <mergeCell ref="F34:G34"/>
    <mergeCell ref="AA14:AB14"/>
    <mergeCell ref="N16:S16"/>
    <mergeCell ref="X26:AF26"/>
    <mergeCell ref="X27:AG27"/>
    <mergeCell ref="AD14:AE14"/>
    <mergeCell ref="AG14:AH14"/>
    <mergeCell ref="U18:AH18"/>
    <mergeCell ref="U16:AH17"/>
  </mergeCells>
  <phoneticPr fontId="122"/>
  <dataValidations count="6">
    <dataValidation type="list" allowBlank="1" showInputMessage="1" showErrorMessage="1" sqref="C27" xr:uid="{00000000-0002-0000-1900-000000000000}">
      <formula1>"□工作物（昇降機）,☑工作物（昇降機）"</formula1>
    </dataValidation>
    <dataValidation type="list" allowBlank="1" showInputMessage="1" sqref="C26:F26" xr:uid="{00000000-0002-0000-1900-000001000000}">
      <formula1>"□建築物,☑建築物"</formula1>
    </dataValidation>
    <dataValidation type="list" allowBlank="1" showInputMessage="1" sqref="L27:U27" xr:uid="{00000000-0002-0000-1900-000002000000}">
      <formula1>"□工作物（法第88条第1項）,☑工作物（法第88条第1項）"</formula1>
    </dataValidation>
    <dataValidation type="list" allowBlank="1" showInputMessage="1" sqref="X27:AG27" xr:uid="{00000000-0002-0000-1900-000003000000}">
      <formula1>"□工作物（法第88条第2項）,☑工作物（法第88条第2項）"</formula1>
    </dataValidation>
    <dataValidation type="list" allowBlank="1" showInputMessage="1" sqref="L26:S26" xr:uid="{00000000-0002-0000-1900-000004000000}">
      <formula1>"□建築設備（昇降機）,☑建築設備（昇降機）"</formula1>
    </dataValidation>
    <dataValidation type="list" allowBlank="1" showInputMessage="1" sqref="X26:AF26" xr:uid="{00000000-0002-0000-1900-000005000000}">
      <formula1>"□建築設備（昇降機以外）,☑建築設備（昇降機以外）"</formula1>
    </dataValidation>
  </dataValidations>
  <pageMargins left="0.98425196850393704" right="0.78740157480314965" top="0.59055118110236227" bottom="0.39370078740157483" header="0.51181102362204722" footer="0.51181102362204722"/>
  <pageSetup paperSize="9" orientation="portrait" blackAndWhite="1"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39"/>
  <sheetViews>
    <sheetView zoomScaleNormal="100" zoomScaleSheetLayoutView="100" workbookViewId="0"/>
  </sheetViews>
  <sheetFormatPr defaultColWidth="2.109375" defaultRowHeight="18" customHeight="1"/>
  <cols>
    <col min="1" max="37" width="2.33203125" style="875" customWidth="1"/>
    <col min="38" max="38" width="2.109375" style="875" customWidth="1"/>
    <col min="39" max="16384" width="2.109375" style="875"/>
  </cols>
  <sheetData>
    <row r="1" spans="1:35" ht="18" customHeight="1">
      <c r="A1" s="874" t="s">
        <v>3523</v>
      </c>
      <c r="B1" s="874"/>
      <c r="C1" s="874"/>
      <c r="D1" s="874"/>
      <c r="E1" s="874"/>
      <c r="F1" s="874"/>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4"/>
    </row>
    <row r="2" spans="1:35" ht="18" customHeight="1">
      <c r="A2" s="874"/>
      <c r="B2" s="874"/>
      <c r="C2" s="874"/>
      <c r="D2" s="874"/>
      <c r="E2" s="874"/>
      <c r="F2" s="874"/>
      <c r="G2" s="874"/>
      <c r="H2" s="874"/>
      <c r="I2" s="874"/>
      <c r="J2" s="874"/>
      <c r="K2" s="874"/>
      <c r="L2" s="874"/>
      <c r="M2" s="874"/>
      <c r="N2" s="874"/>
      <c r="O2" s="874"/>
      <c r="P2" s="874"/>
      <c r="Q2" s="874"/>
      <c r="R2" s="874"/>
      <c r="S2" s="874"/>
      <c r="T2" s="874"/>
      <c r="U2" s="874"/>
      <c r="V2" s="874"/>
      <c r="W2" s="874"/>
      <c r="X2" s="874"/>
      <c r="Y2" s="874"/>
      <c r="Z2" s="874"/>
      <c r="AA2" s="874"/>
      <c r="AB2" s="874"/>
      <c r="AC2" s="874"/>
      <c r="AD2" s="874"/>
      <c r="AE2" s="874"/>
      <c r="AF2" s="874"/>
      <c r="AG2" s="874"/>
      <c r="AH2" s="874"/>
      <c r="AI2" s="874"/>
    </row>
    <row r="3" spans="1:35" ht="18" customHeight="1">
      <c r="A3" s="876" t="s">
        <v>3463</v>
      </c>
      <c r="B3" s="876"/>
      <c r="C3" s="876"/>
      <c r="D3" s="876"/>
      <c r="E3" s="876"/>
      <c r="F3" s="876"/>
      <c r="G3" s="876"/>
      <c r="H3" s="876"/>
      <c r="I3" s="876"/>
      <c r="J3" s="876"/>
      <c r="K3" s="876"/>
      <c r="L3" s="876"/>
      <c r="M3" s="876"/>
      <c r="N3" s="876"/>
      <c r="O3" s="876"/>
      <c r="P3" s="876"/>
      <c r="Q3" s="876"/>
      <c r="R3" s="876"/>
      <c r="S3" s="876"/>
      <c r="T3" s="876"/>
      <c r="U3" s="876"/>
      <c r="V3" s="876"/>
      <c r="W3" s="876"/>
      <c r="X3" s="876"/>
      <c r="Y3" s="876"/>
      <c r="Z3" s="876"/>
      <c r="AA3" s="876"/>
      <c r="AB3" s="876"/>
      <c r="AC3" s="876"/>
      <c r="AD3" s="876"/>
      <c r="AE3" s="876"/>
      <c r="AF3" s="876"/>
      <c r="AG3" s="876"/>
      <c r="AH3" s="876"/>
      <c r="AI3" s="876"/>
    </row>
    <row r="4" spans="1:35" ht="18" customHeight="1">
      <c r="A4" s="876" t="s">
        <v>5</v>
      </c>
      <c r="B4" s="876"/>
      <c r="C4" s="876"/>
      <c r="D4" s="876"/>
      <c r="E4" s="876"/>
      <c r="F4" s="876"/>
      <c r="G4" s="876"/>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row>
    <row r="5" spans="1:35" ht="18" customHeight="1">
      <c r="A5" s="876"/>
      <c r="B5" s="876"/>
      <c r="C5" s="876"/>
      <c r="D5" s="876"/>
      <c r="E5" s="876"/>
      <c r="F5" s="876"/>
      <c r="G5" s="876"/>
      <c r="H5" s="876"/>
      <c r="I5" s="876"/>
      <c r="J5" s="876"/>
      <c r="K5" s="876"/>
      <c r="L5" s="876"/>
      <c r="M5" s="876"/>
      <c r="N5" s="876"/>
      <c r="O5" s="876"/>
      <c r="P5" s="876"/>
      <c r="Q5" s="876"/>
      <c r="R5" s="876"/>
      <c r="S5" s="876"/>
      <c r="T5" s="876"/>
      <c r="U5" s="876"/>
      <c r="V5" s="876"/>
      <c r="W5" s="876"/>
      <c r="X5" s="876"/>
      <c r="Y5" s="876"/>
      <c r="Z5" s="876"/>
      <c r="AA5" s="876"/>
      <c r="AB5" s="876"/>
      <c r="AC5" s="876"/>
      <c r="AD5" s="876"/>
      <c r="AE5" s="876"/>
      <c r="AF5" s="876"/>
      <c r="AG5" s="876"/>
      <c r="AH5" s="876"/>
      <c r="AI5" s="876"/>
    </row>
    <row r="6" spans="1:35" ht="37.200000000000003" customHeight="1">
      <c r="A6" s="1821" t="s">
        <v>3524</v>
      </c>
      <c r="B6" s="1821"/>
      <c r="C6" s="1821"/>
      <c r="D6" s="1821"/>
      <c r="E6" s="1821"/>
      <c r="F6" s="1821"/>
      <c r="G6" s="1821"/>
      <c r="H6" s="1821"/>
      <c r="I6" s="1821"/>
      <c r="J6" s="1821"/>
      <c r="K6" s="1821"/>
      <c r="L6" s="1821"/>
      <c r="M6" s="1821"/>
      <c r="N6" s="1821"/>
      <c r="O6" s="1821"/>
      <c r="P6" s="1821"/>
      <c r="Q6" s="1821"/>
      <c r="R6" s="1821"/>
      <c r="S6" s="1821"/>
      <c r="T6" s="1821"/>
      <c r="U6" s="1821"/>
      <c r="V6" s="1821"/>
      <c r="W6" s="1821"/>
      <c r="X6" s="1821"/>
      <c r="Y6" s="1821"/>
      <c r="Z6" s="1821"/>
      <c r="AA6" s="1821"/>
      <c r="AB6" s="1821"/>
      <c r="AC6" s="1821"/>
      <c r="AD6" s="1821"/>
      <c r="AE6" s="1821"/>
      <c r="AF6" s="1821"/>
      <c r="AG6" s="1821"/>
      <c r="AH6" s="1821"/>
      <c r="AI6" s="1821"/>
    </row>
    <row r="7" spans="1:35" ht="18" customHeight="1">
      <c r="A7" s="874"/>
      <c r="B7" s="874"/>
      <c r="C7" s="874"/>
      <c r="D7" s="874"/>
      <c r="E7" s="874"/>
      <c r="F7" s="874"/>
      <c r="G7" s="874"/>
      <c r="H7" s="874"/>
      <c r="I7" s="874"/>
      <c r="J7" s="874"/>
      <c r="K7" s="874"/>
      <c r="L7" s="874"/>
      <c r="M7" s="874"/>
      <c r="N7" s="874"/>
      <c r="O7" s="874"/>
      <c r="P7" s="874"/>
      <c r="Q7" s="874"/>
      <c r="R7" s="874"/>
      <c r="S7" s="874"/>
      <c r="T7" s="874"/>
      <c r="U7" s="874"/>
      <c r="V7" s="874"/>
      <c r="W7" s="874"/>
      <c r="X7" s="874"/>
      <c r="Y7" s="874"/>
      <c r="Z7" s="874"/>
      <c r="AA7" s="874"/>
      <c r="AB7" s="874"/>
      <c r="AC7" s="874"/>
      <c r="AD7" s="874"/>
      <c r="AE7" s="874"/>
      <c r="AF7" s="874"/>
      <c r="AG7" s="874"/>
      <c r="AH7" s="874"/>
      <c r="AI7" s="874"/>
    </row>
    <row r="8" spans="1:35" ht="18" customHeight="1">
      <c r="A8" s="874"/>
      <c r="B8" s="874"/>
      <c r="C8" s="874"/>
      <c r="D8" s="874"/>
      <c r="E8" s="874"/>
      <c r="F8" s="874"/>
      <c r="G8" s="874"/>
      <c r="H8" s="874"/>
      <c r="I8" s="874"/>
      <c r="J8" s="874"/>
      <c r="K8" s="874"/>
      <c r="L8" s="874"/>
      <c r="M8" s="874"/>
      <c r="N8" s="874"/>
      <c r="O8" s="874"/>
      <c r="P8" s="874"/>
      <c r="Q8" s="874"/>
      <c r="R8" s="874"/>
      <c r="S8" s="874"/>
      <c r="T8" s="874"/>
      <c r="U8" s="874"/>
      <c r="V8" s="874"/>
      <c r="W8" s="874"/>
      <c r="X8" s="874"/>
      <c r="Y8" s="874"/>
      <c r="Z8" s="874"/>
      <c r="AA8" s="874"/>
      <c r="AB8" s="874"/>
      <c r="AC8" s="874"/>
      <c r="AD8" s="874"/>
      <c r="AE8" s="874"/>
      <c r="AF8" s="874"/>
      <c r="AG8" s="874"/>
      <c r="AH8" s="874"/>
      <c r="AI8" s="874"/>
    </row>
    <row r="9" spans="1:35" ht="18" customHeight="1">
      <c r="A9" s="874"/>
      <c r="B9" s="874"/>
      <c r="C9" s="874"/>
      <c r="D9" s="874"/>
      <c r="E9" s="874"/>
      <c r="F9" s="874"/>
      <c r="G9" s="874"/>
      <c r="H9" s="874"/>
      <c r="I9" s="874"/>
      <c r="J9" s="874"/>
      <c r="K9" s="874"/>
      <c r="L9" s="874"/>
      <c r="M9" s="874"/>
      <c r="N9" s="874"/>
      <c r="O9" s="874"/>
      <c r="P9" s="874"/>
      <c r="Q9" s="874"/>
      <c r="R9" s="874"/>
      <c r="S9" s="874"/>
      <c r="T9" s="874"/>
      <c r="U9" s="874"/>
      <c r="V9" s="874"/>
      <c r="W9" s="874"/>
      <c r="X9" s="874"/>
      <c r="Y9" s="874"/>
      <c r="Z9" s="874"/>
      <c r="AA9" s="874"/>
      <c r="AB9" s="874"/>
      <c r="AC9" s="874"/>
      <c r="AD9" s="874"/>
      <c r="AE9" s="874"/>
      <c r="AF9" s="874"/>
      <c r="AG9" s="874"/>
      <c r="AH9" s="874"/>
      <c r="AI9" s="874"/>
    </row>
    <row r="10" spans="1:35" ht="18" customHeight="1">
      <c r="A10" s="874" t="s">
        <v>3460</v>
      </c>
      <c r="B10" s="874"/>
      <c r="C10" s="874"/>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row>
    <row r="11" spans="1:35" ht="18" customHeight="1">
      <c r="A11" s="874"/>
      <c r="B11" s="874"/>
      <c r="C11" s="874"/>
      <c r="D11" s="874"/>
      <c r="E11" s="874"/>
      <c r="F11" s="874"/>
      <c r="G11" s="874"/>
      <c r="H11" s="874"/>
      <c r="I11" s="874"/>
      <c r="J11" s="874"/>
      <c r="K11" s="874"/>
      <c r="L11" s="874"/>
      <c r="M11" s="874"/>
      <c r="N11" s="874"/>
      <c r="O11" s="874"/>
      <c r="P11" s="874"/>
      <c r="Q11" s="874"/>
      <c r="R11" s="874"/>
      <c r="S11" s="874"/>
      <c r="T11" s="874"/>
      <c r="U11" s="874"/>
      <c r="V11" s="874"/>
      <c r="W11" s="874"/>
      <c r="X11" s="874"/>
      <c r="Y11" s="874"/>
      <c r="Z11" s="874"/>
      <c r="AA11" s="874"/>
      <c r="AB11" s="874"/>
      <c r="AC11" s="874"/>
      <c r="AD11" s="874"/>
      <c r="AE11" s="874"/>
      <c r="AF11" s="874"/>
      <c r="AG11" s="874"/>
      <c r="AH11" s="874"/>
      <c r="AI11" s="874"/>
    </row>
    <row r="12" spans="1:35" ht="18" customHeight="1">
      <c r="A12" s="874"/>
      <c r="B12" s="874"/>
      <c r="C12" s="874"/>
      <c r="D12" s="874"/>
      <c r="E12" s="874"/>
      <c r="F12" s="874"/>
      <c r="G12" s="874"/>
      <c r="H12" s="874"/>
      <c r="I12" s="874"/>
      <c r="J12" s="874"/>
      <c r="K12" s="874"/>
      <c r="L12" s="874"/>
      <c r="M12" s="874"/>
      <c r="N12" s="874"/>
      <c r="O12" s="874"/>
      <c r="P12" s="874"/>
      <c r="Q12" s="874"/>
      <c r="R12" s="874"/>
      <c r="S12" s="874"/>
      <c r="T12" s="874"/>
      <c r="U12" s="874"/>
      <c r="V12" s="874"/>
      <c r="W12" s="874"/>
      <c r="X12" s="874"/>
      <c r="Y12" s="877" t="s">
        <v>3065</v>
      </c>
      <c r="Z12" s="1822"/>
      <c r="AA12" s="1822"/>
      <c r="AB12" s="1822"/>
      <c r="AC12" s="1822"/>
      <c r="AD12" s="1822"/>
      <c r="AE12" s="1822"/>
      <c r="AF12" s="1822"/>
      <c r="AG12" s="1822"/>
      <c r="AH12" s="1822"/>
      <c r="AI12" s="874" t="s">
        <v>381</v>
      </c>
    </row>
    <row r="13" spans="1:35" ht="18" customHeight="1">
      <c r="A13" s="874"/>
      <c r="B13" s="874"/>
      <c r="C13" s="874"/>
      <c r="D13" s="874"/>
      <c r="E13" s="874"/>
      <c r="F13" s="874"/>
      <c r="G13" s="874"/>
      <c r="H13" s="874"/>
      <c r="I13" s="874"/>
      <c r="J13" s="874"/>
      <c r="K13" s="874"/>
      <c r="L13" s="874"/>
      <c r="M13" s="874"/>
      <c r="N13" s="874"/>
      <c r="O13" s="874"/>
      <c r="P13" s="874"/>
      <c r="Q13" s="874"/>
      <c r="R13" s="874"/>
      <c r="S13" s="874"/>
      <c r="T13" s="874"/>
      <c r="U13" s="874"/>
      <c r="V13" s="874"/>
      <c r="W13" s="874"/>
      <c r="X13" s="874"/>
      <c r="Y13" s="874"/>
      <c r="Z13" s="878" t="s">
        <v>2675</v>
      </c>
      <c r="AA13" s="1823"/>
      <c r="AB13" s="1823"/>
      <c r="AC13" s="874" t="s">
        <v>380</v>
      </c>
      <c r="AD13" s="1823"/>
      <c r="AE13" s="1823"/>
      <c r="AF13" s="874" t="s">
        <v>0</v>
      </c>
      <c r="AG13" s="1823"/>
      <c r="AH13" s="1823"/>
      <c r="AI13" s="874" t="s">
        <v>3057</v>
      </c>
    </row>
    <row r="14" spans="1:35" ht="18" customHeight="1">
      <c r="A14" s="874"/>
      <c r="B14" s="874"/>
      <c r="C14" s="874"/>
      <c r="D14" s="874"/>
      <c r="E14" s="874"/>
      <c r="F14" s="874"/>
      <c r="G14" s="874"/>
      <c r="H14" s="874"/>
      <c r="I14" s="874"/>
      <c r="J14" s="874"/>
      <c r="K14" s="874"/>
      <c r="L14" s="874"/>
      <c r="M14" s="874"/>
      <c r="N14" s="874"/>
      <c r="O14" s="874"/>
      <c r="P14" s="874"/>
      <c r="Q14" s="874"/>
      <c r="R14" s="874"/>
      <c r="S14" s="874"/>
      <c r="T14" s="874"/>
      <c r="U14" s="874"/>
      <c r="V14" s="874"/>
      <c r="W14" s="874"/>
      <c r="X14" s="874"/>
      <c r="Y14" s="874"/>
      <c r="Z14" s="874"/>
      <c r="AA14" s="874"/>
      <c r="AB14" s="874"/>
      <c r="AC14" s="874"/>
      <c r="AD14" s="874"/>
      <c r="AE14" s="874"/>
      <c r="AF14" s="874"/>
      <c r="AG14" s="874"/>
      <c r="AH14" s="874"/>
      <c r="AI14" s="874"/>
    </row>
    <row r="15" spans="1:35" ht="22.5" customHeight="1">
      <c r="A15" s="874"/>
      <c r="B15" s="874"/>
      <c r="C15" s="874"/>
      <c r="D15" s="874"/>
      <c r="E15" s="874"/>
      <c r="F15" s="874"/>
      <c r="G15" s="874"/>
      <c r="H15" s="874"/>
      <c r="I15" s="874"/>
      <c r="J15" s="874"/>
      <c r="K15" s="874"/>
      <c r="L15" s="874"/>
      <c r="M15" s="874"/>
      <c r="N15" s="1824" t="s">
        <v>3525</v>
      </c>
      <c r="O15" s="1824"/>
      <c r="P15" s="1824"/>
      <c r="Q15" s="1824"/>
      <c r="R15" s="1824"/>
      <c r="S15" s="1824"/>
      <c r="T15" s="874"/>
      <c r="U15" s="1775" t="str">
        <f>cst_wskakunin_APPLICANT_NAME</f>
        <v>株式会社ユーイック不動産 代表取締役社長 野崎　豊</v>
      </c>
      <c r="V15" s="1775"/>
      <c r="W15" s="1775"/>
      <c r="X15" s="1775"/>
      <c r="Y15" s="1775"/>
      <c r="Z15" s="1775"/>
      <c r="AA15" s="1775"/>
      <c r="AB15" s="1775"/>
      <c r="AC15" s="1775"/>
      <c r="AD15" s="1775"/>
      <c r="AE15" s="1775"/>
      <c r="AF15" s="1775"/>
      <c r="AG15" s="1775"/>
      <c r="AH15" s="1775"/>
      <c r="AI15" s="874"/>
    </row>
    <row r="16" spans="1:35" ht="22.5" customHeight="1">
      <c r="A16" s="874"/>
      <c r="B16" s="874"/>
      <c r="C16" s="874"/>
      <c r="D16" s="874"/>
      <c r="E16" s="874"/>
      <c r="F16" s="874"/>
      <c r="G16" s="874"/>
      <c r="H16" s="874"/>
      <c r="I16" s="874"/>
      <c r="J16" s="874"/>
      <c r="K16" s="874"/>
      <c r="L16" s="874"/>
      <c r="M16" s="874"/>
      <c r="N16" s="879"/>
      <c r="O16" s="879"/>
      <c r="P16" s="879"/>
      <c r="Q16" s="879"/>
      <c r="R16" s="879"/>
      <c r="S16" s="879"/>
      <c r="T16" s="874"/>
      <c r="U16" s="1775"/>
      <c r="V16" s="1775"/>
      <c r="W16" s="1775"/>
      <c r="X16" s="1775"/>
      <c r="Y16" s="1775"/>
      <c r="Z16" s="1775"/>
      <c r="AA16" s="1775"/>
      <c r="AB16" s="1775"/>
      <c r="AC16" s="1775"/>
      <c r="AD16" s="1775"/>
      <c r="AE16" s="1775"/>
      <c r="AF16" s="1775"/>
      <c r="AG16" s="1775"/>
      <c r="AH16" s="1775"/>
      <c r="AI16" s="874"/>
    </row>
    <row r="17" spans="1:39" ht="22.5" customHeight="1">
      <c r="A17" s="874"/>
      <c r="B17" s="874"/>
      <c r="C17" s="874"/>
      <c r="D17" s="874"/>
      <c r="E17" s="874"/>
      <c r="F17" s="874"/>
      <c r="G17" s="874"/>
      <c r="H17" s="874"/>
      <c r="I17" s="874"/>
      <c r="J17" s="874"/>
      <c r="K17" s="874"/>
      <c r="L17" s="874"/>
      <c r="M17" s="874"/>
      <c r="N17" s="874"/>
      <c r="O17" s="874"/>
      <c r="P17" s="874"/>
      <c r="Q17" s="874"/>
      <c r="R17" s="874"/>
      <c r="S17" s="874"/>
      <c r="T17" s="874"/>
      <c r="U17" s="1774"/>
      <c r="V17" s="1774"/>
      <c r="W17" s="1774"/>
      <c r="X17" s="1774"/>
      <c r="Y17" s="1774"/>
      <c r="Z17" s="1774"/>
      <c r="AA17" s="1774"/>
      <c r="AB17" s="1774"/>
      <c r="AC17" s="1774"/>
      <c r="AD17" s="1774"/>
      <c r="AE17" s="1774"/>
      <c r="AF17" s="1774"/>
      <c r="AG17" s="1774"/>
      <c r="AH17" s="1774"/>
      <c r="AI17" s="874"/>
      <c r="AM17" s="880"/>
    </row>
    <row r="18" spans="1:39" ht="22.5" customHeight="1"/>
    <row r="19" spans="1:39" ht="18" customHeight="1">
      <c r="U19" s="881"/>
      <c r="V19" s="881"/>
      <c r="W19" s="881"/>
      <c r="X19" s="881"/>
      <c r="Y19" s="881"/>
      <c r="Z19" s="881"/>
      <c r="AA19" s="881"/>
      <c r="AB19" s="881"/>
      <c r="AC19" s="881"/>
      <c r="AD19" s="881"/>
      <c r="AE19" s="881"/>
      <c r="AF19" s="881"/>
      <c r="AG19" s="881"/>
      <c r="AH19" s="881"/>
    </row>
    <row r="20" spans="1:39" ht="18" customHeight="1">
      <c r="U20" s="881"/>
      <c r="V20" s="881"/>
      <c r="W20" s="881"/>
      <c r="AF20" s="881"/>
      <c r="AG20" s="881"/>
      <c r="AH20" s="881"/>
    </row>
    <row r="21" spans="1:39" ht="18" customHeight="1">
      <c r="A21" s="875" t="s">
        <v>3458</v>
      </c>
      <c r="W21" s="881"/>
      <c r="AF21" s="881"/>
      <c r="AG21" s="881"/>
      <c r="AH21" s="881"/>
    </row>
    <row r="22" spans="1:39" ht="18" customHeight="1">
      <c r="C22" s="1773" t="str">
        <f>cst_wsjob_KENTIKUBUTU_box&amp;"建築物"</f>
        <v>■建築物</v>
      </c>
      <c r="D22" s="1786"/>
      <c r="E22" s="1786"/>
      <c r="F22" s="1786"/>
      <c r="L22" s="1773" t="str">
        <f>cst_wsjob_SYOUKOUKI_box&amp;"建築設備（昇降機）"</f>
        <v>□建築設備（昇降機）</v>
      </c>
      <c r="M22" s="1773"/>
      <c r="N22" s="1773"/>
      <c r="O22" s="1773"/>
      <c r="P22" s="1773"/>
      <c r="Q22" s="1773"/>
      <c r="R22" s="1773"/>
      <c r="S22" s="1773"/>
      <c r="X22" s="1773" t="str">
        <f>cst_wsjob_KENTIKUSETUBI_box&amp;"建築設備（昇降機以外）"</f>
        <v>□建築設備（昇降機以外）</v>
      </c>
      <c r="Y22" s="1773"/>
      <c r="Z22" s="1773"/>
      <c r="AA22" s="1773"/>
      <c r="AB22" s="1773"/>
      <c r="AC22" s="1773"/>
      <c r="AD22" s="1773"/>
      <c r="AE22" s="1773"/>
      <c r="AF22" s="1773"/>
      <c r="AG22" s="826"/>
      <c r="AH22" s="881"/>
    </row>
    <row r="23" spans="1:39" ht="18" customHeight="1">
      <c r="C23" s="1785" t="s">
        <v>3457</v>
      </c>
      <c r="D23" s="1785"/>
      <c r="E23" s="1785"/>
      <c r="F23" s="1785"/>
      <c r="G23" s="1785"/>
      <c r="H23" s="1785"/>
      <c r="I23" s="1785"/>
      <c r="K23" s="882"/>
      <c r="L23" s="1773" t="str">
        <f>cst_wsjob_KOUSAKUBUTU_1_box&amp;"工作物（法第88条第1項）"</f>
        <v>□工作物（法第88条第1項）</v>
      </c>
      <c r="M23" s="1773"/>
      <c r="N23" s="1773"/>
      <c r="O23" s="1773"/>
      <c r="P23" s="1773"/>
      <c r="Q23" s="1773"/>
      <c r="R23" s="1773"/>
      <c r="S23" s="1773"/>
      <c r="T23" s="1773"/>
      <c r="U23" s="1773"/>
      <c r="X23" s="1773" t="str">
        <f>cst_wsjob_KOUSAKUBUTU_2_box&amp;"工作物（法第88条第2項）"</f>
        <v>□工作物（法第88条第2項）</v>
      </c>
      <c r="Y23" s="1773"/>
      <c r="Z23" s="1773"/>
      <c r="AA23" s="1773"/>
      <c r="AB23" s="1773"/>
      <c r="AC23" s="1773"/>
      <c r="AD23" s="1773"/>
      <c r="AE23" s="1773"/>
      <c r="AF23" s="1773"/>
      <c r="AG23" s="1773"/>
      <c r="AH23" s="881"/>
    </row>
    <row r="25" spans="1:39" ht="15" customHeight="1">
      <c r="A25" s="1272" t="s">
        <v>3455</v>
      </c>
      <c r="B25" s="1273"/>
      <c r="C25" s="1273"/>
      <c r="D25" s="1273"/>
      <c r="E25" s="1273"/>
      <c r="F25" s="1273"/>
      <c r="G25" s="1273"/>
      <c r="H25" s="1273"/>
      <c r="I25" s="1273"/>
      <c r="J25" s="1273"/>
      <c r="K25" s="1273"/>
      <c r="L25" s="1273"/>
      <c r="M25" s="1273"/>
      <c r="N25" s="1273"/>
      <c r="O25" s="1273"/>
      <c r="P25" s="1273"/>
      <c r="Q25" s="1273"/>
      <c r="R25" s="1273"/>
      <c r="S25" s="1273"/>
      <c r="T25" s="1273"/>
      <c r="U25" s="1273"/>
      <c r="V25" s="1273"/>
      <c r="W25" s="1273"/>
      <c r="X25" s="1273"/>
      <c r="Y25" s="1273"/>
      <c r="Z25" s="1273"/>
      <c r="AA25" s="1273"/>
      <c r="AB25" s="1273"/>
      <c r="AC25" s="1273"/>
      <c r="AD25" s="1273"/>
      <c r="AE25" s="1273"/>
      <c r="AF25" s="1273"/>
      <c r="AG25" s="1273"/>
      <c r="AH25" s="1273"/>
      <c r="AI25" s="1274"/>
    </row>
    <row r="26" spans="1:39" ht="15" customHeight="1">
      <c r="A26" s="1275"/>
      <c r="B26" s="1267"/>
      <c r="C26" s="1276" t="s">
        <v>2675</v>
      </c>
      <c r="D26" s="1267"/>
      <c r="E26" s="1267"/>
      <c r="F26" s="1267" t="s">
        <v>380</v>
      </c>
      <c r="G26" s="1267"/>
      <c r="H26" s="1267"/>
      <c r="I26" s="1267" t="s">
        <v>0</v>
      </c>
      <c r="J26" s="1267"/>
      <c r="K26" s="1267"/>
      <c r="L26" s="1267" t="s">
        <v>3057</v>
      </c>
      <c r="M26" s="1267" t="s">
        <v>3454</v>
      </c>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77"/>
    </row>
    <row r="27" spans="1:39" ht="15" customHeight="1">
      <c r="A27" s="1275"/>
      <c r="B27" s="1267"/>
      <c r="C27" s="1267"/>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77"/>
    </row>
    <row r="28" spans="1:39" ht="15" customHeight="1">
      <c r="A28" s="1278"/>
      <c r="B28" s="1268"/>
      <c r="C28" s="1279" t="s">
        <v>3453</v>
      </c>
      <c r="D28" s="1268"/>
      <c r="E28" s="1268"/>
      <c r="F28" s="1268"/>
      <c r="G28" s="1268"/>
      <c r="H28" s="1268"/>
      <c r="I28" s="1268"/>
      <c r="J28" s="1268"/>
      <c r="K28" s="1268"/>
      <c r="L28" s="1268"/>
      <c r="M28" s="1268" t="s">
        <v>3452</v>
      </c>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80"/>
    </row>
    <row r="29" spans="1:39" ht="25.5" customHeight="1">
      <c r="A29" s="891" t="s">
        <v>3258</v>
      </c>
      <c r="B29" s="892"/>
      <c r="C29" s="892"/>
      <c r="D29" s="892"/>
      <c r="E29" s="892"/>
      <c r="F29" s="892"/>
      <c r="G29" s="892"/>
      <c r="H29" s="892"/>
      <c r="I29" s="892"/>
      <c r="J29" s="892"/>
      <c r="K29" s="893"/>
      <c r="L29" s="1818" t="s">
        <v>3449</v>
      </c>
      <c r="M29" s="1819"/>
      <c r="N29" s="1819"/>
      <c r="O29" s="1819"/>
      <c r="P29" s="1819"/>
      <c r="Q29" s="1819"/>
      <c r="R29" s="1819"/>
      <c r="S29" s="1820"/>
      <c r="T29" s="891" t="s">
        <v>3448</v>
      </c>
      <c r="U29" s="892"/>
      <c r="V29" s="892"/>
      <c r="W29" s="892"/>
      <c r="X29" s="892"/>
      <c r="Y29" s="892"/>
      <c r="Z29" s="892"/>
      <c r="AA29" s="892"/>
      <c r="AB29" s="892"/>
      <c r="AC29" s="892"/>
      <c r="AD29" s="893"/>
      <c r="AE29" s="1803" t="s">
        <v>3447</v>
      </c>
      <c r="AF29" s="1804"/>
      <c r="AG29" s="1804"/>
      <c r="AH29" s="1804"/>
      <c r="AI29" s="1805"/>
    </row>
    <row r="30" spans="1:39" ht="25.5" customHeight="1">
      <c r="A30" s="891"/>
      <c r="B30" s="894" t="s">
        <v>2675</v>
      </c>
      <c r="C30" s="1806"/>
      <c r="D30" s="1806"/>
      <c r="E30" s="895" t="s">
        <v>380</v>
      </c>
      <c r="F30" s="1806"/>
      <c r="G30" s="1806"/>
      <c r="H30" s="895" t="s">
        <v>0</v>
      </c>
      <c r="I30" s="1806"/>
      <c r="J30" s="1806"/>
      <c r="K30" s="896" t="s">
        <v>3057</v>
      </c>
      <c r="L30" s="1807"/>
      <c r="M30" s="1808"/>
      <c r="N30" s="1808"/>
      <c r="O30" s="1808"/>
      <c r="P30" s="1808"/>
      <c r="Q30" s="1808"/>
      <c r="R30" s="1808"/>
      <c r="S30" s="1809"/>
      <c r="T30" s="891"/>
      <c r="U30" s="894" t="s">
        <v>2675</v>
      </c>
      <c r="V30" s="1806"/>
      <c r="W30" s="1806"/>
      <c r="X30" s="895" t="s">
        <v>380</v>
      </c>
      <c r="Y30" s="1806"/>
      <c r="Z30" s="1806"/>
      <c r="AA30" s="895" t="s">
        <v>0</v>
      </c>
      <c r="AB30" s="1806"/>
      <c r="AC30" s="1806"/>
      <c r="AD30" s="896" t="s">
        <v>3057</v>
      </c>
      <c r="AE30" s="883"/>
      <c r="AF30" s="884"/>
      <c r="AG30" s="884"/>
      <c r="AH30" s="884"/>
      <c r="AI30" s="885"/>
    </row>
    <row r="31" spans="1:39" ht="25.5" customHeight="1">
      <c r="A31" s="1816" t="s">
        <v>3446</v>
      </c>
      <c r="B31" s="1806"/>
      <c r="C31" s="1806"/>
      <c r="D31" s="1806"/>
      <c r="E31" s="1806"/>
      <c r="F31" s="1806"/>
      <c r="G31" s="1806"/>
      <c r="H31" s="1806"/>
      <c r="I31" s="1806"/>
      <c r="J31" s="1806"/>
      <c r="K31" s="1817"/>
      <c r="L31" s="1810"/>
      <c r="M31" s="1811"/>
      <c r="N31" s="1811"/>
      <c r="O31" s="1811"/>
      <c r="P31" s="1811"/>
      <c r="Q31" s="1811"/>
      <c r="R31" s="1811"/>
      <c r="S31" s="1812"/>
      <c r="T31" s="1816" t="s">
        <v>3445</v>
      </c>
      <c r="U31" s="1806"/>
      <c r="V31" s="1806"/>
      <c r="W31" s="1806"/>
      <c r="X31" s="1806"/>
      <c r="Y31" s="1806"/>
      <c r="Z31" s="1806"/>
      <c r="AA31" s="1806"/>
      <c r="AB31" s="1806"/>
      <c r="AC31" s="1806"/>
      <c r="AD31" s="1817"/>
      <c r="AE31" s="886"/>
      <c r="AI31" s="887"/>
    </row>
    <row r="32" spans="1:39" ht="25.5" customHeight="1">
      <c r="A32" s="891" t="s">
        <v>3254</v>
      </c>
      <c r="B32" s="895"/>
      <c r="C32" s="895"/>
      <c r="D32" s="895"/>
      <c r="E32" s="895"/>
      <c r="F32" s="895"/>
      <c r="G32" s="895"/>
      <c r="H32" s="895"/>
      <c r="I32" s="895"/>
      <c r="J32" s="895"/>
      <c r="K32" s="896"/>
      <c r="L32" s="1813"/>
      <c r="M32" s="1814"/>
      <c r="N32" s="1814"/>
      <c r="O32" s="1814"/>
      <c r="P32" s="1814"/>
      <c r="Q32" s="1814"/>
      <c r="R32" s="1814"/>
      <c r="S32" s="1815"/>
      <c r="T32" s="891" t="s">
        <v>3254</v>
      </c>
      <c r="U32" s="895"/>
      <c r="V32" s="895"/>
      <c r="W32" s="895"/>
      <c r="X32" s="895"/>
      <c r="Y32" s="895"/>
      <c r="Z32" s="895"/>
      <c r="AA32" s="895"/>
      <c r="AB32" s="895"/>
      <c r="AC32" s="895"/>
      <c r="AD32" s="896"/>
      <c r="AE32" s="888"/>
      <c r="AF32" s="889"/>
      <c r="AG32" s="889"/>
      <c r="AH32" s="889"/>
      <c r="AI32" s="890"/>
    </row>
    <row r="33" spans="1:35" ht="18" customHeight="1">
      <c r="A33" s="1793" t="s">
        <v>3444</v>
      </c>
      <c r="B33" s="1794"/>
      <c r="C33" s="1794"/>
      <c r="D33" s="1794"/>
      <c r="E33" s="1794"/>
      <c r="F33" s="1794"/>
      <c r="G33" s="1794"/>
      <c r="H33" s="1794"/>
      <c r="I33" s="1794"/>
      <c r="J33" s="1794"/>
      <c r="K33" s="1794"/>
      <c r="L33" s="1794"/>
      <c r="M33" s="1794"/>
      <c r="N33" s="1794"/>
      <c r="O33" s="1794"/>
      <c r="P33" s="1794"/>
      <c r="Q33" s="1794"/>
      <c r="R33" s="1794"/>
      <c r="S33" s="1794"/>
      <c r="T33" s="1794"/>
      <c r="U33" s="1794"/>
      <c r="V33" s="1794"/>
      <c r="W33" s="1794"/>
      <c r="X33" s="1794"/>
      <c r="Y33" s="1794"/>
      <c r="Z33" s="1794"/>
      <c r="AA33" s="1794"/>
      <c r="AB33" s="1794"/>
      <c r="AC33" s="1794"/>
      <c r="AD33" s="1794"/>
      <c r="AE33" s="1794"/>
      <c r="AF33" s="1794"/>
      <c r="AG33" s="1794"/>
      <c r="AH33" s="1794"/>
      <c r="AI33" s="1795"/>
    </row>
    <row r="34" spans="1:35" ht="18" customHeight="1">
      <c r="A34" s="1796"/>
      <c r="B34" s="1797"/>
      <c r="C34" s="1797"/>
      <c r="D34" s="1797"/>
      <c r="E34" s="1797"/>
      <c r="F34" s="1797"/>
      <c r="G34" s="1797"/>
      <c r="H34" s="1797"/>
      <c r="I34" s="1797"/>
      <c r="J34" s="1797"/>
      <c r="K34" s="1797"/>
      <c r="L34" s="1797"/>
      <c r="M34" s="1797"/>
      <c r="N34" s="1797"/>
      <c r="O34" s="1797"/>
      <c r="P34" s="1797"/>
      <c r="Q34" s="1797"/>
      <c r="R34" s="1797"/>
      <c r="S34" s="1797"/>
      <c r="T34" s="1797"/>
      <c r="U34" s="1797"/>
      <c r="V34" s="1797"/>
      <c r="W34" s="1797"/>
      <c r="X34" s="1797"/>
      <c r="Y34" s="1797"/>
      <c r="Z34" s="1797"/>
      <c r="AA34" s="1797"/>
      <c r="AB34" s="1797"/>
      <c r="AC34" s="1797"/>
      <c r="AD34" s="1797"/>
      <c r="AE34" s="1797"/>
      <c r="AF34" s="1797"/>
      <c r="AG34" s="1797"/>
      <c r="AH34" s="1797"/>
      <c r="AI34" s="1798"/>
    </row>
    <row r="35" spans="1:35" ht="18" customHeight="1">
      <c r="A35" s="1796"/>
      <c r="B35" s="1797"/>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D35" s="1797"/>
      <c r="AE35" s="1797"/>
      <c r="AF35" s="1797"/>
      <c r="AG35" s="1797"/>
      <c r="AH35" s="1797"/>
      <c r="AI35" s="1798"/>
    </row>
    <row r="36" spans="1:35" ht="18" customHeight="1">
      <c r="A36" s="1799"/>
      <c r="B36" s="1800"/>
      <c r="C36" s="1800"/>
      <c r="D36" s="1800"/>
      <c r="E36" s="1800"/>
      <c r="F36" s="1800"/>
      <c r="G36" s="1800"/>
      <c r="H36" s="1800"/>
      <c r="I36" s="1800"/>
      <c r="J36" s="1800"/>
      <c r="K36" s="1800"/>
      <c r="L36" s="1800"/>
      <c r="M36" s="1800"/>
      <c r="N36" s="1800"/>
      <c r="O36" s="1800"/>
      <c r="P36" s="1800"/>
      <c r="Q36" s="1800"/>
      <c r="R36" s="1800"/>
      <c r="S36" s="1800"/>
      <c r="T36" s="1800"/>
      <c r="U36" s="1800"/>
      <c r="V36" s="1800"/>
      <c r="W36" s="1800"/>
      <c r="X36" s="1800"/>
      <c r="Y36" s="1800"/>
      <c r="Z36" s="1800"/>
      <c r="AA36" s="1800"/>
      <c r="AB36" s="1800"/>
      <c r="AC36" s="1800"/>
      <c r="AD36" s="1800"/>
      <c r="AE36" s="1800"/>
      <c r="AF36" s="1800"/>
      <c r="AG36" s="1800"/>
      <c r="AH36" s="1800"/>
      <c r="AI36" s="1801"/>
    </row>
    <row r="37" spans="1:35" ht="18" customHeight="1">
      <c r="A37" s="875" t="s">
        <v>2676</v>
      </c>
    </row>
    <row r="38" spans="1:35" ht="28.95" customHeight="1">
      <c r="A38" s="897" t="s">
        <v>1184</v>
      </c>
      <c r="B38" s="1802" t="s">
        <v>3526</v>
      </c>
      <c r="C38" s="1802"/>
      <c r="D38" s="1802"/>
      <c r="E38" s="1802"/>
      <c r="F38" s="1802"/>
      <c r="G38" s="1802"/>
      <c r="H38" s="1802"/>
      <c r="I38" s="1802"/>
      <c r="J38" s="1802"/>
      <c r="K38" s="1802"/>
      <c r="L38" s="1802"/>
      <c r="M38" s="1802"/>
      <c r="N38" s="1802"/>
      <c r="O38" s="1802"/>
      <c r="P38" s="1802"/>
      <c r="Q38" s="1802"/>
      <c r="R38" s="1802"/>
      <c r="S38" s="1802"/>
      <c r="T38" s="1802"/>
      <c r="U38" s="1802"/>
      <c r="V38" s="1802"/>
      <c r="W38" s="1802"/>
      <c r="X38" s="1802"/>
      <c r="Y38" s="1802"/>
      <c r="Z38" s="1802"/>
      <c r="AA38" s="1802"/>
      <c r="AB38" s="1802"/>
      <c r="AC38" s="1802"/>
      <c r="AD38" s="1802"/>
      <c r="AE38" s="1802"/>
      <c r="AF38" s="1802"/>
      <c r="AG38" s="1802"/>
      <c r="AH38" s="1802"/>
      <c r="AI38" s="1802"/>
    </row>
    <row r="39" spans="1:35" ht="18" customHeight="1">
      <c r="A39" s="897" t="s">
        <v>1191</v>
      </c>
      <c r="B39" s="875" t="s">
        <v>3527</v>
      </c>
    </row>
  </sheetData>
  <mergeCells count="27">
    <mergeCell ref="C23:I23"/>
    <mergeCell ref="L23:U23"/>
    <mergeCell ref="X23:AG23"/>
    <mergeCell ref="A6:AI6"/>
    <mergeCell ref="Z12:AH12"/>
    <mergeCell ref="AA13:AB13"/>
    <mergeCell ref="AD13:AE13"/>
    <mergeCell ref="AG13:AH13"/>
    <mergeCell ref="N15:S15"/>
    <mergeCell ref="U15:AH16"/>
    <mergeCell ref="X22:AF22"/>
    <mergeCell ref="U17:AH17"/>
    <mergeCell ref="C22:F22"/>
    <mergeCell ref="L22:S22"/>
    <mergeCell ref="A33:AI36"/>
    <mergeCell ref="B38:AI38"/>
    <mergeCell ref="AE29:AI29"/>
    <mergeCell ref="C30:D30"/>
    <mergeCell ref="F30:G30"/>
    <mergeCell ref="I30:J30"/>
    <mergeCell ref="L30:S32"/>
    <mergeCell ref="V30:W30"/>
    <mergeCell ref="Y30:Z30"/>
    <mergeCell ref="AB30:AC30"/>
    <mergeCell ref="A31:K31"/>
    <mergeCell ref="T31:AD31"/>
    <mergeCell ref="L29:S29"/>
  </mergeCells>
  <phoneticPr fontId="122"/>
  <dataValidations count="6">
    <dataValidation type="list" allowBlank="1" showInputMessage="1" showErrorMessage="1" sqref="C23" xr:uid="{00000000-0002-0000-1A00-000000000000}">
      <formula1>"□工作物（昇降機）,☑工作物（昇降機）"</formula1>
    </dataValidation>
    <dataValidation type="list" allowBlank="1" showInputMessage="1" sqref="C22:F22" xr:uid="{00000000-0002-0000-1A00-000001000000}">
      <formula1>"□建築物,☑建築物"</formula1>
    </dataValidation>
    <dataValidation type="list" allowBlank="1" showInputMessage="1" sqref="L22:S22" xr:uid="{00000000-0002-0000-1A00-000002000000}">
      <formula1>"□建築設備（昇降機）,☑建築設備（昇降機）"</formula1>
    </dataValidation>
    <dataValidation type="list" allowBlank="1" showInputMessage="1" sqref="L23:U23" xr:uid="{00000000-0002-0000-1A00-000003000000}">
      <formula1>"□工作物（法第88条第1項）,☑工作物（法第88条第1項）"</formula1>
    </dataValidation>
    <dataValidation type="list" allowBlank="1" showInputMessage="1" sqref="X22:AF22" xr:uid="{00000000-0002-0000-1A00-000004000000}">
      <formula1>"□建築設備（昇降機以外）,☑建築設備（昇降機以外）"</formula1>
    </dataValidation>
    <dataValidation type="list" allowBlank="1" showInputMessage="1" sqref="X23:AG23" xr:uid="{00000000-0002-0000-1A00-000005000000}">
      <formula1>"□工作物（法第88条第2項）,☑工作物（法第88条第2項）"</formula1>
    </dataValidation>
  </dataValidations>
  <pageMargins left="0.98425196850393704" right="0.78740157480314965" top="0.59055118110236227" bottom="0.39370078740157483" header="0.51181102362204722" footer="0.51181102362204722"/>
  <pageSetup paperSize="9" scale="99" orientation="portrait" blackAndWhite="1"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I38"/>
  <sheetViews>
    <sheetView zoomScaleNormal="100" workbookViewId="0"/>
  </sheetViews>
  <sheetFormatPr defaultColWidth="2.33203125" defaultRowHeight="21" customHeight="1"/>
  <cols>
    <col min="1" max="1" width="2.33203125" style="849" customWidth="1"/>
    <col min="2" max="16384" width="2.33203125" style="849"/>
  </cols>
  <sheetData>
    <row r="1" spans="1:35" s="852" customFormat="1" ht="21" customHeight="1">
      <c r="A1" s="853" t="s">
        <v>2676</v>
      </c>
      <c r="B1" s="853"/>
      <c r="C1" s="853"/>
      <c r="D1" s="853" t="s">
        <v>3466</v>
      </c>
    </row>
    <row r="2" spans="1:35" ht="21" customHeight="1">
      <c r="A2" s="851" t="s">
        <v>3465</v>
      </c>
      <c r="B2" s="851"/>
      <c r="C2" s="851"/>
      <c r="D2" s="851"/>
      <c r="E2" s="851"/>
      <c r="F2" s="851"/>
      <c r="G2" s="851"/>
      <c r="H2" s="851"/>
      <c r="I2" s="851"/>
      <c r="J2" s="851"/>
      <c r="K2" s="851"/>
      <c r="L2" s="851"/>
      <c r="M2" s="851"/>
      <c r="N2" s="851"/>
      <c r="O2" s="851"/>
      <c r="P2" s="851"/>
      <c r="Q2" s="851"/>
      <c r="R2" s="851"/>
      <c r="S2" s="851"/>
      <c r="T2" s="851"/>
      <c r="U2" s="851"/>
      <c r="V2" s="851"/>
      <c r="W2" s="851"/>
      <c r="X2" s="851"/>
      <c r="Y2" s="851"/>
      <c r="Z2" s="851"/>
      <c r="AA2" s="851"/>
      <c r="AB2" s="851"/>
      <c r="AC2" s="851"/>
      <c r="AD2" s="851"/>
      <c r="AE2" s="851"/>
      <c r="AF2" s="851"/>
      <c r="AG2" s="851"/>
      <c r="AH2" s="851"/>
      <c r="AI2" s="851"/>
    </row>
    <row r="3" spans="1:35" ht="15" customHeight="1"/>
    <row r="4" spans="1:35" ht="25.5" customHeight="1">
      <c r="N4" s="1826" t="s">
        <v>3459</v>
      </c>
      <c r="O4" s="1826"/>
      <c r="P4" s="1826"/>
      <c r="Q4" s="1826"/>
      <c r="R4" s="1826"/>
      <c r="S4" s="1826"/>
      <c r="U4" s="1827"/>
      <c r="V4" s="1827"/>
      <c r="W4" s="1827"/>
      <c r="X4" s="1827"/>
      <c r="Y4" s="1827"/>
      <c r="Z4" s="1827"/>
      <c r="AA4" s="1827"/>
      <c r="AB4" s="1827"/>
      <c r="AC4" s="1827"/>
      <c r="AD4" s="1827"/>
      <c r="AE4" s="1827"/>
      <c r="AF4" s="1827"/>
      <c r="AG4" s="1827"/>
      <c r="AH4" s="1827"/>
    </row>
    <row r="5" spans="1:35" ht="25.5" customHeight="1">
      <c r="N5" s="850"/>
      <c r="O5" s="850"/>
      <c r="P5" s="850"/>
      <c r="Q5" s="850"/>
      <c r="R5" s="850"/>
      <c r="S5" s="850"/>
      <c r="U5" s="1827"/>
      <c r="V5" s="1827"/>
      <c r="W5" s="1827"/>
      <c r="X5" s="1827"/>
      <c r="Y5" s="1827"/>
      <c r="Z5" s="1827"/>
      <c r="AA5" s="1827"/>
      <c r="AB5" s="1827"/>
      <c r="AC5" s="1827"/>
      <c r="AD5" s="1827"/>
      <c r="AE5" s="1827"/>
      <c r="AF5" s="1827"/>
      <c r="AG5" s="1827"/>
      <c r="AH5" s="1827"/>
    </row>
    <row r="6" spans="1:35" ht="25.5" customHeight="1">
      <c r="U6" s="1825"/>
      <c r="V6" s="1825"/>
      <c r="W6" s="1825"/>
      <c r="X6" s="1825"/>
      <c r="Y6" s="1825"/>
      <c r="Z6" s="1825"/>
      <c r="AA6" s="1825"/>
      <c r="AB6" s="1825"/>
      <c r="AC6" s="1825"/>
      <c r="AD6" s="1825"/>
      <c r="AE6" s="1825"/>
      <c r="AF6" s="1825"/>
      <c r="AG6" s="1825"/>
      <c r="AH6" s="1825"/>
    </row>
    <row r="7" spans="1:35" ht="15" customHeight="1"/>
    <row r="8" spans="1:35" ht="25.5" customHeight="1">
      <c r="N8" s="1826" t="s">
        <v>3459</v>
      </c>
      <c r="O8" s="1826"/>
      <c r="P8" s="1826"/>
      <c r="Q8" s="1826"/>
      <c r="R8" s="1826"/>
      <c r="S8" s="1826"/>
      <c r="U8" s="1827"/>
      <c r="V8" s="1827"/>
      <c r="W8" s="1827"/>
      <c r="X8" s="1827"/>
      <c r="Y8" s="1827"/>
      <c r="Z8" s="1827"/>
      <c r="AA8" s="1827"/>
      <c r="AB8" s="1827"/>
      <c r="AC8" s="1827"/>
      <c r="AD8" s="1827"/>
      <c r="AE8" s="1827"/>
      <c r="AF8" s="1827"/>
      <c r="AG8" s="1827"/>
      <c r="AH8" s="1827"/>
    </row>
    <row r="9" spans="1:35" ht="25.5" customHeight="1">
      <c r="N9" s="850"/>
      <c r="O9" s="850"/>
      <c r="P9" s="850"/>
      <c r="Q9" s="850"/>
      <c r="R9" s="850"/>
      <c r="S9" s="850"/>
      <c r="U9" s="1827"/>
      <c r="V9" s="1827"/>
      <c r="W9" s="1827"/>
      <c r="X9" s="1827"/>
      <c r="Y9" s="1827"/>
      <c r="Z9" s="1827"/>
      <c r="AA9" s="1827"/>
      <c r="AB9" s="1827"/>
      <c r="AC9" s="1827"/>
      <c r="AD9" s="1827"/>
      <c r="AE9" s="1827"/>
      <c r="AF9" s="1827"/>
      <c r="AG9" s="1827"/>
      <c r="AH9" s="1827"/>
    </row>
    <row r="10" spans="1:35" ht="25.5" customHeight="1">
      <c r="U10" s="1825"/>
      <c r="V10" s="1825"/>
      <c r="W10" s="1825"/>
      <c r="X10" s="1825"/>
      <c r="Y10" s="1825"/>
      <c r="Z10" s="1825"/>
      <c r="AA10" s="1825"/>
      <c r="AB10" s="1825"/>
      <c r="AC10" s="1825"/>
      <c r="AD10" s="1825"/>
      <c r="AE10" s="1825"/>
      <c r="AF10" s="1825"/>
      <c r="AG10" s="1825"/>
      <c r="AH10" s="1825"/>
    </row>
    <row r="11" spans="1:35" ht="15" customHeight="1"/>
    <row r="12" spans="1:35" ht="25.5" customHeight="1">
      <c r="N12" s="1826" t="s">
        <v>3459</v>
      </c>
      <c r="O12" s="1826"/>
      <c r="P12" s="1826"/>
      <c r="Q12" s="1826"/>
      <c r="R12" s="1826"/>
      <c r="S12" s="1826"/>
      <c r="U12" s="1827"/>
      <c r="V12" s="1827"/>
      <c r="W12" s="1827"/>
      <c r="X12" s="1827"/>
      <c r="Y12" s="1827"/>
      <c r="Z12" s="1827"/>
      <c r="AA12" s="1827"/>
      <c r="AB12" s="1827"/>
      <c r="AC12" s="1827"/>
      <c r="AD12" s="1827"/>
      <c r="AE12" s="1827"/>
      <c r="AF12" s="1827"/>
      <c r="AG12" s="1827"/>
      <c r="AH12" s="1827"/>
    </row>
    <row r="13" spans="1:35" ht="25.5" customHeight="1">
      <c r="N13" s="850"/>
      <c r="O13" s="850"/>
      <c r="P13" s="850"/>
      <c r="Q13" s="850"/>
      <c r="R13" s="850"/>
      <c r="S13" s="850"/>
      <c r="U13" s="1827"/>
      <c r="V13" s="1827"/>
      <c r="W13" s="1827"/>
      <c r="X13" s="1827"/>
      <c r="Y13" s="1827"/>
      <c r="Z13" s="1827"/>
      <c r="AA13" s="1827"/>
      <c r="AB13" s="1827"/>
      <c r="AC13" s="1827"/>
      <c r="AD13" s="1827"/>
      <c r="AE13" s="1827"/>
      <c r="AF13" s="1827"/>
      <c r="AG13" s="1827"/>
      <c r="AH13" s="1827"/>
    </row>
    <row r="14" spans="1:35" ht="25.5" customHeight="1">
      <c r="U14" s="1825"/>
      <c r="V14" s="1825"/>
      <c r="W14" s="1825"/>
      <c r="X14" s="1825"/>
      <c r="Y14" s="1825"/>
      <c r="Z14" s="1825"/>
      <c r="AA14" s="1825"/>
      <c r="AB14" s="1825"/>
      <c r="AC14" s="1825"/>
      <c r="AD14" s="1825"/>
      <c r="AE14" s="1825"/>
      <c r="AF14" s="1825"/>
      <c r="AG14" s="1825"/>
      <c r="AH14" s="1825"/>
    </row>
    <row r="15" spans="1:35" ht="14.25" customHeight="1"/>
    <row r="16" spans="1:35" ht="25.5" customHeight="1">
      <c r="N16" s="1826" t="s">
        <v>3459</v>
      </c>
      <c r="O16" s="1826"/>
      <c r="P16" s="1826"/>
      <c r="Q16" s="1826"/>
      <c r="R16" s="1826"/>
      <c r="S16" s="1826"/>
      <c r="U16" s="1827"/>
      <c r="V16" s="1827"/>
      <c r="W16" s="1827"/>
      <c r="X16" s="1827"/>
      <c r="Y16" s="1827"/>
      <c r="Z16" s="1827"/>
      <c r="AA16" s="1827"/>
      <c r="AB16" s="1827"/>
      <c r="AC16" s="1827"/>
      <c r="AD16" s="1827"/>
      <c r="AE16" s="1827"/>
      <c r="AF16" s="1827"/>
      <c r="AG16" s="1827"/>
      <c r="AH16" s="1827"/>
    </row>
    <row r="17" spans="14:34" ht="25.5" customHeight="1">
      <c r="N17" s="850"/>
      <c r="O17" s="850"/>
      <c r="P17" s="850"/>
      <c r="Q17" s="850"/>
      <c r="R17" s="850"/>
      <c r="S17" s="850"/>
      <c r="U17" s="1827"/>
      <c r="V17" s="1827"/>
      <c r="W17" s="1827"/>
      <c r="X17" s="1827"/>
      <c r="Y17" s="1827"/>
      <c r="Z17" s="1827"/>
      <c r="AA17" s="1827"/>
      <c r="AB17" s="1827"/>
      <c r="AC17" s="1827"/>
      <c r="AD17" s="1827"/>
      <c r="AE17" s="1827"/>
      <c r="AF17" s="1827"/>
      <c r="AG17" s="1827"/>
      <c r="AH17" s="1827"/>
    </row>
    <row r="18" spans="14:34" ht="25.5" customHeight="1">
      <c r="U18" s="1825"/>
      <c r="V18" s="1825"/>
      <c r="W18" s="1825"/>
      <c r="X18" s="1825"/>
      <c r="Y18" s="1825"/>
      <c r="Z18" s="1825"/>
      <c r="AA18" s="1825"/>
      <c r="AB18" s="1825"/>
      <c r="AC18" s="1825"/>
      <c r="AD18" s="1825"/>
      <c r="AE18" s="1825"/>
      <c r="AF18" s="1825"/>
      <c r="AG18" s="1825"/>
      <c r="AH18" s="1825"/>
    </row>
    <row r="19" spans="14:34" ht="15" customHeight="1"/>
    <row r="20" spans="14:34" ht="25.5" customHeight="1">
      <c r="N20" s="1826" t="s">
        <v>3459</v>
      </c>
      <c r="O20" s="1826"/>
      <c r="P20" s="1826"/>
      <c r="Q20" s="1826"/>
      <c r="R20" s="1826"/>
      <c r="S20" s="1826"/>
      <c r="U20" s="1827"/>
      <c r="V20" s="1827"/>
      <c r="W20" s="1827"/>
      <c r="X20" s="1827"/>
      <c r="Y20" s="1827"/>
      <c r="Z20" s="1827"/>
      <c r="AA20" s="1827"/>
      <c r="AB20" s="1827"/>
      <c r="AC20" s="1827"/>
      <c r="AD20" s="1827"/>
      <c r="AE20" s="1827"/>
      <c r="AF20" s="1827"/>
      <c r="AG20" s="1827"/>
      <c r="AH20" s="1827"/>
    </row>
    <row r="21" spans="14:34" ht="25.5" customHeight="1">
      <c r="N21" s="850"/>
      <c r="O21" s="850"/>
      <c r="P21" s="850"/>
      <c r="Q21" s="850"/>
      <c r="R21" s="850"/>
      <c r="S21" s="850"/>
      <c r="U21" s="1827"/>
      <c r="V21" s="1827"/>
      <c r="W21" s="1827"/>
      <c r="X21" s="1827"/>
      <c r="Y21" s="1827"/>
      <c r="Z21" s="1827"/>
      <c r="AA21" s="1827"/>
      <c r="AB21" s="1827"/>
      <c r="AC21" s="1827"/>
      <c r="AD21" s="1827"/>
      <c r="AE21" s="1827"/>
      <c r="AF21" s="1827"/>
      <c r="AG21" s="1827"/>
      <c r="AH21" s="1827"/>
    </row>
    <row r="22" spans="14:34" ht="25.5" customHeight="1">
      <c r="U22" s="1825"/>
      <c r="V22" s="1825"/>
      <c r="W22" s="1825"/>
      <c r="X22" s="1825"/>
      <c r="Y22" s="1825"/>
      <c r="Z22" s="1825"/>
      <c r="AA22" s="1825"/>
      <c r="AB22" s="1825"/>
      <c r="AC22" s="1825"/>
      <c r="AD22" s="1825"/>
      <c r="AE22" s="1825"/>
      <c r="AF22" s="1825"/>
      <c r="AG22" s="1825"/>
      <c r="AH22" s="1825"/>
    </row>
    <row r="23" spans="14:34" ht="15" customHeight="1"/>
    <row r="24" spans="14:34" ht="25.5" customHeight="1">
      <c r="N24" s="1826" t="s">
        <v>3459</v>
      </c>
      <c r="O24" s="1826"/>
      <c r="P24" s="1826"/>
      <c r="Q24" s="1826"/>
      <c r="R24" s="1826"/>
      <c r="S24" s="1826"/>
      <c r="U24" s="1827"/>
      <c r="V24" s="1827"/>
      <c r="W24" s="1827"/>
      <c r="X24" s="1827"/>
      <c r="Y24" s="1827"/>
      <c r="Z24" s="1827"/>
      <c r="AA24" s="1827"/>
      <c r="AB24" s="1827"/>
      <c r="AC24" s="1827"/>
      <c r="AD24" s="1827"/>
      <c r="AE24" s="1827"/>
      <c r="AF24" s="1827"/>
      <c r="AG24" s="1827"/>
      <c r="AH24" s="1827"/>
    </row>
    <row r="25" spans="14:34" ht="25.5" customHeight="1">
      <c r="N25" s="850"/>
      <c r="O25" s="850"/>
      <c r="P25" s="850"/>
      <c r="Q25" s="850"/>
      <c r="R25" s="850"/>
      <c r="S25" s="850"/>
      <c r="U25" s="1827"/>
      <c r="V25" s="1827"/>
      <c r="W25" s="1827"/>
      <c r="X25" s="1827"/>
      <c r="Y25" s="1827"/>
      <c r="Z25" s="1827"/>
      <c r="AA25" s="1827"/>
      <c r="AB25" s="1827"/>
      <c r="AC25" s="1827"/>
      <c r="AD25" s="1827"/>
      <c r="AE25" s="1827"/>
      <c r="AF25" s="1827"/>
      <c r="AG25" s="1827"/>
      <c r="AH25" s="1827"/>
    </row>
    <row r="26" spans="14:34" ht="25.5" customHeight="1">
      <c r="U26" s="1825"/>
      <c r="V26" s="1825"/>
      <c r="W26" s="1825"/>
      <c r="X26" s="1825"/>
      <c r="Y26" s="1825"/>
      <c r="Z26" s="1825"/>
      <c r="AA26" s="1825"/>
      <c r="AB26" s="1825"/>
      <c r="AC26" s="1825"/>
      <c r="AD26" s="1825"/>
      <c r="AE26" s="1825"/>
      <c r="AF26" s="1825"/>
      <c r="AG26" s="1825"/>
      <c r="AH26" s="1825"/>
    </row>
    <row r="27" spans="14:34" ht="15" customHeight="1"/>
    <row r="28" spans="14:34" ht="25.5" customHeight="1">
      <c r="N28" s="1826" t="s">
        <v>3459</v>
      </c>
      <c r="O28" s="1826"/>
      <c r="P28" s="1826"/>
      <c r="Q28" s="1826"/>
      <c r="R28" s="1826"/>
      <c r="S28" s="1826"/>
      <c r="U28" s="1827"/>
      <c r="V28" s="1827"/>
      <c r="W28" s="1827"/>
      <c r="X28" s="1827"/>
      <c r="Y28" s="1827"/>
      <c r="Z28" s="1827"/>
      <c r="AA28" s="1827"/>
      <c r="AB28" s="1827"/>
      <c r="AC28" s="1827"/>
      <c r="AD28" s="1827"/>
      <c r="AE28" s="1827"/>
      <c r="AF28" s="1827"/>
      <c r="AG28" s="1827"/>
      <c r="AH28" s="1827"/>
    </row>
    <row r="29" spans="14:34" ht="25.5" customHeight="1">
      <c r="N29" s="850"/>
      <c r="O29" s="850"/>
      <c r="P29" s="850"/>
      <c r="Q29" s="850"/>
      <c r="R29" s="850"/>
      <c r="S29" s="850"/>
      <c r="U29" s="1827"/>
      <c r="V29" s="1827"/>
      <c r="W29" s="1827"/>
      <c r="X29" s="1827"/>
      <c r="Y29" s="1827"/>
      <c r="Z29" s="1827"/>
      <c r="AA29" s="1827"/>
      <c r="AB29" s="1827"/>
      <c r="AC29" s="1827"/>
      <c r="AD29" s="1827"/>
      <c r="AE29" s="1827"/>
      <c r="AF29" s="1827"/>
      <c r="AG29" s="1827"/>
      <c r="AH29" s="1827"/>
    </row>
    <row r="30" spans="14:34" ht="25.5" customHeight="1">
      <c r="U30" s="1825"/>
      <c r="V30" s="1825"/>
      <c r="W30" s="1825"/>
      <c r="X30" s="1825"/>
      <c r="Y30" s="1825"/>
      <c r="Z30" s="1825"/>
      <c r="AA30" s="1825"/>
      <c r="AB30" s="1825"/>
      <c r="AC30" s="1825"/>
      <c r="AD30" s="1825"/>
      <c r="AE30" s="1825"/>
      <c r="AF30" s="1825"/>
      <c r="AG30" s="1825"/>
      <c r="AH30" s="1825"/>
    </row>
    <row r="31" spans="14:34" ht="15" customHeight="1"/>
    <row r="32" spans="14:34" ht="25.5" customHeight="1">
      <c r="N32" s="1826" t="s">
        <v>3459</v>
      </c>
      <c r="O32" s="1826"/>
      <c r="P32" s="1826"/>
      <c r="Q32" s="1826"/>
      <c r="R32" s="1826"/>
      <c r="S32" s="1826"/>
      <c r="U32" s="1827"/>
      <c r="V32" s="1827"/>
      <c r="W32" s="1827"/>
      <c r="X32" s="1827"/>
      <c r="Y32" s="1827"/>
      <c r="Z32" s="1827"/>
      <c r="AA32" s="1827"/>
      <c r="AB32" s="1827"/>
      <c r="AC32" s="1827"/>
      <c r="AD32" s="1827"/>
      <c r="AE32" s="1827"/>
      <c r="AF32" s="1827"/>
      <c r="AG32" s="1827"/>
      <c r="AH32" s="1827"/>
    </row>
    <row r="33" spans="14:34" ht="25.5" customHeight="1">
      <c r="N33" s="850"/>
      <c r="O33" s="850"/>
      <c r="P33" s="850"/>
      <c r="Q33" s="850"/>
      <c r="R33" s="850"/>
      <c r="S33" s="850"/>
      <c r="U33" s="1827"/>
      <c r="V33" s="1827"/>
      <c r="W33" s="1827"/>
      <c r="X33" s="1827"/>
      <c r="Y33" s="1827"/>
      <c r="Z33" s="1827"/>
      <c r="AA33" s="1827"/>
      <c r="AB33" s="1827"/>
      <c r="AC33" s="1827"/>
      <c r="AD33" s="1827"/>
      <c r="AE33" s="1827"/>
      <c r="AF33" s="1827"/>
      <c r="AG33" s="1827"/>
      <c r="AH33" s="1827"/>
    </row>
    <row r="34" spans="14:34" ht="25.5" customHeight="1">
      <c r="U34" s="1825"/>
      <c r="V34" s="1825"/>
      <c r="W34" s="1825"/>
      <c r="X34" s="1825"/>
      <c r="Y34" s="1825"/>
      <c r="Z34" s="1825"/>
      <c r="AA34" s="1825"/>
      <c r="AB34" s="1825"/>
      <c r="AC34" s="1825"/>
      <c r="AD34" s="1825"/>
      <c r="AE34" s="1825"/>
      <c r="AF34" s="1825"/>
      <c r="AG34" s="1825"/>
      <c r="AH34" s="1825"/>
    </row>
    <row r="35" spans="14:34" ht="15" customHeight="1"/>
    <row r="36" spans="14:34" ht="25.5" customHeight="1">
      <c r="N36" s="1826" t="s">
        <v>3459</v>
      </c>
      <c r="O36" s="1826"/>
      <c r="P36" s="1826"/>
      <c r="Q36" s="1826"/>
      <c r="R36" s="1826"/>
      <c r="S36" s="1826"/>
      <c r="U36" s="1827"/>
      <c r="V36" s="1827"/>
      <c r="W36" s="1827"/>
      <c r="X36" s="1827"/>
      <c r="Y36" s="1827"/>
      <c r="Z36" s="1827"/>
      <c r="AA36" s="1827"/>
      <c r="AB36" s="1827"/>
      <c r="AC36" s="1827"/>
      <c r="AD36" s="1827"/>
      <c r="AE36" s="1827"/>
      <c r="AF36" s="1827"/>
      <c r="AG36" s="1827"/>
      <c r="AH36" s="1827"/>
    </row>
    <row r="37" spans="14:34" ht="25.5" customHeight="1">
      <c r="N37" s="850"/>
      <c r="O37" s="850"/>
      <c r="P37" s="850"/>
      <c r="Q37" s="850"/>
      <c r="R37" s="850"/>
      <c r="S37" s="850"/>
      <c r="U37" s="1827"/>
      <c r="V37" s="1827"/>
      <c r="W37" s="1827"/>
      <c r="X37" s="1827"/>
      <c r="Y37" s="1827"/>
      <c r="Z37" s="1827"/>
      <c r="AA37" s="1827"/>
      <c r="AB37" s="1827"/>
      <c r="AC37" s="1827"/>
      <c r="AD37" s="1827"/>
      <c r="AE37" s="1827"/>
      <c r="AF37" s="1827"/>
      <c r="AG37" s="1827"/>
      <c r="AH37" s="1827"/>
    </row>
    <row r="38" spans="14:34" ht="25.5" customHeight="1">
      <c r="U38" s="1825"/>
      <c r="V38" s="1825"/>
      <c r="W38" s="1825"/>
      <c r="X38" s="1825"/>
      <c r="Y38" s="1825"/>
      <c r="Z38" s="1825"/>
      <c r="AA38" s="1825"/>
      <c r="AB38" s="1825"/>
      <c r="AC38" s="1825"/>
      <c r="AD38" s="1825"/>
      <c r="AE38" s="1825"/>
      <c r="AF38" s="1825"/>
      <c r="AG38" s="1825"/>
      <c r="AH38" s="1825"/>
    </row>
  </sheetData>
  <mergeCells count="36">
    <mergeCell ref="N4:S4"/>
    <mergeCell ref="U4:AH4"/>
    <mergeCell ref="U5:AH5"/>
    <mergeCell ref="U6:AH6"/>
    <mergeCell ref="U21:AH21"/>
    <mergeCell ref="N8:S8"/>
    <mergeCell ref="U8:AH8"/>
    <mergeCell ref="U9:AH9"/>
    <mergeCell ref="U10:AH10"/>
    <mergeCell ref="N12:S12"/>
    <mergeCell ref="U12:AH12"/>
    <mergeCell ref="U13:AH13"/>
    <mergeCell ref="U14:AH14"/>
    <mergeCell ref="N16:S16"/>
    <mergeCell ref="U16:AH16"/>
    <mergeCell ref="U17:AH17"/>
    <mergeCell ref="U38:AH38"/>
    <mergeCell ref="N24:S24"/>
    <mergeCell ref="U24:AH24"/>
    <mergeCell ref="U25:AH25"/>
    <mergeCell ref="U26:AH26"/>
    <mergeCell ref="U18:AH18"/>
    <mergeCell ref="N20:S20"/>
    <mergeCell ref="U20:AH20"/>
    <mergeCell ref="U37:AH37"/>
    <mergeCell ref="U22:AH22"/>
    <mergeCell ref="U33:AH33"/>
    <mergeCell ref="U34:AH34"/>
    <mergeCell ref="N36:S36"/>
    <mergeCell ref="U36:AH36"/>
    <mergeCell ref="N28:S28"/>
    <mergeCell ref="U28:AH28"/>
    <mergeCell ref="U29:AH29"/>
    <mergeCell ref="U30:AH30"/>
    <mergeCell ref="N32:S32"/>
    <mergeCell ref="U32:AH32"/>
  </mergeCells>
  <phoneticPr fontId="122"/>
  <pageMargins left="0.98425196850393704" right="0.78740157480314965" top="0.59055118110236227" bottom="0.39370078740157483" header="0.51181102362204722" footer="0.51181102362204722"/>
  <pageSetup paperSize="9" scale="98" orientation="portrait" blackAndWhite="1"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58"/>
  <sheetViews>
    <sheetView zoomScaleNormal="100" workbookViewId="0"/>
  </sheetViews>
  <sheetFormatPr defaultColWidth="2.33203125" defaultRowHeight="15.15" customHeight="1"/>
  <cols>
    <col min="1" max="1" width="2.33203125" style="854" customWidth="1"/>
    <col min="2" max="16384" width="2.33203125" style="854"/>
  </cols>
  <sheetData>
    <row r="1" spans="1:35" s="852" customFormat="1" ht="17.25" customHeight="1">
      <c r="A1" s="853" t="s">
        <v>2676</v>
      </c>
      <c r="E1" s="853" t="s">
        <v>3468</v>
      </c>
    </row>
    <row r="2" spans="1:35" ht="18" customHeight="1">
      <c r="A2" s="861" t="s">
        <v>3467</v>
      </c>
      <c r="B2" s="861"/>
      <c r="C2" s="861"/>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c r="AH2" s="861"/>
      <c r="AI2" s="861"/>
    </row>
    <row r="3" spans="1:35" ht="18" customHeight="1"/>
    <row r="4" spans="1:35" ht="15" customHeight="1">
      <c r="A4" s="860" t="s">
        <v>3456</v>
      </c>
      <c r="B4" s="859"/>
      <c r="C4" s="859"/>
      <c r="D4" s="859"/>
      <c r="E4" s="859"/>
      <c r="F4" s="859"/>
      <c r="G4" s="859"/>
      <c r="H4" s="859"/>
      <c r="I4" s="859"/>
      <c r="J4" s="859"/>
      <c r="K4" s="859"/>
      <c r="L4" s="859"/>
      <c r="M4" s="859"/>
      <c r="N4" s="859"/>
      <c r="O4" s="859"/>
      <c r="P4" s="859"/>
      <c r="Q4" s="859"/>
      <c r="R4" s="859"/>
      <c r="S4" s="859"/>
      <c r="T4" s="859"/>
      <c r="U4" s="859"/>
      <c r="V4" s="858"/>
    </row>
    <row r="5" spans="1:35" ht="15" customHeight="1">
      <c r="A5" s="857"/>
      <c r="B5" s="854" t="s">
        <v>35</v>
      </c>
      <c r="H5" s="1827"/>
      <c r="I5" s="1827"/>
      <c r="J5" s="1827"/>
      <c r="K5" s="1827"/>
      <c r="L5" s="1827"/>
      <c r="M5" s="1827"/>
      <c r="N5" s="1827"/>
      <c r="O5" s="1827"/>
      <c r="P5" s="1827"/>
      <c r="Q5" s="1827"/>
      <c r="R5" s="1827"/>
      <c r="S5" s="1827"/>
      <c r="T5" s="1827"/>
      <c r="U5" s="1827"/>
      <c r="V5" s="1828"/>
    </row>
    <row r="6" spans="1:35" ht="15" customHeight="1">
      <c r="A6" s="857"/>
      <c r="B6" s="854" t="s">
        <v>2796</v>
      </c>
      <c r="H6" s="1827"/>
      <c r="I6" s="1827"/>
      <c r="J6" s="1827"/>
      <c r="K6" s="1827"/>
      <c r="L6" s="1827"/>
      <c r="M6" s="1827"/>
      <c r="N6" s="1827"/>
      <c r="O6" s="1827"/>
      <c r="P6" s="1827"/>
      <c r="Q6" s="1827"/>
      <c r="R6" s="1827"/>
      <c r="S6" s="1827"/>
      <c r="T6" s="1827"/>
      <c r="U6" s="1827"/>
      <c r="V6" s="1828"/>
    </row>
    <row r="7" spans="1:35" ht="15" customHeight="1">
      <c r="A7" s="857"/>
      <c r="B7" s="854" t="s">
        <v>9</v>
      </c>
      <c r="H7" s="1827"/>
      <c r="I7" s="1827"/>
      <c r="J7" s="1827"/>
      <c r="K7" s="1827"/>
      <c r="L7" s="1827"/>
      <c r="M7" s="1827"/>
      <c r="N7" s="1827"/>
      <c r="O7" s="1827"/>
      <c r="P7" s="1827"/>
      <c r="Q7" s="1827"/>
      <c r="R7" s="1827"/>
      <c r="S7" s="1827"/>
      <c r="T7" s="1827"/>
      <c r="U7" s="1827"/>
      <c r="V7" s="1828"/>
    </row>
    <row r="8" spans="1:35" ht="15" customHeight="1">
      <c r="A8" s="857"/>
      <c r="B8" s="854" t="s">
        <v>3335</v>
      </c>
      <c r="H8" s="1827"/>
      <c r="I8" s="1827"/>
      <c r="J8" s="1827"/>
      <c r="K8" s="1827"/>
      <c r="L8" s="1827"/>
      <c r="M8" s="1827"/>
      <c r="N8" s="1827"/>
      <c r="O8" s="1827"/>
      <c r="P8" s="1827"/>
      <c r="Q8" s="1827"/>
      <c r="R8" s="1827"/>
      <c r="S8" s="1827"/>
      <c r="T8" s="1827"/>
      <c r="U8" s="1827"/>
      <c r="V8" s="1828"/>
    </row>
    <row r="9" spans="1:35" ht="15" customHeight="1">
      <c r="A9" s="856"/>
      <c r="B9" s="855" t="s">
        <v>3451</v>
      </c>
      <c r="C9" s="855"/>
      <c r="D9" s="855"/>
      <c r="E9" s="855"/>
      <c r="F9" s="855"/>
      <c r="G9" s="855"/>
      <c r="H9" s="1829"/>
      <c r="I9" s="1829"/>
      <c r="J9" s="1829"/>
      <c r="K9" s="1829"/>
      <c r="L9" s="1829"/>
      <c r="M9" s="1829"/>
      <c r="N9" s="1829"/>
      <c r="O9" s="1829"/>
      <c r="P9" s="1829"/>
      <c r="Q9" s="1829"/>
      <c r="R9" s="1829"/>
      <c r="S9" s="1829"/>
      <c r="T9" s="1829"/>
      <c r="U9" s="1829"/>
      <c r="V9" s="1830"/>
    </row>
    <row r="10" spans="1:35" ht="15" customHeight="1">
      <c r="A10" s="860" t="s">
        <v>3456</v>
      </c>
      <c r="B10" s="859"/>
      <c r="C10" s="859"/>
      <c r="D10" s="859"/>
      <c r="E10" s="859"/>
      <c r="F10" s="859"/>
      <c r="G10" s="859"/>
      <c r="H10" s="859"/>
      <c r="I10" s="859"/>
      <c r="J10" s="859"/>
      <c r="K10" s="859"/>
      <c r="L10" s="859"/>
      <c r="M10" s="859"/>
      <c r="N10" s="859"/>
      <c r="O10" s="859"/>
      <c r="P10" s="859"/>
      <c r="Q10" s="859"/>
      <c r="R10" s="859"/>
      <c r="S10" s="859"/>
      <c r="T10" s="859"/>
      <c r="U10" s="859"/>
      <c r="V10" s="858"/>
    </row>
    <row r="11" spans="1:35" ht="15" customHeight="1">
      <c r="A11" s="857"/>
      <c r="B11" s="854" t="s">
        <v>35</v>
      </c>
      <c r="H11" s="1827"/>
      <c r="I11" s="1827"/>
      <c r="J11" s="1827"/>
      <c r="K11" s="1827"/>
      <c r="L11" s="1827"/>
      <c r="M11" s="1827"/>
      <c r="N11" s="1827"/>
      <c r="O11" s="1827"/>
      <c r="P11" s="1827"/>
      <c r="Q11" s="1827"/>
      <c r="R11" s="1827"/>
      <c r="S11" s="1827"/>
      <c r="T11" s="1827"/>
      <c r="U11" s="1827"/>
      <c r="V11" s="1828"/>
    </row>
    <row r="12" spans="1:35" ht="15" customHeight="1">
      <c r="A12" s="857"/>
      <c r="B12" s="854" t="s">
        <v>2796</v>
      </c>
      <c r="H12" s="1827"/>
      <c r="I12" s="1827"/>
      <c r="J12" s="1827"/>
      <c r="K12" s="1827"/>
      <c r="L12" s="1827"/>
      <c r="M12" s="1827"/>
      <c r="N12" s="1827"/>
      <c r="O12" s="1827"/>
      <c r="P12" s="1827"/>
      <c r="Q12" s="1827"/>
      <c r="R12" s="1827"/>
      <c r="S12" s="1827"/>
      <c r="T12" s="1827"/>
      <c r="U12" s="1827"/>
      <c r="V12" s="1828"/>
    </row>
    <row r="13" spans="1:35" ht="15" customHeight="1">
      <c r="A13" s="857"/>
      <c r="B13" s="854" t="s">
        <v>9</v>
      </c>
      <c r="H13" s="1827"/>
      <c r="I13" s="1827"/>
      <c r="J13" s="1827"/>
      <c r="K13" s="1827"/>
      <c r="L13" s="1827"/>
      <c r="M13" s="1827"/>
      <c r="N13" s="1827"/>
      <c r="O13" s="1827"/>
      <c r="P13" s="1827"/>
      <c r="Q13" s="1827"/>
      <c r="R13" s="1827"/>
      <c r="S13" s="1827"/>
      <c r="T13" s="1827"/>
      <c r="U13" s="1827"/>
      <c r="V13" s="1828"/>
    </row>
    <row r="14" spans="1:35" ht="15" customHeight="1">
      <c r="A14" s="857"/>
      <c r="B14" s="854" t="s">
        <v>3335</v>
      </c>
      <c r="H14" s="1827"/>
      <c r="I14" s="1827"/>
      <c r="J14" s="1827"/>
      <c r="K14" s="1827"/>
      <c r="L14" s="1827"/>
      <c r="M14" s="1827"/>
      <c r="N14" s="1827"/>
      <c r="O14" s="1827"/>
      <c r="P14" s="1827"/>
      <c r="Q14" s="1827"/>
      <c r="R14" s="1827"/>
      <c r="S14" s="1827"/>
      <c r="T14" s="1827"/>
      <c r="U14" s="1827"/>
      <c r="V14" s="1828"/>
    </row>
    <row r="15" spans="1:35" ht="15" customHeight="1">
      <c r="A15" s="856"/>
      <c r="B15" s="855" t="s">
        <v>3451</v>
      </c>
      <c r="C15" s="855"/>
      <c r="D15" s="855"/>
      <c r="E15" s="855"/>
      <c r="F15" s="855"/>
      <c r="G15" s="855"/>
      <c r="H15" s="1829"/>
      <c r="I15" s="1829"/>
      <c r="J15" s="1829"/>
      <c r="K15" s="1829"/>
      <c r="L15" s="1829"/>
      <c r="M15" s="1829"/>
      <c r="N15" s="1829"/>
      <c r="O15" s="1829"/>
      <c r="P15" s="1829"/>
      <c r="Q15" s="1829"/>
      <c r="R15" s="1829"/>
      <c r="S15" s="1829"/>
      <c r="T15" s="1829"/>
      <c r="U15" s="1829"/>
      <c r="V15" s="1830"/>
    </row>
    <row r="16" spans="1:35" ht="15" customHeight="1">
      <c r="A16" s="860" t="s">
        <v>3456</v>
      </c>
      <c r="B16" s="859"/>
      <c r="C16" s="859"/>
      <c r="D16" s="859"/>
      <c r="E16" s="859"/>
      <c r="F16" s="859"/>
      <c r="G16" s="859"/>
      <c r="H16" s="859"/>
      <c r="I16" s="859"/>
      <c r="J16" s="859"/>
      <c r="K16" s="859"/>
      <c r="L16" s="859"/>
      <c r="M16" s="859"/>
      <c r="N16" s="859"/>
      <c r="O16" s="859"/>
      <c r="P16" s="859"/>
      <c r="Q16" s="859"/>
      <c r="R16" s="859"/>
      <c r="S16" s="859"/>
      <c r="T16" s="859"/>
      <c r="U16" s="859"/>
      <c r="V16" s="858"/>
    </row>
    <row r="17" spans="1:22" ht="15" customHeight="1">
      <c r="A17" s="857"/>
      <c r="B17" s="854" t="s">
        <v>35</v>
      </c>
      <c r="H17" s="1827"/>
      <c r="I17" s="1827"/>
      <c r="J17" s="1827"/>
      <c r="K17" s="1827"/>
      <c r="L17" s="1827"/>
      <c r="M17" s="1827"/>
      <c r="N17" s="1827"/>
      <c r="O17" s="1827"/>
      <c r="P17" s="1827"/>
      <c r="Q17" s="1827"/>
      <c r="R17" s="1827"/>
      <c r="S17" s="1827"/>
      <c r="T17" s="1827"/>
      <c r="U17" s="1827"/>
      <c r="V17" s="1828"/>
    </row>
    <row r="18" spans="1:22" ht="15" customHeight="1">
      <c r="A18" s="857"/>
      <c r="B18" s="854" t="s">
        <v>2796</v>
      </c>
      <c r="H18" s="1827"/>
      <c r="I18" s="1827"/>
      <c r="J18" s="1827"/>
      <c r="K18" s="1827"/>
      <c r="L18" s="1827"/>
      <c r="M18" s="1827"/>
      <c r="N18" s="1827"/>
      <c r="O18" s="1827"/>
      <c r="P18" s="1827"/>
      <c r="Q18" s="1827"/>
      <c r="R18" s="1827"/>
      <c r="S18" s="1827"/>
      <c r="T18" s="1827"/>
      <c r="U18" s="1827"/>
      <c r="V18" s="1828"/>
    </row>
    <row r="19" spans="1:22" ht="15" customHeight="1">
      <c r="A19" s="857"/>
      <c r="B19" s="854" t="s">
        <v>9</v>
      </c>
      <c r="H19" s="1827"/>
      <c r="I19" s="1827"/>
      <c r="J19" s="1827"/>
      <c r="K19" s="1827"/>
      <c r="L19" s="1827"/>
      <c r="M19" s="1827"/>
      <c r="N19" s="1827"/>
      <c r="O19" s="1827"/>
      <c r="P19" s="1827"/>
      <c r="Q19" s="1827"/>
      <c r="R19" s="1827"/>
      <c r="S19" s="1827"/>
      <c r="T19" s="1827"/>
      <c r="U19" s="1827"/>
      <c r="V19" s="1828"/>
    </row>
    <row r="20" spans="1:22" ht="15" customHeight="1">
      <c r="A20" s="857"/>
      <c r="B20" s="854" t="s">
        <v>3335</v>
      </c>
      <c r="H20" s="1827"/>
      <c r="I20" s="1827"/>
      <c r="J20" s="1827"/>
      <c r="K20" s="1827"/>
      <c r="L20" s="1827"/>
      <c r="M20" s="1827"/>
      <c r="N20" s="1827"/>
      <c r="O20" s="1827"/>
      <c r="P20" s="1827"/>
      <c r="Q20" s="1827"/>
      <c r="R20" s="1827"/>
      <c r="S20" s="1827"/>
      <c r="T20" s="1827"/>
      <c r="U20" s="1827"/>
      <c r="V20" s="1828"/>
    </row>
    <row r="21" spans="1:22" ht="15" customHeight="1">
      <c r="A21" s="856"/>
      <c r="B21" s="855" t="s">
        <v>3451</v>
      </c>
      <c r="C21" s="855"/>
      <c r="D21" s="855"/>
      <c r="E21" s="855"/>
      <c r="F21" s="855"/>
      <c r="G21" s="855"/>
      <c r="H21" s="1829"/>
      <c r="I21" s="1829"/>
      <c r="J21" s="1829"/>
      <c r="K21" s="1829"/>
      <c r="L21" s="1829"/>
      <c r="M21" s="1829"/>
      <c r="N21" s="1829"/>
      <c r="O21" s="1829"/>
      <c r="P21" s="1829"/>
      <c r="Q21" s="1829"/>
      <c r="R21" s="1829"/>
      <c r="S21" s="1829"/>
      <c r="T21" s="1829"/>
      <c r="U21" s="1829"/>
      <c r="V21" s="1830"/>
    </row>
    <row r="22" spans="1:22" ht="15" customHeight="1">
      <c r="A22" s="860" t="s">
        <v>3456</v>
      </c>
      <c r="B22" s="859"/>
      <c r="C22" s="859"/>
      <c r="D22" s="859"/>
      <c r="E22" s="859"/>
      <c r="F22" s="859"/>
      <c r="G22" s="859"/>
      <c r="H22" s="859"/>
      <c r="I22" s="859"/>
      <c r="J22" s="859"/>
      <c r="K22" s="859"/>
      <c r="L22" s="859"/>
      <c r="M22" s="859"/>
      <c r="N22" s="859"/>
      <c r="O22" s="859"/>
      <c r="P22" s="859"/>
      <c r="Q22" s="859"/>
      <c r="R22" s="859"/>
      <c r="S22" s="859"/>
      <c r="T22" s="859"/>
      <c r="U22" s="859"/>
      <c r="V22" s="858"/>
    </row>
    <row r="23" spans="1:22" ht="15" customHeight="1">
      <c r="A23" s="857"/>
      <c r="B23" s="854" t="s">
        <v>35</v>
      </c>
      <c r="H23" s="1827"/>
      <c r="I23" s="1827"/>
      <c r="J23" s="1827"/>
      <c r="K23" s="1827"/>
      <c r="L23" s="1827"/>
      <c r="M23" s="1827"/>
      <c r="N23" s="1827"/>
      <c r="O23" s="1827"/>
      <c r="P23" s="1827"/>
      <c r="Q23" s="1827"/>
      <c r="R23" s="1827"/>
      <c r="S23" s="1827"/>
      <c r="T23" s="1827"/>
      <c r="U23" s="1827"/>
      <c r="V23" s="1828"/>
    </row>
    <row r="24" spans="1:22" ht="15" customHeight="1">
      <c r="A24" s="857"/>
      <c r="B24" s="854" t="s">
        <v>2796</v>
      </c>
      <c r="H24" s="1827"/>
      <c r="I24" s="1827"/>
      <c r="J24" s="1827"/>
      <c r="K24" s="1827"/>
      <c r="L24" s="1827"/>
      <c r="M24" s="1827"/>
      <c r="N24" s="1827"/>
      <c r="O24" s="1827"/>
      <c r="P24" s="1827"/>
      <c r="Q24" s="1827"/>
      <c r="R24" s="1827"/>
      <c r="S24" s="1827"/>
      <c r="T24" s="1827"/>
      <c r="U24" s="1827"/>
      <c r="V24" s="1828"/>
    </row>
    <row r="25" spans="1:22" ht="15" customHeight="1">
      <c r="A25" s="857"/>
      <c r="B25" s="854" t="s">
        <v>9</v>
      </c>
      <c r="H25" s="1827"/>
      <c r="I25" s="1827"/>
      <c r="J25" s="1827"/>
      <c r="K25" s="1827"/>
      <c r="L25" s="1827"/>
      <c r="M25" s="1827"/>
      <c r="N25" s="1827"/>
      <c r="O25" s="1827"/>
      <c r="P25" s="1827"/>
      <c r="Q25" s="1827"/>
      <c r="R25" s="1827"/>
      <c r="S25" s="1827"/>
      <c r="T25" s="1827"/>
      <c r="U25" s="1827"/>
      <c r="V25" s="1828"/>
    </row>
    <row r="26" spans="1:22" ht="15" customHeight="1">
      <c r="A26" s="857"/>
      <c r="B26" s="854" t="s">
        <v>3335</v>
      </c>
      <c r="H26" s="1827"/>
      <c r="I26" s="1827"/>
      <c r="J26" s="1827"/>
      <c r="K26" s="1827"/>
      <c r="L26" s="1827"/>
      <c r="M26" s="1827"/>
      <c r="N26" s="1827"/>
      <c r="O26" s="1827"/>
      <c r="P26" s="1827"/>
      <c r="Q26" s="1827"/>
      <c r="R26" s="1827"/>
      <c r="S26" s="1827"/>
      <c r="T26" s="1827"/>
      <c r="U26" s="1827"/>
      <c r="V26" s="1828"/>
    </row>
    <row r="27" spans="1:22" ht="15" customHeight="1">
      <c r="A27" s="856"/>
      <c r="B27" s="855" t="s">
        <v>3451</v>
      </c>
      <c r="C27" s="855"/>
      <c r="D27" s="855"/>
      <c r="E27" s="855"/>
      <c r="F27" s="855"/>
      <c r="G27" s="855"/>
      <c r="H27" s="1829"/>
      <c r="I27" s="1829"/>
      <c r="J27" s="1829"/>
      <c r="K27" s="1829"/>
      <c r="L27" s="1829"/>
      <c r="M27" s="1829"/>
      <c r="N27" s="1829"/>
      <c r="O27" s="1829"/>
      <c r="P27" s="1829"/>
      <c r="Q27" s="1829"/>
      <c r="R27" s="1829"/>
      <c r="S27" s="1829"/>
      <c r="T27" s="1829"/>
      <c r="U27" s="1829"/>
      <c r="V27" s="1830"/>
    </row>
    <row r="28" spans="1:22" ht="15" customHeight="1">
      <c r="A28" s="860" t="s">
        <v>3456</v>
      </c>
      <c r="B28" s="859"/>
      <c r="C28" s="859"/>
      <c r="D28" s="859"/>
      <c r="E28" s="859"/>
      <c r="F28" s="859"/>
      <c r="G28" s="859"/>
      <c r="H28" s="859"/>
      <c r="I28" s="859"/>
      <c r="J28" s="859"/>
      <c r="K28" s="859"/>
      <c r="L28" s="859"/>
      <c r="M28" s="859"/>
      <c r="N28" s="859"/>
      <c r="O28" s="859"/>
      <c r="P28" s="859"/>
      <c r="Q28" s="859"/>
      <c r="R28" s="859"/>
      <c r="S28" s="859"/>
      <c r="T28" s="859"/>
      <c r="U28" s="859"/>
      <c r="V28" s="858"/>
    </row>
    <row r="29" spans="1:22" ht="15" customHeight="1">
      <c r="A29" s="857"/>
      <c r="B29" s="854" t="s">
        <v>35</v>
      </c>
      <c r="H29" s="1827"/>
      <c r="I29" s="1827"/>
      <c r="J29" s="1827"/>
      <c r="K29" s="1827"/>
      <c r="L29" s="1827"/>
      <c r="M29" s="1827"/>
      <c r="N29" s="1827"/>
      <c r="O29" s="1827"/>
      <c r="P29" s="1827"/>
      <c r="Q29" s="1827"/>
      <c r="R29" s="1827"/>
      <c r="S29" s="1827"/>
      <c r="T29" s="1827"/>
      <c r="U29" s="1827"/>
      <c r="V29" s="1828"/>
    </row>
    <row r="30" spans="1:22" ht="15" customHeight="1">
      <c r="A30" s="857"/>
      <c r="B30" s="854" t="s">
        <v>2796</v>
      </c>
      <c r="H30" s="1827"/>
      <c r="I30" s="1827"/>
      <c r="J30" s="1827"/>
      <c r="K30" s="1827"/>
      <c r="L30" s="1827"/>
      <c r="M30" s="1827"/>
      <c r="N30" s="1827"/>
      <c r="O30" s="1827"/>
      <c r="P30" s="1827"/>
      <c r="Q30" s="1827"/>
      <c r="R30" s="1827"/>
      <c r="S30" s="1827"/>
      <c r="T30" s="1827"/>
      <c r="U30" s="1827"/>
      <c r="V30" s="1828"/>
    </row>
    <row r="31" spans="1:22" ht="15" customHeight="1">
      <c r="A31" s="857"/>
      <c r="B31" s="854" t="s">
        <v>9</v>
      </c>
      <c r="H31" s="1827"/>
      <c r="I31" s="1827"/>
      <c r="J31" s="1827"/>
      <c r="K31" s="1827"/>
      <c r="L31" s="1827"/>
      <c r="M31" s="1827"/>
      <c r="N31" s="1827"/>
      <c r="O31" s="1827"/>
      <c r="P31" s="1827"/>
      <c r="Q31" s="1827"/>
      <c r="R31" s="1827"/>
      <c r="S31" s="1827"/>
      <c r="T31" s="1827"/>
      <c r="U31" s="1827"/>
      <c r="V31" s="1828"/>
    </row>
    <row r="32" spans="1:22" ht="15" customHeight="1">
      <c r="A32" s="857"/>
      <c r="B32" s="854" t="s">
        <v>3335</v>
      </c>
      <c r="H32" s="1827"/>
      <c r="I32" s="1827"/>
      <c r="J32" s="1827"/>
      <c r="K32" s="1827"/>
      <c r="L32" s="1827"/>
      <c r="M32" s="1827"/>
      <c r="N32" s="1827"/>
      <c r="O32" s="1827"/>
      <c r="P32" s="1827"/>
      <c r="Q32" s="1827"/>
      <c r="R32" s="1827"/>
      <c r="S32" s="1827"/>
      <c r="T32" s="1827"/>
      <c r="U32" s="1827"/>
      <c r="V32" s="1828"/>
    </row>
    <row r="33" spans="1:22" ht="15" customHeight="1">
      <c r="A33" s="856"/>
      <c r="B33" s="855" t="s">
        <v>3451</v>
      </c>
      <c r="C33" s="855"/>
      <c r="D33" s="855"/>
      <c r="E33" s="855"/>
      <c r="F33" s="855"/>
      <c r="G33" s="855"/>
      <c r="H33" s="1829"/>
      <c r="I33" s="1829"/>
      <c r="J33" s="1829"/>
      <c r="K33" s="1829"/>
      <c r="L33" s="1829"/>
      <c r="M33" s="1829"/>
      <c r="N33" s="1829"/>
      <c r="O33" s="1829"/>
      <c r="P33" s="1829"/>
      <c r="Q33" s="1829"/>
      <c r="R33" s="1829"/>
      <c r="S33" s="1829"/>
      <c r="T33" s="1829"/>
      <c r="U33" s="1829"/>
      <c r="V33" s="1830"/>
    </row>
    <row r="34" spans="1:22" ht="15" customHeight="1">
      <c r="A34" s="860" t="s">
        <v>3456</v>
      </c>
      <c r="B34" s="859"/>
      <c r="C34" s="859"/>
      <c r="D34" s="859"/>
      <c r="E34" s="859"/>
      <c r="F34" s="859"/>
      <c r="G34" s="859"/>
      <c r="H34" s="859"/>
      <c r="I34" s="859"/>
      <c r="J34" s="859"/>
      <c r="K34" s="859"/>
      <c r="L34" s="859"/>
      <c r="M34" s="859"/>
      <c r="N34" s="859"/>
      <c r="O34" s="859"/>
      <c r="P34" s="859"/>
      <c r="Q34" s="859"/>
      <c r="R34" s="859"/>
      <c r="S34" s="859"/>
      <c r="T34" s="859"/>
      <c r="U34" s="859"/>
      <c r="V34" s="858"/>
    </row>
    <row r="35" spans="1:22" ht="15" customHeight="1">
      <c r="A35" s="857"/>
      <c r="B35" s="854" t="s">
        <v>35</v>
      </c>
      <c r="H35" s="1827"/>
      <c r="I35" s="1827"/>
      <c r="J35" s="1827"/>
      <c r="K35" s="1827"/>
      <c r="L35" s="1827"/>
      <c r="M35" s="1827"/>
      <c r="N35" s="1827"/>
      <c r="O35" s="1827"/>
      <c r="P35" s="1827"/>
      <c r="Q35" s="1827"/>
      <c r="R35" s="1827"/>
      <c r="S35" s="1827"/>
      <c r="T35" s="1827"/>
      <c r="U35" s="1827"/>
      <c r="V35" s="1828"/>
    </row>
    <row r="36" spans="1:22" ht="15" customHeight="1">
      <c r="A36" s="857"/>
      <c r="B36" s="854" t="s">
        <v>2796</v>
      </c>
      <c r="H36" s="1827"/>
      <c r="I36" s="1827"/>
      <c r="J36" s="1827"/>
      <c r="K36" s="1827"/>
      <c r="L36" s="1827"/>
      <c r="M36" s="1827"/>
      <c r="N36" s="1827"/>
      <c r="O36" s="1827"/>
      <c r="P36" s="1827"/>
      <c r="Q36" s="1827"/>
      <c r="R36" s="1827"/>
      <c r="S36" s="1827"/>
      <c r="T36" s="1827"/>
      <c r="U36" s="1827"/>
      <c r="V36" s="1828"/>
    </row>
    <row r="37" spans="1:22" ht="15" customHeight="1">
      <c r="A37" s="857"/>
      <c r="B37" s="854" t="s">
        <v>9</v>
      </c>
      <c r="H37" s="1827"/>
      <c r="I37" s="1827"/>
      <c r="J37" s="1827"/>
      <c r="K37" s="1827"/>
      <c r="L37" s="1827"/>
      <c r="M37" s="1827"/>
      <c r="N37" s="1827"/>
      <c r="O37" s="1827"/>
      <c r="P37" s="1827"/>
      <c r="Q37" s="1827"/>
      <c r="R37" s="1827"/>
      <c r="S37" s="1827"/>
      <c r="T37" s="1827"/>
      <c r="U37" s="1827"/>
      <c r="V37" s="1828"/>
    </row>
    <row r="38" spans="1:22" ht="15" customHeight="1">
      <c r="A38" s="857"/>
      <c r="B38" s="854" t="s">
        <v>3335</v>
      </c>
      <c r="H38" s="1827"/>
      <c r="I38" s="1827"/>
      <c r="J38" s="1827"/>
      <c r="K38" s="1827"/>
      <c r="L38" s="1827"/>
      <c r="M38" s="1827"/>
      <c r="N38" s="1827"/>
      <c r="O38" s="1827"/>
      <c r="P38" s="1827"/>
      <c r="Q38" s="1827"/>
      <c r="R38" s="1827"/>
      <c r="S38" s="1827"/>
      <c r="T38" s="1827"/>
      <c r="U38" s="1827"/>
      <c r="V38" s="1828"/>
    </row>
    <row r="39" spans="1:22" ht="15" customHeight="1">
      <c r="A39" s="856"/>
      <c r="B39" s="855" t="s">
        <v>3451</v>
      </c>
      <c r="C39" s="855"/>
      <c r="D39" s="855"/>
      <c r="E39" s="855"/>
      <c r="F39" s="855"/>
      <c r="G39" s="855"/>
      <c r="H39" s="1829"/>
      <c r="I39" s="1829"/>
      <c r="J39" s="1829"/>
      <c r="K39" s="1829"/>
      <c r="L39" s="1829"/>
      <c r="M39" s="1829"/>
      <c r="N39" s="1829"/>
      <c r="O39" s="1829"/>
      <c r="P39" s="1829"/>
      <c r="Q39" s="1829"/>
      <c r="R39" s="1829"/>
      <c r="S39" s="1829"/>
      <c r="T39" s="1829"/>
      <c r="U39" s="1829"/>
      <c r="V39" s="1830"/>
    </row>
    <row r="40" spans="1:22" ht="15" customHeight="1">
      <c r="A40" s="860" t="s">
        <v>3456</v>
      </c>
      <c r="B40" s="859"/>
      <c r="C40" s="859"/>
      <c r="D40" s="859"/>
      <c r="E40" s="859"/>
      <c r="F40" s="859"/>
      <c r="G40" s="859"/>
      <c r="H40" s="859"/>
      <c r="I40" s="859"/>
      <c r="J40" s="859"/>
      <c r="K40" s="859"/>
      <c r="L40" s="859"/>
      <c r="M40" s="859"/>
      <c r="N40" s="859"/>
      <c r="O40" s="859"/>
      <c r="P40" s="859"/>
      <c r="Q40" s="859"/>
      <c r="R40" s="859"/>
      <c r="S40" s="859"/>
      <c r="T40" s="859"/>
      <c r="U40" s="859"/>
      <c r="V40" s="858"/>
    </row>
    <row r="41" spans="1:22" ht="15" customHeight="1">
      <c r="A41" s="857"/>
      <c r="B41" s="854" t="s">
        <v>35</v>
      </c>
      <c r="H41" s="1827"/>
      <c r="I41" s="1827"/>
      <c r="J41" s="1827"/>
      <c r="K41" s="1827"/>
      <c r="L41" s="1827"/>
      <c r="M41" s="1827"/>
      <c r="N41" s="1827"/>
      <c r="O41" s="1827"/>
      <c r="P41" s="1827"/>
      <c r="Q41" s="1827"/>
      <c r="R41" s="1827"/>
      <c r="S41" s="1827"/>
      <c r="T41" s="1827"/>
      <c r="U41" s="1827"/>
      <c r="V41" s="1828"/>
    </row>
    <row r="42" spans="1:22" ht="15" customHeight="1">
      <c r="A42" s="857"/>
      <c r="B42" s="854" t="s">
        <v>2796</v>
      </c>
      <c r="H42" s="1827"/>
      <c r="I42" s="1827"/>
      <c r="J42" s="1827"/>
      <c r="K42" s="1827"/>
      <c r="L42" s="1827"/>
      <c r="M42" s="1827"/>
      <c r="N42" s="1827"/>
      <c r="O42" s="1827"/>
      <c r="P42" s="1827"/>
      <c r="Q42" s="1827"/>
      <c r="R42" s="1827"/>
      <c r="S42" s="1827"/>
      <c r="T42" s="1827"/>
      <c r="U42" s="1827"/>
      <c r="V42" s="1828"/>
    </row>
    <row r="43" spans="1:22" ht="15" customHeight="1">
      <c r="A43" s="857"/>
      <c r="B43" s="854" t="s">
        <v>9</v>
      </c>
      <c r="H43" s="1827"/>
      <c r="I43" s="1827"/>
      <c r="J43" s="1827"/>
      <c r="K43" s="1827"/>
      <c r="L43" s="1827"/>
      <c r="M43" s="1827"/>
      <c r="N43" s="1827"/>
      <c r="O43" s="1827"/>
      <c r="P43" s="1827"/>
      <c r="Q43" s="1827"/>
      <c r="R43" s="1827"/>
      <c r="S43" s="1827"/>
      <c r="T43" s="1827"/>
      <c r="U43" s="1827"/>
      <c r="V43" s="1828"/>
    </row>
    <row r="44" spans="1:22" ht="15" customHeight="1">
      <c r="A44" s="857"/>
      <c r="B44" s="854" t="s">
        <v>3335</v>
      </c>
      <c r="H44" s="1827"/>
      <c r="I44" s="1827"/>
      <c r="J44" s="1827"/>
      <c r="K44" s="1827"/>
      <c r="L44" s="1827"/>
      <c r="M44" s="1827"/>
      <c r="N44" s="1827"/>
      <c r="O44" s="1827"/>
      <c r="P44" s="1827"/>
      <c r="Q44" s="1827"/>
      <c r="R44" s="1827"/>
      <c r="S44" s="1827"/>
      <c r="T44" s="1827"/>
      <c r="U44" s="1827"/>
      <c r="V44" s="1828"/>
    </row>
    <row r="45" spans="1:22" ht="15" customHeight="1">
      <c r="A45" s="856"/>
      <c r="B45" s="855" t="s">
        <v>3451</v>
      </c>
      <c r="C45" s="855"/>
      <c r="D45" s="855"/>
      <c r="E45" s="855"/>
      <c r="F45" s="855"/>
      <c r="G45" s="855"/>
      <c r="H45" s="1829"/>
      <c r="I45" s="1829"/>
      <c r="J45" s="1829"/>
      <c r="K45" s="1829"/>
      <c r="L45" s="1829"/>
      <c r="M45" s="1829"/>
      <c r="N45" s="1829"/>
      <c r="O45" s="1829"/>
      <c r="P45" s="1829"/>
      <c r="Q45" s="1829"/>
      <c r="R45" s="1829"/>
      <c r="S45" s="1829"/>
      <c r="T45" s="1829"/>
      <c r="U45" s="1829"/>
      <c r="V45" s="1830"/>
    </row>
    <row r="46" spans="1:22" ht="15" customHeight="1">
      <c r="A46" s="860" t="s">
        <v>3456</v>
      </c>
      <c r="B46" s="859"/>
      <c r="C46" s="859"/>
      <c r="D46" s="859"/>
      <c r="E46" s="859"/>
      <c r="F46" s="859"/>
      <c r="G46" s="859"/>
      <c r="H46" s="859"/>
      <c r="I46" s="859"/>
      <c r="J46" s="859"/>
      <c r="K46" s="859"/>
      <c r="L46" s="859"/>
      <c r="M46" s="859"/>
      <c r="N46" s="859"/>
      <c r="O46" s="859"/>
      <c r="P46" s="859"/>
      <c r="Q46" s="859"/>
      <c r="R46" s="859"/>
      <c r="S46" s="859"/>
      <c r="T46" s="859"/>
      <c r="U46" s="859"/>
      <c r="V46" s="858"/>
    </row>
    <row r="47" spans="1:22" ht="15" customHeight="1">
      <c r="A47" s="857"/>
      <c r="B47" s="854" t="s">
        <v>35</v>
      </c>
      <c r="H47" s="1827"/>
      <c r="I47" s="1827"/>
      <c r="J47" s="1827"/>
      <c r="K47" s="1827"/>
      <c r="L47" s="1827"/>
      <c r="M47" s="1827"/>
      <c r="N47" s="1827"/>
      <c r="O47" s="1827"/>
      <c r="P47" s="1827"/>
      <c r="Q47" s="1827"/>
      <c r="R47" s="1827"/>
      <c r="S47" s="1827"/>
      <c r="T47" s="1827"/>
      <c r="U47" s="1827"/>
      <c r="V47" s="1828"/>
    </row>
    <row r="48" spans="1:22" ht="15" customHeight="1">
      <c r="A48" s="857"/>
      <c r="B48" s="854" t="s">
        <v>2796</v>
      </c>
      <c r="H48" s="1827"/>
      <c r="I48" s="1827"/>
      <c r="J48" s="1827"/>
      <c r="K48" s="1827"/>
      <c r="L48" s="1827"/>
      <c r="M48" s="1827"/>
      <c r="N48" s="1827"/>
      <c r="O48" s="1827"/>
      <c r="P48" s="1827"/>
      <c r="Q48" s="1827"/>
      <c r="R48" s="1827"/>
      <c r="S48" s="1827"/>
      <c r="T48" s="1827"/>
      <c r="U48" s="1827"/>
      <c r="V48" s="1828"/>
    </row>
    <row r="49" spans="1:22" ht="15" customHeight="1">
      <c r="A49" s="857"/>
      <c r="B49" s="854" t="s">
        <v>9</v>
      </c>
      <c r="H49" s="1827"/>
      <c r="I49" s="1827"/>
      <c r="J49" s="1827"/>
      <c r="K49" s="1827"/>
      <c r="L49" s="1827"/>
      <c r="M49" s="1827"/>
      <c r="N49" s="1827"/>
      <c r="O49" s="1827"/>
      <c r="P49" s="1827"/>
      <c r="Q49" s="1827"/>
      <c r="R49" s="1827"/>
      <c r="S49" s="1827"/>
      <c r="T49" s="1827"/>
      <c r="U49" s="1827"/>
      <c r="V49" s="1828"/>
    </row>
    <row r="50" spans="1:22" ht="15" customHeight="1">
      <c r="A50" s="857"/>
      <c r="B50" s="854" t="s">
        <v>3335</v>
      </c>
      <c r="H50" s="1827"/>
      <c r="I50" s="1827"/>
      <c r="J50" s="1827"/>
      <c r="K50" s="1827"/>
      <c r="L50" s="1827"/>
      <c r="M50" s="1827"/>
      <c r="N50" s="1827"/>
      <c r="O50" s="1827"/>
      <c r="P50" s="1827"/>
      <c r="Q50" s="1827"/>
      <c r="R50" s="1827"/>
      <c r="S50" s="1827"/>
      <c r="T50" s="1827"/>
      <c r="U50" s="1827"/>
      <c r="V50" s="1828"/>
    </row>
    <row r="51" spans="1:22" ht="15" customHeight="1">
      <c r="A51" s="856"/>
      <c r="B51" s="855" t="s">
        <v>3451</v>
      </c>
      <c r="C51" s="855"/>
      <c r="D51" s="855"/>
      <c r="E51" s="855"/>
      <c r="F51" s="855"/>
      <c r="G51" s="855"/>
      <c r="H51" s="1829"/>
      <c r="I51" s="1829"/>
      <c r="J51" s="1829"/>
      <c r="K51" s="1829"/>
      <c r="L51" s="1829"/>
      <c r="M51" s="1829"/>
      <c r="N51" s="1829"/>
      <c r="O51" s="1829"/>
      <c r="P51" s="1829"/>
      <c r="Q51" s="1829"/>
      <c r="R51" s="1829"/>
      <c r="S51" s="1829"/>
      <c r="T51" s="1829"/>
      <c r="U51" s="1829"/>
      <c r="V51" s="1830"/>
    </row>
    <row r="52" spans="1:22" ht="15" customHeight="1">
      <c r="A52" s="860" t="s">
        <v>3456</v>
      </c>
      <c r="B52" s="859"/>
      <c r="C52" s="859"/>
      <c r="D52" s="859"/>
      <c r="E52" s="859"/>
      <c r="F52" s="859"/>
      <c r="G52" s="859"/>
      <c r="H52" s="859"/>
      <c r="I52" s="859"/>
      <c r="J52" s="859"/>
      <c r="K52" s="859"/>
      <c r="L52" s="859"/>
      <c r="M52" s="859"/>
      <c r="N52" s="859"/>
      <c r="O52" s="859"/>
      <c r="P52" s="859"/>
      <c r="Q52" s="859"/>
      <c r="R52" s="859"/>
      <c r="S52" s="859"/>
      <c r="T52" s="859"/>
      <c r="U52" s="859"/>
      <c r="V52" s="858"/>
    </row>
    <row r="53" spans="1:22" ht="15" customHeight="1">
      <c r="A53" s="857"/>
      <c r="B53" s="854" t="s">
        <v>35</v>
      </c>
      <c r="H53" s="1827"/>
      <c r="I53" s="1827"/>
      <c r="J53" s="1827"/>
      <c r="K53" s="1827"/>
      <c r="L53" s="1827"/>
      <c r="M53" s="1827"/>
      <c r="N53" s="1827"/>
      <c r="O53" s="1827"/>
      <c r="P53" s="1827"/>
      <c r="Q53" s="1827"/>
      <c r="R53" s="1827"/>
      <c r="S53" s="1827"/>
      <c r="T53" s="1827"/>
      <c r="U53" s="1827"/>
      <c r="V53" s="1828"/>
    </row>
    <row r="54" spans="1:22" ht="15" customHeight="1">
      <c r="A54" s="857"/>
      <c r="B54" s="854" t="s">
        <v>2796</v>
      </c>
      <c r="H54" s="1827"/>
      <c r="I54" s="1827"/>
      <c r="J54" s="1827"/>
      <c r="K54" s="1827"/>
      <c r="L54" s="1827"/>
      <c r="M54" s="1827"/>
      <c r="N54" s="1827"/>
      <c r="O54" s="1827"/>
      <c r="P54" s="1827"/>
      <c r="Q54" s="1827"/>
      <c r="R54" s="1827"/>
      <c r="S54" s="1827"/>
      <c r="T54" s="1827"/>
      <c r="U54" s="1827"/>
      <c r="V54" s="1828"/>
    </row>
    <row r="55" spans="1:22" ht="15" customHeight="1">
      <c r="A55" s="857"/>
      <c r="B55" s="854" t="s">
        <v>9</v>
      </c>
      <c r="H55" s="1827"/>
      <c r="I55" s="1827"/>
      <c r="J55" s="1827"/>
      <c r="K55" s="1827"/>
      <c r="L55" s="1827"/>
      <c r="M55" s="1827"/>
      <c r="N55" s="1827"/>
      <c r="O55" s="1827"/>
      <c r="P55" s="1827"/>
      <c r="Q55" s="1827"/>
      <c r="R55" s="1827"/>
      <c r="S55" s="1827"/>
      <c r="T55" s="1827"/>
      <c r="U55" s="1827"/>
      <c r="V55" s="1828"/>
    </row>
    <row r="56" spans="1:22" ht="15" customHeight="1">
      <c r="A56" s="857"/>
      <c r="B56" s="854" t="s">
        <v>3335</v>
      </c>
      <c r="H56" s="1827"/>
      <c r="I56" s="1827"/>
      <c r="J56" s="1827"/>
      <c r="K56" s="1827"/>
      <c r="L56" s="1827"/>
      <c r="M56" s="1827"/>
      <c r="N56" s="1827"/>
      <c r="O56" s="1827"/>
      <c r="P56" s="1827"/>
      <c r="Q56" s="1827"/>
      <c r="R56" s="1827"/>
      <c r="S56" s="1827"/>
      <c r="T56" s="1827"/>
      <c r="U56" s="1827"/>
      <c r="V56" s="1828"/>
    </row>
    <row r="57" spans="1:22" ht="15" customHeight="1">
      <c r="A57" s="856"/>
      <c r="B57" s="855" t="s">
        <v>3451</v>
      </c>
      <c r="C57" s="855"/>
      <c r="D57" s="855"/>
      <c r="E57" s="855"/>
      <c r="F57" s="855"/>
      <c r="G57" s="855"/>
      <c r="H57" s="1829"/>
      <c r="I57" s="1829"/>
      <c r="J57" s="1829"/>
      <c r="K57" s="1829"/>
      <c r="L57" s="1829"/>
      <c r="M57" s="1829"/>
      <c r="N57" s="1829"/>
      <c r="O57" s="1829"/>
      <c r="P57" s="1829"/>
      <c r="Q57" s="1829"/>
      <c r="R57" s="1829"/>
      <c r="S57" s="1829"/>
      <c r="T57" s="1829"/>
      <c r="U57" s="1829"/>
      <c r="V57" s="1830"/>
    </row>
    <row r="58" spans="1:22" ht="15" customHeight="1"/>
  </sheetData>
  <mergeCells count="45">
    <mergeCell ref="H56:V56"/>
    <mergeCell ref="H57:V57"/>
    <mergeCell ref="H54:V54"/>
    <mergeCell ref="H38:V38"/>
    <mergeCell ref="H24:V24"/>
    <mergeCell ref="H25:V25"/>
    <mergeCell ref="H26:V26"/>
    <mergeCell ref="H27:V27"/>
    <mergeCell ref="H30:V30"/>
    <mergeCell ref="H31:V31"/>
    <mergeCell ref="H53:V53"/>
    <mergeCell ref="H29:V29"/>
    <mergeCell ref="H55:V55"/>
    <mergeCell ref="H35:V35"/>
    <mergeCell ref="H41:V41"/>
    <mergeCell ref="H47:V47"/>
    <mergeCell ref="H36:V36"/>
    <mergeCell ref="H51:V51"/>
    <mergeCell ref="H42:V42"/>
    <mergeCell ref="H43:V43"/>
    <mergeCell ref="H32:V32"/>
    <mergeCell ref="H33:V33"/>
    <mergeCell ref="H45:V45"/>
    <mergeCell ref="H48:V48"/>
    <mergeCell ref="H49:V49"/>
    <mergeCell ref="H37:V37"/>
    <mergeCell ref="H50:V50"/>
    <mergeCell ref="H39:V39"/>
    <mergeCell ref="H44:V44"/>
    <mergeCell ref="H5:V5"/>
    <mergeCell ref="H11:V11"/>
    <mergeCell ref="H17:V17"/>
    <mergeCell ref="H23:V23"/>
    <mergeCell ref="H6:V6"/>
    <mergeCell ref="H7:V7"/>
    <mergeCell ref="H8:V8"/>
    <mergeCell ref="H9:V9"/>
    <mergeCell ref="H12:V12"/>
    <mergeCell ref="H13:V13"/>
    <mergeCell ref="H21:V21"/>
    <mergeCell ref="H14:V14"/>
    <mergeCell ref="H15:V15"/>
    <mergeCell ref="H18:V18"/>
    <mergeCell ref="H19:V19"/>
    <mergeCell ref="H20:V20"/>
  </mergeCells>
  <phoneticPr fontId="122"/>
  <pageMargins left="0.98425196850393704" right="0.78740157480314965" top="0.59055118110236227" bottom="0.39370078740157483" header="0.51181102362204722" footer="0.51181102362204722"/>
  <pageSetup paperSize="9" orientation="portrait" blackAndWhite="1"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C36"/>
  <sheetViews>
    <sheetView zoomScaleNormal="100" zoomScaleSheetLayoutView="85" workbookViewId="0">
      <selection activeCell="AN1" sqref="AN1"/>
    </sheetView>
  </sheetViews>
  <sheetFormatPr defaultColWidth="2.109375" defaultRowHeight="16.5" customHeight="1"/>
  <cols>
    <col min="1" max="1" width="2.109375" style="862" customWidth="1"/>
    <col min="2" max="16384" width="2.109375" style="862"/>
  </cols>
  <sheetData>
    <row r="1" spans="1:39" ht="16.5" customHeight="1">
      <c r="A1" s="871" t="s">
        <v>3069</v>
      </c>
      <c r="B1" s="871"/>
      <c r="C1" s="871"/>
      <c r="D1" s="871"/>
      <c r="E1" s="871"/>
      <c r="F1" s="871"/>
      <c r="G1" s="871"/>
      <c r="H1" s="871"/>
      <c r="I1" s="871"/>
      <c r="J1" s="871"/>
      <c r="K1" s="871"/>
      <c r="L1" s="871"/>
      <c r="M1" s="871"/>
      <c r="N1" s="871"/>
      <c r="O1" s="871"/>
      <c r="P1" s="871"/>
      <c r="Q1" s="871"/>
      <c r="R1" s="871"/>
      <c r="S1" s="871"/>
      <c r="T1" s="871"/>
      <c r="U1" s="871"/>
      <c r="V1" s="871"/>
      <c r="W1" s="871"/>
      <c r="X1" s="871"/>
      <c r="Y1" s="871"/>
      <c r="Z1" s="871"/>
      <c r="AA1" s="871"/>
      <c r="AB1" s="871"/>
      <c r="AC1" s="871"/>
      <c r="AD1" s="871"/>
      <c r="AE1" s="871"/>
      <c r="AF1" s="871"/>
      <c r="AG1" s="871"/>
      <c r="AH1" s="871"/>
      <c r="AI1" s="871"/>
      <c r="AJ1" s="871"/>
      <c r="AK1" s="871"/>
      <c r="AL1" s="871"/>
      <c r="AM1" s="871"/>
    </row>
    <row r="2" spans="1:39" ht="16.5" customHeight="1">
      <c r="A2" s="865"/>
      <c r="B2" s="865"/>
      <c r="C2" s="865"/>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row>
    <row r="3" spans="1:39" ht="20.25" customHeight="1">
      <c r="A3" s="867" t="s">
        <v>3499</v>
      </c>
      <c r="B3" s="867"/>
      <c r="C3" s="867"/>
      <c r="D3" s="867"/>
      <c r="E3" s="867"/>
      <c r="F3" s="867"/>
      <c r="G3" s="867"/>
      <c r="H3" s="867"/>
      <c r="I3" s="867"/>
      <c r="J3" s="867"/>
      <c r="K3" s="867"/>
      <c r="L3" s="867"/>
      <c r="M3" s="867"/>
      <c r="N3" s="867"/>
      <c r="O3" s="867"/>
      <c r="P3" s="867"/>
      <c r="Q3" s="867"/>
      <c r="R3" s="867"/>
      <c r="S3" s="867"/>
      <c r="T3" s="867"/>
      <c r="U3" s="867"/>
      <c r="V3" s="867"/>
      <c r="W3" s="867"/>
      <c r="X3" s="867"/>
      <c r="Y3" s="867"/>
      <c r="Z3" s="867"/>
      <c r="AA3" s="867"/>
      <c r="AB3" s="867"/>
      <c r="AC3" s="867"/>
      <c r="AD3" s="867"/>
      <c r="AE3" s="867"/>
      <c r="AF3" s="867"/>
      <c r="AG3" s="867"/>
      <c r="AH3" s="867"/>
      <c r="AI3" s="867"/>
      <c r="AJ3" s="867"/>
      <c r="AK3" s="867"/>
      <c r="AL3" s="867"/>
      <c r="AM3" s="867"/>
    </row>
    <row r="4" spans="1:39" ht="20.25" customHeight="1">
      <c r="A4" s="863"/>
      <c r="B4" s="863" t="s">
        <v>3498</v>
      </c>
      <c r="C4" s="863"/>
      <c r="D4" s="863"/>
      <c r="E4" s="863"/>
      <c r="F4" s="863"/>
      <c r="G4" s="863"/>
      <c r="H4" s="863"/>
      <c r="I4" s="863"/>
      <c r="J4" s="863"/>
      <c r="K4" s="1831" t="str">
        <f>cst_wskakunin_owner1__space_KANA</f>
        <v>ｶﾌﾞｼｷｶﾞｲｼｬﾕｰｲｯｸﾌﾄﾞｳｻﾝ　ﾀﾞｲﾋｮｳﾄﾘｼﾏﾘﾔｸｼｬﾁｮｳ　ﾉｻﾞｷ　ﾕﾀｶ</v>
      </c>
      <c r="L4" s="1831"/>
      <c r="M4" s="1831"/>
      <c r="N4" s="1831"/>
      <c r="O4" s="1831"/>
      <c r="P4" s="1831"/>
      <c r="Q4" s="1831"/>
      <c r="R4" s="1831"/>
      <c r="S4" s="1831"/>
      <c r="T4" s="1831"/>
      <c r="U4" s="1831"/>
      <c r="V4" s="1831"/>
      <c r="W4" s="1831"/>
      <c r="X4" s="1831"/>
      <c r="Y4" s="1831"/>
      <c r="Z4" s="1831"/>
      <c r="AA4" s="1831"/>
      <c r="AB4" s="1831"/>
      <c r="AC4" s="1831"/>
      <c r="AD4" s="1831"/>
      <c r="AE4" s="1831"/>
      <c r="AF4" s="1831"/>
      <c r="AG4" s="1831"/>
      <c r="AH4" s="1831"/>
      <c r="AI4" s="1831"/>
      <c r="AJ4" s="1831"/>
      <c r="AK4" s="1831"/>
      <c r="AL4" s="1831"/>
      <c r="AM4" s="1831"/>
    </row>
    <row r="5" spans="1:39" ht="20.25" customHeight="1">
      <c r="A5" s="863"/>
      <c r="B5" s="863" t="s">
        <v>3492</v>
      </c>
      <c r="C5" s="863"/>
      <c r="D5" s="863"/>
      <c r="E5" s="863"/>
      <c r="F5" s="863"/>
      <c r="G5" s="863"/>
      <c r="H5" s="863"/>
      <c r="I5" s="863"/>
      <c r="J5" s="863"/>
      <c r="K5" s="1831" t="str">
        <f>cst_wskakunin_owner1__space</f>
        <v>株式会社ユーイック不動産　代表取締役社長　野崎　豊</v>
      </c>
      <c r="L5" s="1831"/>
      <c r="M5" s="1831"/>
      <c r="N5" s="1831"/>
      <c r="O5" s="1831"/>
      <c r="P5" s="1831"/>
      <c r="Q5" s="1831"/>
      <c r="R5" s="1831"/>
      <c r="S5" s="1831"/>
      <c r="T5" s="1831"/>
      <c r="U5" s="1831"/>
      <c r="V5" s="1831"/>
      <c r="W5" s="1831"/>
      <c r="X5" s="1831"/>
      <c r="Y5" s="1831"/>
      <c r="Z5" s="1831"/>
      <c r="AA5" s="1831"/>
      <c r="AB5" s="1831"/>
      <c r="AC5" s="1831"/>
      <c r="AD5" s="1831"/>
      <c r="AE5" s="1831"/>
      <c r="AF5" s="1831"/>
      <c r="AG5" s="1831"/>
      <c r="AH5" s="1831"/>
      <c r="AI5" s="1831"/>
      <c r="AJ5" s="1831"/>
      <c r="AK5" s="1831"/>
      <c r="AL5" s="1831"/>
      <c r="AM5" s="1831"/>
    </row>
    <row r="6" spans="1:39" ht="20.25" customHeight="1">
      <c r="A6" s="863"/>
      <c r="B6" s="863" t="s">
        <v>553</v>
      </c>
      <c r="C6" s="863"/>
      <c r="D6" s="863"/>
      <c r="E6" s="863"/>
      <c r="F6" s="863"/>
      <c r="G6" s="863"/>
      <c r="H6" s="863"/>
      <c r="I6" s="863"/>
      <c r="J6" s="863"/>
      <c r="K6" s="1831" t="str">
        <f>cst_wskakunin_owner1_ZIP</f>
        <v>105-0001</v>
      </c>
      <c r="L6" s="1831"/>
      <c r="M6" s="1831"/>
      <c r="N6" s="1831"/>
      <c r="O6" s="1831"/>
      <c r="P6" s="1831"/>
    </row>
    <row r="7" spans="1:39" ht="20.25" customHeight="1">
      <c r="A7" s="863"/>
      <c r="B7" s="863" t="s">
        <v>3497</v>
      </c>
      <c r="C7" s="863"/>
      <c r="D7" s="863"/>
      <c r="E7" s="863"/>
      <c r="F7" s="863"/>
      <c r="G7" s="863"/>
      <c r="H7" s="863"/>
      <c r="I7" s="863"/>
      <c r="J7" s="863"/>
      <c r="K7" s="1831" t="str">
        <f>cst_wskakunin_owner1__address</f>
        <v>東京都港区虎ノ門1-1-21</v>
      </c>
      <c r="L7" s="1831"/>
      <c r="M7" s="1831"/>
      <c r="N7" s="1831"/>
      <c r="O7" s="1831"/>
      <c r="P7" s="1831"/>
      <c r="Q7" s="1831"/>
      <c r="R7" s="1831"/>
      <c r="S7" s="1831"/>
      <c r="T7" s="1831"/>
      <c r="U7" s="1831"/>
      <c r="V7" s="1831"/>
      <c r="W7" s="1831"/>
      <c r="X7" s="1831"/>
      <c r="Y7" s="1831"/>
      <c r="Z7" s="1831"/>
      <c r="AA7" s="1831"/>
      <c r="AB7" s="1831"/>
      <c r="AC7" s="1831"/>
      <c r="AD7" s="1831"/>
      <c r="AE7" s="1831"/>
      <c r="AF7" s="1831"/>
      <c r="AG7" s="1831"/>
      <c r="AH7" s="1831"/>
      <c r="AI7" s="1831"/>
      <c r="AJ7" s="1831"/>
      <c r="AK7" s="1831"/>
      <c r="AL7" s="1831"/>
      <c r="AM7" s="1831"/>
    </row>
    <row r="8" spans="1:39" ht="20.25" customHeight="1">
      <c r="A8" s="863"/>
      <c r="B8" s="864" t="s">
        <v>555</v>
      </c>
      <c r="C8" s="864"/>
      <c r="D8" s="864"/>
      <c r="E8" s="864"/>
      <c r="F8" s="864"/>
      <c r="G8" s="864"/>
      <c r="H8" s="864"/>
      <c r="I8" s="864"/>
      <c r="J8" s="864"/>
      <c r="K8" s="1833" t="str">
        <f>cst_wskakunin_owner1_TEL</f>
        <v>03-3504-2386</v>
      </c>
      <c r="L8" s="1833"/>
      <c r="M8" s="1833"/>
      <c r="N8" s="1833"/>
      <c r="O8" s="1833"/>
      <c r="P8" s="1833"/>
      <c r="Q8" s="1833"/>
      <c r="R8" s="1833"/>
      <c r="S8" s="1833"/>
      <c r="T8" s="1833"/>
      <c r="U8" s="1833"/>
      <c r="V8" s="865"/>
      <c r="W8" s="865"/>
      <c r="X8" s="865"/>
      <c r="Y8" s="865"/>
      <c r="Z8" s="865"/>
      <c r="AA8" s="865"/>
      <c r="AB8" s="865"/>
      <c r="AC8" s="865"/>
      <c r="AD8" s="865"/>
      <c r="AE8" s="865"/>
      <c r="AF8" s="865"/>
      <c r="AG8" s="865"/>
      <c r="AH8" s="865"/>
      <c r="AI8" s="865"/>
      <c r="AJ8" s="865"/>
      <c r="AK8" s="865"/>
      <c r="AL8" s="865"/>
      <c r="AM8" s="865"/>
    </row>
    <row r="9" spans="1:39" s="863" customFormat="1" ht="20.25" customHeight="1">
      <c r="A9" s="866" t="s">
        <v>3496</v>
      </c>
      <c r="B9" s="866"/>
      <c r="C9" s="866"/>
      <c r="D9" s="866"/>
      <c r="E9" s="866"/>
      <c r="F9" s="866"/>
      <c r="G9" s="866"/>
      <c r="H9" s="866"/>
      <c r="I9" s="866"/>
      <c r="J9" s="866"/>
      <c r="K9" s="866"/>
      <c r="L9" s="866"/>
      <c r="M9" s="866"/>
      <c r="N9" s="866"/>
      <c r="O9" s="866"/>
      <c r="P9" s="866"/>
      <c r="Q9" s="866"/>
      <c r="R9" s="866"/>
      <c r="S9" s="866"/>
      <c r="T9" s="866"/>
      <c r="U9" s="866"/>
      <c r="V9" s="866"/>
      <c r="W9" s="866"/>
      <c r="X9" s="866"/>
      <c r="Y9" s="866"/>
      <c r="Z9" s="866"/>
      <c r="AA9" s="866"/>
      <c r="AB9" s="866"/>
      <c r="AC9" s="866"/>
      <c r="AD9" s="866"/>
      <c r="AE9" s="866"/>
      <c r="AF9" s="866"/>
      <c r="AG9" s="866"/>
      <c r="AH9" s="866"/>
      <c r="AI9" s="866"/>
      <c r="AJ9" s="866"/>
      <c r="AK9" s="866"/>
      <c r="AL9" s="866"/>
      <c r="AM9" s="866"/>
    </row>
    <row r="10" spans="1:39" s="863" customFormat="1" ht="20.25" customHeight="1">
      <c r="B10" s="863" t="s">
        <v>3495</v>
      </c>
      <c r="K10" s="869" t="s">
        <v>2</v>
      </c>
      <c r="L10" s="1832" t="str">
        <f>cst_wskakunin_dairi1_SIKAKU</f>
        <v>一級</v>
      </c>
      <c r="M10" s="1832"/>
      <c r="N10" s="1832"/>
      <c r="O10" s="869" t="s">
        <v>3</v>
      </c>
      <c r="P10" s="863" t="s">
        <v>3494</v>
      </c>
      <c r="X10" s="869" t="s">
        <v>2</v>
      </c>
      <c r="Y10" s="1832" t="str">
        <f>cst_wskakunin_dairi1_TOUROKU_KIKAN</f>
        <v>国土交通大臣</v>
      </c>
      <c r="Z10" s="1832"/>
      <c r="AA10" s="1832"/>
      <c r="AB10" s="1832"/>
      <c r="AC10" s="1832"/>
      <c r="AD10" s="869" t="s">
        <v>3</v>
      </c>
      <c r="AE10" s="1834" t="s">
        <v>3493</v>
      </c>
      <c r="AF10" s="1834"/>
      <c r="AG10" s="1834"/>
      <c r="AH10" s="1834"/>
      <c r="AI10" s="1832" t="str">
        <f>cst_wskakunin_dairi1_KENTIKUSI_NO</f>
        <v>111111</v>
      </c>
      <c r="AJ10" s="1832"/>
      <c r="AK10" s="1832"/>
      <c r="AL10" s="1832"/>
      <c r="AM10" s="868" t="s">
        <v>381</v>
      </c>
    </row>
    <row r="11" spans="1:39" s="863" customFormat="1" ht="20.25" customHeight="1">
      <c r="B11" s="863" t="s">
        <v>3492</v>
      </c>
      <c r="K11" s="1831" t="str">
        <f>cst_wskakunin_dairi1_NAME</f>
        <v>藤田　ゆき子</v>
      </c>
      <c r="L11" s="1831"/>
      <c r="M11" s="1831"/>
      <c r="N11" s="1831"/>
      <c r="O11" s="1831"/>
      <c r="P11" s="1831"/>
      <c r="Q11" s="1831"/>
      <c r="R11" s="1831"/>
      <c r="S11" s="1831"/>
      <c r="T11" s="1831"/>
      <c r="U11" s="1831"/>
      <c r="V11" s="1831"/>
      <c r="W11" s="1831"/>
      <c r="X11" s="1831"/>
      <c r="Y11" s="1831"/>
      <c r="Z11" s="1831"/>
      <c r="AA11" s="1831"/>
      <c r="AB11" s="1831"/>
      <c r="AC11" s="1831"/>
      <c r="AD11" s="1831"/>
      <c r="AE11" s="1831"/>
      <c r="AF11" s="1831"/>
      <c r="AG11" s="1831"/>
      <c r="AH11" s="1831"/>
      <c r="AI11" s="1831"/>
      <c r="AJ11" s="1831"/>
      <c r="AK11" s="1831"/>
      <c r="AL11" s="1831"/>
      <c r="AM11" s="1831"/>
    </row>
    <row r="12" spans="1:39" s="863" customFormat="1" ht="20.25" customHeight="1">
      <c r="B12" s="863" t="s">
        <v>3491</v>
      </c>
      <c r="K12" s="869" t="s">
        <v>2</v>
      </c>
      <c r="L12" s="1832" t="str">
        <f>cst_wskakunin_dairi1_JIMU_SIKAKU</f>
        <v>一級</v>
      </c>
      <c r="M12" s="1832"/>
      <c r="N12" s="1832"/>
      <c r="O12" s="869" t="s">
        <v>3</v>
      </c>
      <c r="P12" s="863" t="s">
        <v>3490</v>
      </c>
      <c r="X12" s="869" t="s">
        <v>2</v>
      </c>
      <c r="Y12" s="1832" t="str">
        <f>cst_wskakunin_dairi1_JIMU_TOUROKU_KIKAN</f>
        <v>東京都</v>
      </c>
      <c r="Z12" s="1832"/>
      <c r="AA12" s="1832"/>
      <c r="AB12" s="1832"/>
      <c r="AC12" s="870" t="s">
        <v>3</v>
      </c>
      <c r="AD12" s="1836" t="s">
        <v>3489</v>
      </c>
      <c r="AE12" s="1836"/>
      <c r="AF12" s="1836"/>
      <c r="AG12" s="1836"/>
      <c r="AH12" s="1836"/>
      <c r="AI12" s="1832" t="str">
        <f>cst_wskakunin_dairi1_JIMU_NO</f>
        <v>11111</v>
      </c>
      <c r="AJ12" s="1832"/>
      <c r="AK12" s="1832"/>
      <c r="AL12" s="1832"/>
      <c r="AM12" s="868" t="s">
        <v>381</v>
      </c>
    </row>
    <row r="13" spans="1:39" s="863" customFormat="1" ht="20.25" customHeight="1">
      <c r="K13" s="1831" t="str">
        <f>cst_wskakunin_dairi1_JIMU_NAME</f>
        <v>一級建築士事務所　UHEC</v>
      </c>
      <c r="L13" s="1831"/>
      <c r="M13" s="1831"/>
      <c r="N13" s="1831"/>
      <c r="O13" s="1831"/>
      <c r="P13" s="1831"/>
      <c r="Q13" s="1831"/>
      <c r="R13" s="1831"/>
      <c r="S13" s="1831"/>
      <c r="T13" s="1831"/>
      <c r="U13" s="1831"/>
      <c r="V13" s="1831"/>
      <c r="W13" s="1831"/>
      <c r="X13" s="1831"/>
      <c r="Y13" s="1831"/>
      <c r="Z13" s="1831"/>
      <c r="AA13" s="1831"/>
      <c r="AB13" s="1831"/>
      <c r="AC13" s="1831"/>
      <c r="AD13" s="1831"/>
      <c r="AE13" s="1831"/>
      <c r="AF13" s="1831"/>
      <c r="AG13" s="1831"/>
      <c r="AH13" s="1831"/>
      <c r="AI13" s="1831"/>
      <c r="AJ13" s="1831"/>
      <c r="AK13" s="1831"/>
      <c r="AL13" s="1831"/>
      <c r="AM13" s="1831"/>
    </row>
    <row r="14" spans="1:39" s="863" customFormat="1" ht="20.25" customHeight="1">
      <c r="B14" s="863" t="s">
        <v>3488</v>
      </c>
      <c r="K14" s="1831" t="str">
        <f>cst_wskakunin_dairi1_ZIP</f>
        <v>105-0001</v>
      </c>
      <c r="L14" s="1831"/>
      <c r="M14" s="1831"/>
      <c r="N14" s="1831"/>
      <c r="O14" s="1831"/>
      <c r="P14" s="1831"/>
      <c r="Q14" s="862"/>
      <c r="R14" s="862"/>
      <c r="S14" s="862"/>
      <c r="T14" s="862"/>
      <c r="U14" s="862"/>
      <c r="V14" s="862"/>
      <c r="W14" s="862"/>
      <c r="X14" s="862"/>
      <c r="Y14" s="862"/>
      <c r="Z14" s="862"/>
      <c r="AA14" s="862"/>
      <c r="AB14" s="862"/>
      <c r="AC14" s="862"/>
      <c r="AD14" s="862"/>
      <c r="AE14" s="862"/>
      <c r="AF14" s="862"/>
      <c r="AG14" s="862"/>
      <c r="AH14" s="862"/>
      <c r="AI14" s="862"/>
      <c r="AJ14" s="862"/>
      <c r="AK14" s="862"/>
      <c r="AL14" s="862"/>
      <c r="AM14" s="862"/>
    </row>
    <row r="15" spans="1:39" s="863" customFormat="1" ht="20.25" customHeight="1">
      <c r="B15" s="863" t="s">
        <v>3487</v>
      </c>
      <c r="K15" s="1831" t="str">
        <f>cst_wskakunin_dairi1__address</f>
        <v>東京都港区虎ノ門1-1-21</v>
      </c>
      <c r="L15" s="1831"/>
      <c r="M15" s="1831"/>
      <c r="N15" s="1831"/>
      <c r="O15" s="1831"/>
      <c r="P15" s="1831"/>
      <c r="Q15" s="1831"/>
      <c r="R15" s="1831"/>
      <c r="S15" s="1831"/>
      <c r="T15" s="1831"/>
      <c r="U15" s="1831"/>
      <c r="V15" s="1831"/>
      <c r="W15" s="1831"/>
      <c r="X15" s="1831"/>
      <c r="Y15" s="1831"/>
      <c r="Z15" s="1831"/>
      <c r="AA15" s="1831"/>
      <c r="AB15" s="1831"/>
      <c r="AC15" s="1831"/>
      <c r="AD15" s="1831"/>
      <c r="AE15" s="1831"/>
      <c r="AF15" s="1831"/>
      <c r="AG15" s="1831"/>
      <c r="AH15" s="1831"/>
      <c r="AI15" s="1831"/>
      <c r="AJ15" s="1831"/>
      <c r="AK15" s="1831"/>
      <c r="AL15" s="1831"/>
      <c r="AM15" s="1831"/>
    </row>
    <row r="16" spans="1:39" s="863" customFormat="1" ht="20.25" customHeight="1">
      <c r="A16" s="864"/>
      <c r="B16" s="864" t="s">
        <v>3486</v>
      </c>
      <c r="C16" s="864"/>
      <c r="D16" s="864"/>
      <c r="E16" s="864"/>
      <c r="F16" s="864"/>
      <c r="G16" s="864"/>
      <c r="H16" s="864"/>
      <c r="I16" s="864"/>
      <c r="J16" s="864"/>
      <c r="K16" s="1833" t="str">
        <f>cst_wskakunin_dairi1_TEL</f>
        <v>03-3504-2386</v>
      </c>
      <c r="L16" s="1833"/>
      <c r="M16" s="1833"/>
      <c r="N16" s="1833"/>
      <c r="O16" s="1833"/>
      <c r="P16" s="1833"/>
      <c r="Q16" s="1833"/>
      <c r="R16" s="1833"/>
      <c r="S16" s="1833"/>
      <c r="T16" s="1833"/>
      <c r="U16" s="1833"/>
      <c r="V16" s="865"/>
      <c r="W16" s="865"/>
      <c r="X16" s="865"/>
      <c r="Y16" s="865"/>
      <c r="Z16" s="865"/>
      <c r="AA16" s="865"/>
      <c r="AB16" s="865"/>
      <c r="AC16" s="865"/>
      <c r="AD16" s="865"/>
      <c r="AE16" s="865"/>
      <c r="AF16" s="865"/>
      <c r="AG16" s="865"/>
      <c r="AH16" s="865"/>
      <c r="AI16" s="865"/>
      <c r="AJ16" s="865"/>
      <c r="AK16" s="865"/>
      <c r="AL16" s="865"/>
      <c r="AM16" s="865"/>
    </row>
    <row r="17" spans="1:55" ht="20.25" customHeight="1">
      <c r="A17" s="867" t="s">
        <v>3485</v>
      </c>
      <c r="B17" s="867"/>
      <c r="C17" s="867"/>
      <c r="D17" s="867"/>
      <c r="E17" s="867"/>
      <c r="F17" s="867"/>
      <c r="G17" s="867"/>
      <c r="H17" s="867"/>
      <c r="I17" s="867"/>
      <c r="J17" s="867"/>
      <c r="K17" s="867"/>
      <c r="L17" s="867"/>
      <c r="M17" s="867"/>
      <c r="N17" s="867"/>
      <c r="O17" s="867"/>
      <c r="P17" s="867"/>
      <c r="Q17" s="867"/>
      <c r="R17" s="867"/>
      <c r="S17" s="867"/>
      <c r="T17" s="867"/>
      <c r="U17" s="867"/>
      <c r="V17" s="867"/>
      <c r="W17" s="867"/>
      <c r="X17" s="867"/>
      <c r="Y17" s="867"/>
      <c r="Z17" s="867"/>
      <c r="AA17" s="867"/>
      <c r="AB17" s="867"/>
      <c r="AC17" s="867"/>
      <c r="AD17" s="867"/>
      <c r="AE17" s="867"/>
      <c r="AF17" s="867"/>
      <c r="AG17" s="867"/>
      <c r="AH17" s="867"/>
      <c r="AI17" s="867"/>
      <c r="AJ17" s="867"/>
      <c r="AK17" s="867"/>
      <c r="AL17" s="867"/>
      <c r="AM17" s="867"/>
    </row>
    <row r="18" spans="1:55" ht="20.25" customHeight="1">
      <c r="B18" s="862" t="s">
        <v>3484</v>
      </c>
      <c r="L18" s="1835" t="str">
        <f ca="1">cst_ISSUE_NO_select</f>
        <v>第UHEC建確R070030号</v>
      </c>
      <c r="M18" s="1835"/>
      <c r="N18" s="1835"/>
      <c r="O18" s="1835"/>
      <c r="P18" s="1835"/>
      <c r="Q18" s="1835"/>
      <c r="R18" s="1835"/>
      <c r="S18" s="1835"/>
      <c r="T18" s="1835"/>
      <c r="U18" s="1835"/>
      <c r="V18" s="1835"/>
      <c r="W18" s="1010"/>
      <c r="X18" s="1010"/>
    </row>
    <row r="19" spans="1:55" ht="20.25" customHeight="1">
      <c r="B19" s="862" t="s">
        <v>3483</v>
      </c>
      <c r="L19" s="1840" t="s">
        <v>2675</v>
      </c>
      <c r="M19" s="1840"/>
      <c r="N19" s="1835">
        <f ca="1">cst_ISSUE_DATE_select</f>
        <v>45922</v>
      </c>
      <c r="O19" s="1835"/>
      <c r="P19" s="862" t="s">
        <v>380</v>
      </c>
      <c r="Q19" s="1835">
        <f ca="1">cst_ISSUE_DATE_select</f>
        <v>45922</v>
      </c>
      <c r="R19" s="1835"/>
      <c r="S19" s="862" t="s">
        <v>0</v>
      </c>
      <c r="T19" s="1835">
        <f ca="1">cst_ISSUE_DATE_select</f>
        <v>45922</v>
      </c>
      <c r="U19" s="1835"/>
      <c r="V19" s="862" t="s">
        <v>3057</v>
      </c>
    </row>
    <row r="20" spans="1:55" ht="20.25" customHeight="1">
      <c r="A20" s="865"/>
      <c r="B20" s="865" t="s">
        <v>3482</v>
      </c>
      <c r="C20" s="865"/>
      <c r="D20" s="865"/>
      <c r="E20" s="865"/>
      <c r="F20" s="865"/>
      <c r="G20" s="865"/>
      <c r="H20" s="865"/>
      <c r="I20" s="865"/>
      <c r="J20" s="865"/>
      <c r="K20" s="865"/>
      <c r="L20" s="1838" t="str">
        <f>cst_wskakunin_LAST_ISSUE_NAME</f>
        <v>株式会社　都市居住評価センター 代表取締役社長　野崎　豊</v>
      </c>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row>
    <row r="21" spans="1:55" ht="20.25" customHeight="1">
      <c r="A21" s="867" t="s">
        <v>3481</v>
      </c>
      <c r="B21" s="867"/>
      <c r="C21" s="867"/>
      <c r="D21" s="867"/>
      <c r="E21" s="867"/>
      <c r="F21" s="867"/>
      <c r="G21" s="867"/>
      <c r="H21" s="867"/>
      <c r="I21" s="867"/>
      <c r="J21" s="867"/>
      <c r="K21" s="867"/>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row>
    <row r="22" spans="1:55" ht="20.25" customHeight="1">
      <c r="B22" s="862" t="s">
        <v>3480</v>
      </c>
      <c r="H22" s="1839" t="str">
        <f>cst_wskakunin_BUILD__address</f>
        <v>東京都港区虎ノ門１－１－１</v>
      </c>
      <c r="I22" s="1839"/>
      <c r="J22" s="1839"/>
      <c r="K22" s="1839"/>
      <c r="L22" s="1839"/>
      <c r="M22" s="1839"/>
      <c r="N22" s="1839"/>
      <c r="O22" s="1839"/>
      <c r="P22" s="1839"/>
      <c r="Q22" s="1839"/>
      <c r="R22" s="1839"/>
      <c r="S22" s="1839"/>
      <c r="T22" s="1839"/>
      <c r="U22" s="1839"/>
      <c r="V22" s="1839"/>
      <c r="W22" s="1839"/>
      <c r="X22" s="1839"/>
      <c r="Y22" s="1839"/>
      <c r="Z22" s="1839"/>
      <c r="AA22" s="1839"/>
      <c r="AB22" s="1839"/>
      <c r="AC22" s="1839"/>
      <c r="AD22" s="1839"/>
      <c r="AE22" s="1839"/>
      <c r="AF22" s="1839"/>
      <c r="AG22" s="1839"/>
      <c r="AH22" s="1839"/>
      <c r="AI22" s="1839"/>
      <c r="AJ22" s="1839"/>
      <c r="AK22" s="1839"/>
      <c r="AL22" s="1839"/>
      <c r="AM22" s="1839"/>
    </row>
    <row r="23" spans="1:55" ht="20.25" customHeight="1">
      <c r="A23" s="865"/>
      <c r="B23" s="865" t="s">
        <v>3479</v>
      </c>
      <c r="C23" s="865"/>
      <c r="D23" s="865"/>
      <c r="E23" s="865"/>
      <c r="F23" s="865"/>
      <c r="G23" s="865"/>
      <c r="H23" s="1841" t="str">
        <f>cst_wskakunin_BUILD_JYUKYO__address</f>
        <v/>
      </c>
      <c r="I23" s="1842"/>
      <c r="J23" s="1842"/>
      <c r="K23" s="1842"/>
      <c r="L23" s="1842"/>
      <c r="M23" s="1842"/>
      <c r="N23" s="1842"/>
      <c r="O23" s="1842"/>
      <c r="P23" s="1842"/>
      <c r="Q23" s="1842"/>
      <c r="R23" s="1842"/>
      <c r="S23" s="1842"/>
      <c r="T23" s="1842"/>
      <c r="U23" s="1842"/>
      <c r="V23" s="1842"/>
      <c r="W23" s="1842"/>
      <c r="X23" s="1842"/>
      <c r="Y23" s="1842"/>
      <c r="Z23" s="1842"/>
      <c r="AA23" s="1842"/>
      <c r="AB23" s="1842"/>
      <c r="AC23" s="1842"/>
      <c r="AD23" s="1842"/>
      <c r="AE23" s="1842"/>
      <c r="AF23" s="1842"/>
      <c r="AG23" s="1842"/>
      <c r="AH23" s="1842"/>
      <c r="AI23" s="1842"/>
      <c r="AJ23" s="1842"/>
      <c r="AK23" s="1842"/>
      <c r="AL23" s="1842"/>
      <c r="AM23" s="1842"/>
    </row>
    <row r="24" spans="1:55" ht="20.25" customHeight="1">
      <c r="A24" s="867" t="s">
        <v>3478</v>
      </c>
      <c r="B24" s="867"/>
      <c r="C24" s="867"/>
      <c r="D24" s="867"/>
      <c r="E24" s="867"/>
      <c r="F24" s="867"/>
      <c r="G24" s="867"/>
      <c r="H24" s="867"/>
      <c r="I24" s="867"/>
      <c r="J24" s="867"/>
      <c r="K24" s="867"/>
      <c r="L24" s="867"/>
      <c r="M24" s="867"/>
      <c r="N24" s="867"/>
      <c r="O24" s="867"/>
      <c r="P24" s="867"/>
      <c r="Q24" s="867"/>
      <c r="R24" s="867"/>
      <c r="S24" s="867"/>
      <c r="T24" s="867"/>
      <c r="U24" s="867"/>
      <c r="V24" s="867"/>
      <c r="W24" s="867"/>
      <c r="X24" s="867"/>
      <c r="Y24" s="867"/>
      <c r="Z24" s="867"/>
      <c r="AA24" s="867"/>
      <c r="AB24" s="867"/>
      <c r="AC24" s="867"/>
      <c r="AD24" s="867"/>
      <c r="AE24" s="867"/>
      <c r="AF24" s="867"/>
      <c r="AG24" s="867"/>
      <c r="AH24" s="867"/>
      <c r="AI24" s="867"/>
      <c r="AJ24" s="867"/>
      <c r="AK24" s="867"/>
      <c r="AL24" s="867"/>
      <c r="AM24" s="867"/>
    </row>
    <row r="25" spans="1:55" ht="20.25" customHeight="1">
      <c r="B25" s="862" t="s">
        <v>3477</v>
      </c>
      <c r="J25" s="1839" t="str">
        <f>cst_wskakunin_BUILD__address</f>
        <v>東京都港区虎ノ門１－１－１</v>
      </c>
      <c r="K25" s="1839"/>
      <c r="L25" s="1839"/>
      <c r="M25" s="1839"/>
      <c r="N25" s="1839"/>
      <c r="O25" s="1839"/>
      <c r="P25" s="1839"/>
      <c r="Q25" s="1839"/>
      <c r="R25" s="1839"/>
      <c r="S25" s="1839"/>
      <c r="T25" s="1839"/>
      <c r="U25" s="1839"/>
      <c r="V25" s="1839"/>
      <c r="W25" s="1839"/>
      <c r="X25" s="1839"/>
      <c r="Y25" s="1839"/>
      <c r="Z25" s="1839"/>
      <c r="AA25" s="1839"/>
      <c r="AB25" s="1839"/>
      <c r="AC25" s="1839"/>
      <c r="AD25" s="1839"/>
      <c r="AE25" s="1839"/>
      <c r="AF25" s="1839"/>
      <c r="AG25" s="1839"/>
      <c r="AH25" s="1839"/>
      <c r="AI25" s="1839"/>
      <c r="AJ25" s="1839"/>
      <c r="AK25" s="1839"/>
      <c r="AL25" s="1839"/>
      <c r="AM25" s="1839"/>
      <c r="BC25" s="1011"/>
    </row>
    <row r="26" spans="1:55" ht="20.25" customHeight="1">
      <c r="B26" s="862" t="s">
        <v>3476</v>
      </c>
      <c r="J26" s="1839" t="str">
        <f>cst_wskakunin_BUILD_NAME_KANA</f>
        <v>ｵｷｬｸｻﾏﾖｳ　ﾃﾞﾓｼﾝﾁｸｺｳｼﾞ</v>
      </c>
      <c r="K26" s="1839"/>
      <c r="L26" s="1839"/>
      <c r="M26" s="1839"/>
      <c r="N26" s="1839"/>
      <c r="O26" s="1839"/>
      <c r="P26" s="1839"/>
      <c r="Q26" s="1839"/>
      <c r="R26" s="1839"/>
      <c r="S26" s="1839"/>
      <c r="T26" s="1839"/>
      <c r="U26" s="1839"/>
      <c r="V26" s="1839"/>
      <c r="W26" s="1839"/>
      <c r="X26" s="1839"/>
      <c r="Y26" s="1839"/>
      <c r="Z26" s="1839"/>
      <c r="AA26" s="1839"/>
      <c r="AB26" s="1839"/>
      <c r="AC26" s="1839"/>
      <c r="AD26" s="1839"/>
      <c r="AE26" s="1839"/>
      <c r="AF26" s="1839"/>
      <c r="AG26" s="1839"/>
      <c r="AH26" s="1839"/>
      <c r="AI26" s="1839"/>
      <c r="AJ26" s="1839"/>
      <c r="AK26" s="1839"/>
      <c r="AL26" s="1839"/>
      <c r="AM26" s="1839"/>
    </row>
    <row r="27" spans="1:55" ht="20.25" customHeight="1">
      <c r="A27" s="865"/>
      <c r="B27" s="862" t="s">
        <v>3475</v>
      </c>
      <c r="C27" s="865"/>
      <c r="J27" s="1841" t="str">
        <f>cst_wskakunin_BUILD_NAME</f>
        <v>テスト新築工事</v>
      </c>
      <c r="K27" s="1841"/>
      <c r="L27" s="1841"/>
      <c r="M27" s="1841"/>
      <c r="N27" s="1841"/>
      <c r="O27" s="1841"/>
      <c r="P27" s="1841"/>
      <c r="Q27" s="1841"/>
      <c r="R27" s="1841"/>
      <c r="S27" s="1841"/>
      <c r="T27" s="1841"/>
      <c r="U27" s="1841"/>
      <c r="V27" s="1841"/>
      <c r="W27" s="1841"/>
      <c r="X27" s="1841"/>
      <c r="Y27" s="1841"/>
      <c r="Z27" s="1841"/>
      <c r="AA27" s="1841"/>
      <c r="AB27" s="1841"/>
      <c r="AC27" s="1841"/>
      <c r="AD27" s="1841"/>
      <c r="AE27" s="1841"/>
      <c r="AF27" s="1841"/>
      <c r="AG27" s="1841"/>
      <c r="AH27" s="1841"/>
      <c r="AI27" s="1841"/>
      <c r="AJ27" s="1841"/>
      <c r="AK27" s="1841"/>
      <c r="AL27" s="1841"/>
      <c r="AM27" s="1841"/>
    </row>
    <row r="28" spans="1:55" ht="20.25" customHeight="1">
      <c r="A28" s="867" t="s">
        <v>3474</v>
      </c>
      <c r="B28" s="867"/>
      <c r="C28" s="867"/>
      <c r="D28" s="867"/>
      <c r="E28" s="867"/>
      <c r="F28" s="867"/>
      <c r="G28" s="867"/>
      <c r="H28" s="867"/>
      <c r="I28" s="867"/>
      <c r="J28" s="1837"/>
      <c r="K28" s="1837"/>
      <c r="L28" s="1837"/>
      <c r="M28" s="1837"/>
      <c r="N28" s="1837"/>
      <c r="O28" s="1837"/>
      <c r="P28" s="1837"/>
      <c r="Q28" s="1837"/>
      <c r="R28" s="1837"/>
      <c r="S28" s="1837"/>
      <c r="T28" s="1837"/>
      <c r="U28" s="1837"/>
      <c r="V28" s="1837"/>
      <c r="W28" s="1837"/>
      <c r="X28" s="1837"/>
      <c r="Y28" s="1837"/>
      <c r="Z28" s="1837"/>
      <c r="AA28" s="1837"/>
      <c r="AB28" s="1837"/>
      <c r="AC28" s="1837"/>
      <c r="AD28" s="1837"/>
      <c r="AE28" s="1837"/>
      <c r="AF28" s="1837"/>
      <c r="AG28" s="1837"/>
      <c r="AH28" s="1837"/>
      <c r="AI28" s="1837"/>
      <c r="AJ28" s="1837"/>
      <c r="AK28" s="1837"/>
      <c r="AL28" s="1837"/>
      <c r="AM28" s="1837"/>
    </row>
    <row r="29" spans="1:55" ht="20.25" customHeight="1">
      <c r="A29" s="867" t="s">
        <v>2652</v>
      </c>
      <c r="B29" s="867"/>
      <c r="C29" s="867"/>
      <c r="D29" s="867"/>
      <c r="E29" s="867"/>
      <c r="F29" s="867"/>
      <c r="G29" s="867"/>
      <c r="H29" s="867"/>
      <c r="I29" s="867"/>
      <c r="J29" s="867"/>
      <c r="K29" s="1850" t="s">
        <v>2675</v>
      </c>
      <c r="L29" s="1850"/>
      <c r="M29" s="1848" t="str">
        <f>cst_wskakunin_KOUJI_KANRYOU_YOTEI_DATE</f>
        <v/>
      </c>
      <c r="N29" s="1848"/>
      <c r="O29" s="867" t="s">
        <v>380</v>
      </c>
      <c r="P29" s="1847" t="str">
        <f>cst_wskakunin_KOUJI_KANRYOU_YOTEI_DATE</f>
        <v/>
      </c>
      <c r="Q29" s="1847"/>
      <c r="R29" s="867" t="s">
        <v>0</v>
      </c>
      <c r="S29" s="1846" t="str">
        <f>cst_wskakunin_KOUJI_KANRYOU_YOTEI_DATE</f>
        <v/>
      </c>
      <c r="T29" s="1846"/>
      <c r="U29" s="867" t="s">
        <v>3057</v>
      </c>
      <c r="V29" s="867"/>
      <c r="W29" s="867"/>
      <c r="X29" s="1012"/>
      <c r="Y29" s="1012"/>
      <c r="Z29" s="1012"/>
      <c r="AA29" s="1012"/>
      <c r="AB29" s="1012"/>
      <c r="AC29" s="1012"/>
      <c r="AD29" s="1012"/>
      <c r="AE29" s="1012"/>
      <c r="AF29" s="1012"/>
      <c r="AG29" s="1012"/>
      <c r="AH29" s="1012"/>
      <c r="AI29" s="1012"/>
      <c r="AJ29" s="1012"/>
      <c r="AK29" s="1012"/>
      <c r="AL29" s="1012"/>
      <c r="AM29" s="1012"/>
    </row>
    <row r="30" spans="1:55" ht="20.25" customHeight="1">
      <c r="A30" s="867" t="s">
        <v>3473</v>
      </c>
      <c r="B30" s="867"/>
      <c r="C30" s="867"/>
      <c r="D30" s="867"/>
      <c r="E30" s="867"/>
      <c r="F30" s="867"/>
      <c r="G30" s="867"/>
      <c r="H30" s="867"/>
      <c r="I30" s="867"/>
      <c r="J30" s="867"/>
      <c r="K30" s="1850" t="s">
        <v>2675</v>
      </c>
      <c r="L30" s="1850"/>
      <c r="M30" s="1849"/>
      <c r="N30" s="1849"/>
      <c r="O30" s="867" t="s">
        <v>380</v>
      </c>
      <c r="P30" s="1849"/>
      <c r="Q30" s="1849"/>
      <c r="R30" s="867" t="s">
        <v>0</v>
      </c>
      <c r="S30" s="1849"/>
      <c r="T30" s="1849"/>
      <c r="U30" s="867" t="s">
        <v>3057</v>
      </c>
      <c r="V30" s="867"/>
      <c r="W30" s="867" t="s">
        <v>3472</v>
      </c>
      <c r="X30" s="867"/>
      <c r="Y30" s="867"/>
      <c r="Z30" s="1850" t="s">
        <v>2675</v>
      </c>
      <c r="AA30" s="1850"/>
      <c r="AB30" s="1849"/>
      <c r="AC30" s="1849"/>
      <c r="AD30" s="867" t="s">
        <v>380</v>
      </c>
      <c r="AE30" s="1849"/>
      <c r="AF30" s="1849"/>
      <c r="AG30" s="867" t="s">
        <v>0</v>
      </c>
      <c r="AH30" s="1849"/>
      <c r="AI30" s="1849"/>
      <c r="AJ30" s="867" t="s">
        <v>3057</v>
      </c>
      <c r="AK30" s="867"/>
      <c r="AL30" s="867" t="s">
        <v>3471</v>
      </c>
      <c r="AM30" s="867"/>
    </row>
    <row r="31" spans="1:55" ht="20.25" customHeight="1">
      <c r="A31" s="867" t="s">
        <v>3470</v>
      </c>
      <c r="B31" s="867"/>
      <c r="C31" s="867"/>
      <c r="D31" s="867"/>
      <c r="E31" s="867"/>
      <c r="F31" s="867"/>
      <c r="G31" s="867"/>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row>
    <row r="32" spans="1:55" ht="20.25" customHeight="1">
      <c r="H32" s="1844"/>
      <c r="I32" s="1844"/>
      <c r="J32" s="1844"/>
      <c r="K32" s="1844"/>
      <c r="L32" s="1844"/>
      <c r="M32" s="1844"/>
      <c r="N32" s="1844"/>
      <c r="O32" s="1844"/>
      <c r="P32" s="1844"/>
      <c r="Q32" s="1844"/>
      <c r="R32" s="1844"/>
      <c r="S32" s="1844"/>
      <c r="T32" s="1844"/>
      <c r="U32" s="1844"/>
      <c r="V32" s="1844"/>
      <c r="W32" s="1844"/>
      <c r="X32" s="1844"/>
      <c r="Y32" s="1844"/>
      <c r="Z32" s="1844"/>
      <c r="AA32" s="1844"/>
      <c r="AB32" s="1844"/>
      <c r="AC32" s="1844"/>
      <c r="AD32" s="1844"/>
      <c r="AE32" s="1844"/>
      <c r="AF32" s="1844"/>
      <c r="AG32" s="1844"/>
      <c r="AH32" s="1844"/>
      <c r="AI32" s="1844"/>
      <c r="AJ32" s="1844"/>
      <c r="AK32" s="1844"/>
      <c r="AL32" s="1844"/>
      <c r="AM32" s="1844"/>
    </row>
    <row r="33" spans="1:39" ht="20.25" customHeight="1">
      <c r="H33" s="1845"/>
      <c r="I33" s="1845"/>
      <c r="J33" s="1845"/>
      <c r="K33" s="1845"/>
      <c r="L33" s="1845"/>
      <c r="M33" s="1845"/>
      <c r="N33" s="1845"/>
      <c r="O33" s="1845"/>
      <c r="P33" s="1845"/>
      <c r="Q33" s="1845"/>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row>
    <row r="34" spans="1:39" s="863" customFormat="1" ht="20.25" customHeight="1">
      <c r="A34" s="867" t="s">
        <v>3469</v>
      </c>
      <c r="B34" s="866"/>
      <c r="C34" s="866"/>
      <c r="D34" s="866"/>
      <c r="E34" s="866"/>
      <c r="F34" s="866"/>
      <c r="G34" s="866"/>
      <c r="H34" s="866"/>
      <c r="I34" s="866"/>
      <c r="J34" s="866"/>
      <c r="K34" s="866"/>
      <c r="L34" s="866"/>
      <c r="M34" s="866"/>
      <c r="N34" s="866"/>
      <c r="O34" s="866"/>
      <c r="P34" s="866"/>
      <c r="Q34" s="866"/>
      <c r="R34" s="866"/>
      <c r="S34" s="866"/>
      <c r="T34" s="866"/>
      <c r="U34" s="866"/>
      <c r="V34" s="866"/>
      <c r="W34" s="866"/>
      <c r="X34" s="866"/>
      <c r="Y34" s="866"/>
      <c r="Z34" s="866"/>
      <c r="AA34" s="866"/>
      <c r="AB34" s="866"/>
      <c r="AC34" s="866"/>
      <c r="AD34" s="866"/>
      <c r="AE34" s="866"/>
      <c r="AF34" s="866"/>
      <c r="AG34" s="866"/>
      <c r="AH34" s="866"/>
      <c r="AI34" s="866"/>
      <c r="AJ34" s="866"/>
      <c r="AK34" s="866"/>
      <c r="AL34" s="866"/>
      <c r="AM34" s="866"/>
    </row>
    <row r="35" spans="1:39" s="863" customFormat="1" ht="20.25" customHeight="1">
      <c r="A35" s="862"/>
    </row>
    <row r="36" spans="1:39" s="863" customFormat="1" ht="20.25" customHeight="1">
      <c r="A36" s="865"/>
      <c r="B36" s="864"/>
      <c r="C36" s="865"/>
      <c r="D36" s="864"/>
      <c r="E36" s="864"/>
      <c r="F36" s="864"/>
      <c r="G36" s="864"/>
      <c r="H36" s="864"/>
      <c r="I36" s="864"/>
      <c r="J36" s="864"/>
      <c r="K36" s="864"/>
      <c r="L36" s="864"/>
      <c r="M36" s="864"/>
      <c r="N36" s="864"/>
      <c r="O36" s="864"/>
      <c r="P36" s="864"/>
      <c r="Q36" s="864"/>
      <c r="R36" s="864"/>
      <c r="S36" s="864"/>
      <c r="T36" s="864"/>
      <c r="U36" s="864"/>
      <c r="V36" s="864"/>
      <c r="W36" s="864"/>
      <c r="X36" s="864"/>
      <c r="Y36" s="864"/>
      <c r="Z36" s="864"/>
      <c r="AA36" s="864"/>
      <c r="AB36" s="864"/>
      <c r="AC36" s="864"/>
      <c r="AD36" s="864"/>
      <c r="AE36" s="864"/>
      <c r="AF36" s="864"/>
      <c r="AG36" s="864"/>
      <c r="AH36" s="864"/>
      <c r="AI36" s="864"/>
      <c r="AJ36" s="864"/>
      <c r="AK36" s="864"/>
      <c r="AL36" s="864"/>
      <c r="AM36" s="864"/>
    </row>
  </sheetData>
  <mergeCells count="43">
    <mergeCell ref="H31:AM33"/>
    <mergeCell ref="S29:T29"/>
    <mergeCell ref="P29:Q29"/>
    <mergeCell ref="M29:N29"/>
    <mergeCell ref="AH30:AI30"/>
    <mergeCell ref="AE30:AF30"/>
    <mergeCell ref="AB30:AC30"/>
    <mergeCell ref="S30:T30"/>
    <mergeCell ref="P30:Q30"/>
    <mergeCell ref="M30:N30"/>
    <mergeCell ref="K29:L29"/>
    <mergeCell ref="K30:L30"/>
    <mergeCell ref="Z30:AA30"/>
    <mergeCell ref="J28:AM28"/>
    <mergeCell ref="L20:AM20"/>
    <mergeCell ref="H22:AM22"/>
    <mergeCell ref="L19:M19"/>
    <mergeCell ref="H23:AM23"/>
    <mergeCell ref="N19:O19"/>
    <mergeCell ref="Q19:R19"/>
    <mergeCell ref="T19:U19"/>
    <mergeCell ref="J27:AM27"/>
    <mergeCell ref="J26:AM26"/>
    <mergeCell ref="J25:AM25"/>
    <mergeCell ref="K16:U16"/>
    <mergeCell ref="K13:AM13"/>
    <mergeCell ref="K14:P14"/>
    <mergeCell ref="L18:V18"/>
    <mergeCell ref="K11:AM11"/>
    <mergeCell ref="K15:AM15"/>
    <mergeCell ref="AD12:AH12"/>
    <mergeCell ref="AI12:AL12"/>
    <mergeCell ref="L12:N12"/>
    <mergeCell ref="Y12:AB12"/>
    <mergeCell ref="K4:AM4"/>
    <mergeCell ref="K5:AM5"/>
    <mergeCell ref="K6:P6"/>
    <mergeCell ref="K7:AM7"/>
    <mergeCell ref="L10:N10"/>
    <mergeCell ref="AI10:AL10"/>
    <mergeCell ref="K8:U8"/>
    <mergeCell ref="Y10:AC10"/>
    <mergeCell ref="AE10:AH10"/>
  </mergeCells>
  <phoneticPr fontId="122"/>
  <dataValidations disablePrompts="1" count="4">
    <dataValidation type="list" allowBlank="1" showInputMessage="1" sqref="L19:M19" xr:uid="{00000000-0002-0000-1D00-000000000000}">
      <formula1>"令和,平成,　"</formula1>
    </dataValidation>
    <dataValidation type="list" allowBlank="1" showInputMessage="1" sqref="L20:AM20" xr:uid="{00000000-0002-0000-1D00-000001000000}">
      <formula1>"株式会社　都市居住評価センター　代表取締役副社長　野崎　豊,株式会社　都市居住評価センター　代表取締役社長　金谷　輝範,株式会社　都市居住評価センター　代表取締役社長　 唐　澤　　徹"</formula1>
    </dataValidation>
    <dataValidation allowBlank="1" showInputMessage="1" sqref="J26:AM26 K4:AM4" xr:uid="{00000000-0002-0000-1D00-000002000000}"/>
    <dataValidation type="list" allowBlank="1" showInputMessage="1" sqref="L10:N10 L12:N12" xr:uid="{00000000-0002-0000-1D00-000003000000}">
      <formula1>"一級,二級"</formula1>
    </dataValidation>
  </dataValidations>
  <pageMargins left="0.98425196850393704" right="0.78740157480314965" top="0.59055118110236227" bottom="0.39370078740157483" header="0.51181102362204722" footer="0.51181102362204722"/>
  <pageSetup paperSize="9" scale="95"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sheetPr>
  <dimension ref="B1:G128"/>
  <sheetViews>
    <sheetView topLeftCell="A112" workbookViewId="0">
      <selection activeCell="G129" sqref="G129"/>
    </sheetView>
  </sheetViews>
  <sheetFormatPr defaultColWidth="9" defaultRowHeight="18.75" customHeight="1"/>
  <cols>
    <col min="1" max="3" width="2.77734375" style="14" customWidth="1"/>
    <col min="4" max="4" width="4.109375" style="14" customWidth="1"/>
    <col min="5" max="5" width="23.44140625" style="201" customWidth="1"/>
    <col min="6" max="6" width="9" style="14" customWidth="1"/>
    <col min="7" max="7" width="50.6640625" style="14" customWidth="1"/>
    <col min="8" max="8" width="9" style="14" customWidth="1"/>
    <col min="9" max="16384" width="9" style="14"/>
  </cols>
  <sheetData>
    <row r="1" spans="2:7" ht="18.75" customHeight="1">
      <c r="E1" s="201" t="s">
        <v>2418</v>
      </c>
      <c r="G1" s="117" t="s">
        <v>2419</v>
      </c>
    </row>
    <row r="2" spans="2:7" ht="18.75" customHeight="1">
      <c r="E2" s="201">
        <v>43699</v>
      </c>
      <c r="F2" s="14" t="s">
        <v>2420</v>
      </c>
      <c r="G2" s="14" t="s">
        <v>2421</v>
      </c>
    </row>
    <row r="3" spans="2:7" ht="18.75" customHeight="1">
      <c r="G3" s="14" t="s">
        <v>2463</v>
      </c>
    </row>
    <row r="4" spans="2:7" ht="18.75" customHeight="1">
      <c r="E4" s="201">
        <v>43700</v>
      </c>
      <c r="F4" s="14" t="s">
        <v>2420</v>
      </c>
      <c r="G4" s="14" t="s">
        <v>2482</v>
      </c>
    </row>
    <row r="5" spans="2:7" ht="18.75" customHeight="1">
      <c r="E5" s="201">
        <v>43703</v>
      </c>
      <c r="F5" s="14" t="s">
        <v>2420</v>
      </c>
      <c r="G5" s="14" t="s">
        <v>2483</v>
      </c>
    </row>
    <row r="6" spans="2:7" ht="18.75" customHeight="1">
      <c r="E6" s="201">
        <v>43710</v>
      </c>
      <c r="F6" s="14" t="s">
        <v>2420</v>
      </c>
      <c r="G6" s="14" t="s">
        <v>2501</v>
      </c>
    </row>
    <row r="7" spans="2:7" ht="18.75" customHeight="1">
      <c r="E7" s="201">
        <v>43711</v>
      </c>
      <c r="F7" s="14" t="s">
        <v>2420</v>
      </c>
      <c r="G7" s="14" t="s">
        <v>2504</v>
      </c>
    </row>
    <row r="8" spans="2:7" ht="18.75" customHeight="1">
      <c r="E8" s="201">
        <v>43712</v>
      </c>
      <c r="F8" s="14" t="s">
        <v>2420</v>
      </c>
      <c r="G8" s="14" t="s">
        <v>2553</v>
      </c>
    </row>
    <row r="9" spans="2:7" ht="18.75" customHeight="1">
      <c r="E9" s="201">
        <v>43734</v>
      </c>
      <c r="F9" s="14" t="s">
        <v>2555</v>
      </c>
      <c r="G9" s="14" t="s">
        <v>2554</v>
      </c>
    </row>
    <row r="10" spans="2:7" ht="18.75" customHeight="1">
      <c r="E10" s="201">
        <v>43822</v>
      </c>
      <c r="F10" s="14" t="s">
        <v>2420</v>
      </c>
      <c r="G10" s="14" t="s">
        <v>2556</v>
      </c>
    </row>
    <row r="11" spans="2:7" ht="18.75" customHeight="1">
      <c r="B11" s="1310" t="s">
        <v>2691</v>
      </c>
      <c r="C11" s="1310"/>
      <c r="D11" s="1310"/>
      <c r="E11" s="1310"/>
      <c r="F11" s="1310"/>
      <c r="G11" s="1310"/>
    </row>
    <row r="12" spans="2:7" ht="18.75" customHeight="1">
      <c r="E12" s="201">
        <v>43887</v>
      </c>
      <c r="F12" s="14" t="s">
        <v>2420</v>
      </c>
      <c r="G12" s="14" t="s">
        <v>2687</v>
      </c>
    </row>
    <row r="13" spans="2:7" ht="18.75" customHeight="1">
      <c r="E13" s="201">
        <v>43934</v>
      </c>
      <c r="F13" s="14" t="s">
        <v>2420</v>
      </c>
      <c r="G13" s="14" t="s">
        <v>2688</v>
      </c>
    </row>
    <row r="14" spans="2:7" ht="18.75" customHeight="1">
      <c r="E14" s="201">
        <v>43936</v>
      </c>
      <c r="F14" s="14" t="s">
        <v>2420</v>
      </c>
      <c r="G14" s="14" t="s">
        <v>2689</v>
      </c>
    </row>
    <row r="15" spans="2:7" ht="18.75" customHeight="1">
      <c r="E15" s="201">
        <v>43942</v>
      </c>
      <c r="F15" s="14" t="s">
        <v>2555</v>
      </c>
      <c r="G15" s="14" t="s">
        <v>2690</v>
      </c>
    </row>
    <row r="16" spans="2:7" ht="18.75" customHeight="1">
      <c r="E16" s="201">
        <v>43949</v>
      </c>
      <c r="F16" s="14" t="s">
        <v>2420</v>
      </c>
      <c r="G16" s="14" t="s">
        <v>2692</v>
      </c>
    </row>
    <row r="17" spans="5:7" ht="18.75" customHeight="1">
      <c r="E17" s="201">
        <v>43951</v>
      </c>
      <c r="F17" s="14" t="s">
        <v>2420</v>
      </c>
      <c r="G17" s="14" t="s">
        <v>2694</v>
      </c>
    </row>
    <row r="18" spans="5:7" ht="18.75" customHeight="1">
      <c r="E18" s="201">
        <v>43963</v>
      </c>
      <c r="F18" s="14" t="s">
        <v>2420</v>
      </c>
      <c r="G18" s="14" t="s">
        <v>2696</v>
      </c>
    </row>
    <row r="19" spans="5:7" ht="18.75" customHeight="1">
      <c r="E19" s="201">
        <v>43965</v>
      </c>
      <c r="F19" s="14" t="s">
        <v>2420</v>
      </c>
      <c r="G19" s="14" t="s">
        <v>2697</v>
      </c>
    </row>
    <row r="20" spans="5:7" ht="18.75" customHeight="1">
      <c r="E20" s="201">
        <v>43969</v>
      </c>
      <c r="F20" s="14" t="s">
        <v>2420</v>
      </c>
      <c r="G20" s="14" t="s">
        <v>2698</v>
      </c>
    </row>
    <row r="21" spans="5:7" ht="18.75" customHeight="1">
      <c r="E21" s="201">
        <v>43971</v>
      </c>
      <c r="F21" s="14" t="s">
        <v>2699</v>
      </c>
      <c r="G21" s="14" t="s">
        <v>2700</v>
      </c>
    </row>
    <row r="22" spans="5:7" ht="18.75" customHeight="1">
      <c r="F22" s="14" t="s">
        <v>2701</v>
      </c>
      <c r="G22" s="14" t="s">
        <v>2702</v>
      </c>
    </row>
    <row r="23" spans="5:7" ht="18.75" customHeight="1">
      <c r="E23" s="201">
        <v>43972</v>
      </c>
      <c r="F23" s="14" t="s">
        <v>2699</v>
      </c>
      <c r="G23" s="14" t="s">
        <v>2703</v>
      </c>
    </row>
    <row r="24" spans="5:7" ht="18.75" customHeight="1">
      <c r="E24" s="201">
        <v>44011</v>
      </c>
      <c r="F24" s="14" t="s">
        <v>2701</v>
      </c>
      <c r="G24" s="14" t="s">
        <v>2721</v>
      </c>
    </row>
    <row r="25" spans="5:7" ht="18.75" customHeight="1">
      <c r="E25" s="201">
        <v>44012</v>
      </c>
      <c r="F25" s="14" t="s">
        <v>2701</v>
      </c>
      <c r="G25" s="14" t="s">
        <v>2722</v>
      </c>
    </row>
    <row r="26" spans="5:7" ht="18.75" customHeight="1">
      <c r="E26" s="201">
        <v>44015</v>
      </c>
      <c r="F26" s="14" t="s">
        <v>2701</v>
      </c>
      <c r="G26" s="14" t="s">
        <v>2723</v>
      </c>
    </row>
    <row r="27" spans="5:7" ht="18.75" customHeight="1">
      <c r="E27" s="201">
        <v>44018</v>
      </c>
      <c r="F27" s="14" t="s">
        <v>2701</v>
      </c>
      <c r="G27" s="14" t="s">
        <v>2742</v>
      </c>
    </row>
    <row r="28" spans="5:7" ht="18.75" customHeight="1">
      <c r="E28" s="201">
        <v>44025</v>
      </c>
      <c r="F28" s="14" t="s">
        <v>2701</v>
      </c>
      <c r="G28" s="14" t="s">
        <v>2743</v>
      </c>
    </row>
    <row r="29" spans="5:7" ht="18.75" customHeight="1">
      <c r="E29" s="201">
        <v>44026</v>
      </c>
      <c r="F29" s="14" t="s">
        <v>2744</v>
      </c>
      <c r="G29" s="14" t="s">
        <v>2745</v>
      </c>
    </row>
    <row r="30" spans="5:7" ht="18.75" customHeight="1">
      <c r="G30" s="14" t="s">
        <v>2746</v>
      </c>
    </row>
    <row r="31" spans="5:7" ht="18.75" customHeight="1">
      <c r="G31" s="14" t="s">
        <v>2747</v>
      </c>
    </row>
    <row r="32" spans="5:7" ht="18.75" customHeight="1">
      <c r="E32" s="201">
        <v>44064</v>
      </c>
      <c r="F32" s="14" t="s">
        <v>2701</v>
      </c>
      <c r="G32" s="14" t="s">
        <v>2748</v>
      </c>
    </row>
    <row r="33" spans="5:7" ht="18.75" customHeight="1">
      <c r="E33" s="201">
        <v>44103</v>
      </c>
      <c r="F33" s="14" t="s">
        <v>2701</v>
      </c>
      <c r="G33" s="14" t="s">
        <v>2749</v>
      </c>
    </row>
    <row r="34" spans="5:7" ht="18.75" customHeight="1">
      <c r="E34" s="201">
        <v>44104</v>
      </c>
      <c r="F34" s="14" t="s">
        <v>2744</v>
      </c>
      <c r="G34" s="14" t="s">
        <v>2752</v>
      </c>
    </row>
    <row r="35" spans="5:7" ht="18.75" customHeight="1">
      <c r="E35" s="201">
        <v>44105</v>
      </c>
      <c r="F35" s="14" t="s">
        <v>2701</v>
      </c>
      <c r="G35" s="14" t="s">
        <v>2756</v>
      </c>
    </row>
    <row r="36" spans="5:7" ht="18.75" customHeight="1">
      <c r="E36" s="201">
        <v>44134</v>
      </c>
      <c r="F36" s="14" t="s">
        <v>2699</v>
      </c>
      <c r="G36" s="14" t="s">
        <v>2757</v>
      </c>
    </row>
    <row r="37" spans="5:7" ht="18.75" customHeight="1">
      <c r="E37" s="201">
        <v>44175</v>
      </c>
      <c r="F37" s="14" t="s">
        <v>2758</v>
      </c>
      <c r="G37" s="14" t="s">
        <v>2759</v>
      </c>
    </row>
    <row r="38" spans="5:7" ht="18.75" customHeight="1">
      <c r="E38" s="201">
        <v>44182</v>
      </c>
      <c r="F38" s="14" t="s">
        <v>2758</v>
      </c>
      <c r="G38" s="14" t="s">
        <v>2760</v>
      </c>
    </row>
    <row r="39" spans="5:7" ht="18.75" customHeight="1">
      <c r="E39" s="201">
        <v>44183</v>
      </c>
      <c r="F39" s="14" t="s">
        <v>2555</v>
      </c>
      <c r="G39" s="14" t="s">
        <v>2761</v>
      </c>
    </row>
    <row r="40" spans="5:7" ht="18.75" customHeight="1">
      <c r="E40" s="201">
        <v>44189</v>
      </c>
      <c r="F40" s="14" t="s">
        <v>2701</v>
      </c>
      <c r="G40" s="14" t="s">
        <v>2762</v>
      </c>
    </row>
    <row r="41" spans="5:7" ht="18.75" customHeight="1">
      <c r="E41" s="201">
        <v>44190</v>
      </c>
      <c r="F41" s="14" t="s">
        <v>2758</v>
      </c>
      <c r="G41" s="14" t="s">
        <v>2763</v>
      </c>
    </row>
    <row r="42" spans="5:7" ht="18.75" customHeight="1">
      <c r="E42" s="201">
        <v>44203</v>
      </c>
      <c r="F42" s="14" t="s">
        <v>2555</v>
      </c>
      <c r="G42" s="14" t="s">
        <v>2764</v>
      </c>
    </row>
    <row r="43" spans="5:7" ht="18.75" customHeight="1">
      <c r="E43" s="201">
        <v>44225</v>
      </c>
      <c r="F43" s="14" t="s">
        <v>2420</v>
      </c>
      <c r="G43" s="14" t="s">
        <v>2765</v>
      </c>
    </row>
    <row r="44" spans="5:7" ht="18.75" customHeight="1">
      <c r="E44" s="201">
        <v>44236</v>
      </c>
      <c r="F44" s="14" t="s">
        <v>2701</v>
      </c>
      <c r="G44" s="14" t="s">
        <v>2766</v>
      </c>
    </row>
    <row r="45" spans="5:7" ht="18.75" customHeight="1">
      <c r="E45" s="201">
        <v>44237</v>
      </c>
      <c r="F45" s="14" t="s">
        <v>2701</v>
      </c>
      <c r="G45" s="14" t="s">
        <v>2767</v>
      </c>
    </row>
    <row r="46" spans="5:7" ht="18.75" customHeight="1">
      <c r="E46" s="201">
        <v>44239</v>
      </c>
      <c r="F46" s="14" t="s">
        <v>2701</v>
      </c>
      <c r="G46" s="14" t="s">
        <v>2769</v>
      </c>
    </row>
    <row r="47" spans="5:7" ht="18.75" customHeight="1">
      <c r="E47" s="201">
        <v>44242</v>
      </c>
      <c r="F47" s="14" t="s">
        <v>2701</v>
      </c>
      <c r="G47" s="14" t="s">
        <v>2768</v>
      </c>
    </row>
    <row r="48" spans="5:7" ht="18.75" customHeight="1">
      <c r="E48" s="201">
        <v>44249</v>
      </c>
      <c r="F48" s="14" t="s">
        <v>2701</v>
      </c>
      <c r="G48" s="14" t="s">
        <v>2770</v>
      </c>
    </row>
    <row r="49" spans="5:7" ht="18.75" customHeight="1">
      <c r="E49" s="201">
        <v>44260</v>
      </c>
      <c r="F49" s="14" t="s">
        <v>2555</v>
      </c>
      <c r="G49" s="14" t="s">
        <v>2771</v>
      </c>
    </row>
    <row r="50" spans="5:7" ht="18.75" customHeight="1">
      <c r="E50" s="201">
        <v>44316</v>
      </c>
      <c r="F50" s="14" t="s">
        <v>2701</v>
      </c>
      <c r="G50" s="14" t="s">
        <v>2775</v>
      </c>
    </row>
    <row r="51" spans="5:7" ht="18.75" customHeight="1">
      <c r="E51" s="201">
        <v>44326</v>
      </c>
      <c r="F51" s="14" t="s">
        <v>2785</v>
      </c>
      <c r="G51" s="14" t="s">
        <v>2786</v>
      </c>
    </row>
    <row r="52" spans="5:7" ht="18.75" customHeight="1">
      <c r="E52" s="201">
        <v>44327</v>
      </c>
      <c r="F52" s="14" t="s">
        <v>2785</v>
      </c>
      <c r="G52" s="14" t="s">
        <v>2788</v>
      </c>
    </row>
    <row r="53" spans="5:7" ht="18.75" customHeight="1">
      <c r="E53" s="201">
        <v>44328</v>
      </c>
      <c r="F53" s="14" t="s">
        <v>2785</v>
      </c>
      <c r="G53" s="14" t="s">
        <v>2789</v>
      </c>
    </row>
    <row r="54" spans="5:7" ht="18.75" customHeight="1">
      <c r="E54" s="201">
        <v>44329</v>
      </c>
      <c r="F54" s="14" t="s">
        <v>2785</v>
      </c>
      <c r="G54" s="14" t="s">
        <v>2789</v>
      </c>
    </row>
    <row r="55" spans="5:7" ht="18.75" customHeight="1">
      <c r="E55" s="201">
        <v>44333</v>
      </c>
      <c r="F55" s="14" t="s">
        <v>2785</v>
      </c>
      <c r="G55" s="14" t="s">
        <v>2790</v>
      </c>
    </row>
    <row r="56" spans="5:7" ht="18.75" customHeight="1">
      <c r="E56" s="201">
        <v>44365</v>
      </c>
      <c r="F56" s="14" t="s">
        <v>2701</v>
      </c>
      <c r="G56" s="14" t="s">
        <v>2805</v>
      </c>
    </row>
    <row r="57" spans="5:7" ht="18.75" customHeight="1">
      <c r="E57" s="201">
        <v>44440</v>
      </c>
      <c r="F57" s="14" t="s">
        <v>2420</v>
      </c>
      <c r="G57" s="14" t="s">
        <v>2806</v>
      </c>
    </row>
    <row r="58" spans="5:7" ht="18.75" customHeight="1">
      <c r="E58" s="201">
        <v>44461</v>
      </c>
      <c r="F58" s="14" t="s">
        <v>2701</v>
      </c>
      <c r="G58" s="14" t="s">
        <v>2807</v>
      </c>
    </row>
    <row r="59" spans="5:7" ht="18.75" customHeight="1">
      <c r="E59" s="201">
        <v>44469</v>
      </c>
      <c r="F59" s="14" t="s">
        <v>2701</v>
      </c>
      <c r="G59" s="14" t="s">
        <v>2808</v>
      </c>
    </row>
    <row r="60" spans="5:7" ht="18.75" customHeight="1">
      <c r="E60" s="201">
        <v>44504</v>
      </c>
      <c r="F60" s="14" t="s">
        <v>2701</v>
      </c>
      <c r="G60" s="14" t="s">
        <v>2809</v>
      </c>
    </row>
    <row r="61" spans="5:7" ht="18.75" customHeight="1">
      <c r="E61" s="201">
        <v>44510</v>
      </c>
      <c r="F61" s="14" t="s">
        <v>2701</v>
      </c>
      <c r="G61" s="14" t="s">
        <v>2810</v>
      </c>
    </row>
    <row r="62" spans="5:7" ht="18.75" customHeight="1">
      <c r="E62" s="201">
        <v>44574</v>
      </c>
      <c r="F62" s="14" t="s">
        <v>2701</v>
      </c>
      <c r="G62" s="14" t="s">
        <v>2811</v>
      </c>
    </row>
    <row r="63" spans="5:7" ht="18.75" customHeight="1">
      <c r="E63" s="201">
        <v>44580</v>
      </c>
      <c r="F63" s="14" t="s">
        <v>2555</v>
      </c>
      <c r="G63" s="14" t="s">
        <v>2812</v>
      </c>
    </row>
    <row r="64" spans="5:7" ht="18.75" customHeight="1">
      <c r="E64" s="201">
        <v>44596</v>
      </c>
      <c r="F64" s="14" t="s">
        <v>2701</v>
      </c>
      <c r="G64" s="14" t="s">
        <v>2813</v>
      </c>
    </row>
    <row r="65" spans="5:7" ht="18.75" customHeight="1">
      <c r="E65" s="201">
        <v>44609</v>
      </c>
      <c r="F65" s="14" t="s">
        <v>2420</v>
      </c>
      <c r="G65" s="14" t="s">
        <v>2814</v>
      </c>
    </row>
    <row r="66" spans="5:7" ht="18.75" customHeight="1">
      <c r="E66" s="201">
        <v>44610</v>
      </c>
      <c r="F66" s="14" t="s">
        <v>2420</v>
      </c>
      <c r="G66" s="14" t="s">
        <v>2815</v>
      </c>
    </row>
    <row r="67" spans="5:7" ht="18.75" customHeight="1">
      <c r="E67" s="201">
        <v>44617</v>
      </c>
      <c r="F67" s="14" t="s">
        <v>2420</v>
      </c>
      <c r="G67" s="14" t="s">
        <v>2817</v>
      </c>
    </row>
    <row r="68" spans="5:7" ht="18.75" customHeight="1">
      <c r="E68" s="201">
        <v>44628</v>
      </c>
      <c r="F68" s="14" t="s">
        <v>2701</v>
      </c>
      <c r="G68" s="14" t="s">
        <v>2818</v>
      </c>
    </row>
    <row r="70" spans="5:7" ht="18.75" customHeight="1">
      <c r="E70" s="201">
        <v>44635</v>
      </c>
      <c r="F70" s="14" t="s">
        <v>2555</v>
      </c>
      <c r="G70" s="14" t="s">
        <v>2832</v>
      </c>
    </row>
    <row r="71" spans="5:7" ht="18.75" customHeight="1">
      <c r="E71" s="201">
        <v>44635</v>
      </c>
      <c r="F71" s="14" t="s">
        <v>2701</v>
      </c>
      <c r="G71" s="14" t="s">
        <v>2833</v>
      </c>
    </row>
    <row r="72" spans="5:7" ht="18.75" customHeight="1">
      <c r="E72" s="201">
        <v>44637</v>
      </c>
      <c r="F72" s="14" t="s">
        <v>2701</v>
      </c>
      <c r="G72" s="14" t="s">
        <v>2834</v>
      </c>
    </row>
    <row r="73" spans="5:7" ht="18.75" customHeight="1">
      <c r="E73" s="201">
        <v>44638</v>
      </c>
      <c r="F73" s="14" t="s">
        <v>2701</v>
      </c>
      <c r="G73" s="14" t="s">
        <v>2835</v>
      </c>
    </row>
    <row r="74" spans="5:7" ht="18.75" customHeight="1">
      <c r="E74" s="201">
        <v>44643</v>
      </c>
      <c r="F74" s="14" t="s">
        <v>2785</v>
      </c>
      <c r="G74" s="14" t="s">
        <v>2878</v>
      </c>
    </row>
    <row r="75" spans="5:7" ht="18.75" customHeight="1">
      <c r="E75" s="201">
        <v>44648</v>
      </c>
      <c r="F75" s="14" t="s">
        <v>2555</v>
      </c>
      <c r="G75" s="14" t="s">
        <v>2771</v>
      </c>
    </row>
    <row r="76" spans="5:7" ht="18.75" customHeight="1">
      <c r="E76" s="201">
        <v>44649</v>
      </c>
      <c r="F76" s="14" t="s">
        <v>2555</v>
      </c>
      <c r="G76" s="14" t="s">
        <v>2879</v>
      </c>
    </row>
    <row r="77" spans="5:7" ht="18.75" customHeight="1">
      <c r="E77" s="201">
        <v>44670</v>
      </c>
      <c r="F77" s="14" t="s">
        <v>2701</v>
      </c>
      <c r="G77" s="14" t="s">
        <v>2880</v>
      </c>
    </row>
    <row r="78" spans="5:7" ht="18.75" customHeight="1">
      <c r="E78" s="201">
        <v>44699</v>
      </c>
      <c r="F78" s="14" t="s">
        <v>2420</v>
      </c>
      <c r="G78" s="14" t="s">
        <v>2985</v>
      </c>
    </row>
    <row r="79" spans="5:7" ht="18.75" customHeight="1">
      <c r="E79" s="201">
        <v>44708</v>
      </c>
      <c r="F79" s="14" t="s">
        <v>2701</v>
      </c>
      <c r="G79" s="14" t="s">
        <v>2986</v>
      </c>
    </row>
    <row r="80" spans="5:7" ht="18.75" customHeight="1">
      <c r="E80" s="201">
        <v>44743</v>
      </c>
      <c r="F80" s="14" t="s">
        <v>2555</v>
      </c>
      <c r="G80" s="14" t="s">
        <v>2987</v>
      </c>
    </row>
    <row r="81" spans="5:7" ht="18.75" customHeight="1">
      <c r="E81" s="201">
        <v>44812</v>
      </c>
      <c r="F81" s="14" t="s">
        <v>2701</v>
      </c>
      <c r="G81" s="14" t="s">
        <v>2988</v>
      </c>
    </row>
    <row r="82" spans="5:7" ht="18.75" customHeight="1">
      <c r="E82" s="201">
        <v>44840</v>
      </c>
      <c r="F82" s="14" t="s">
        <v>2785</v>
      </c>
      <c r="G82" s="14" t="s">
        <v>2989</v>
      </c>
    </row>
    <row r="83" spans="5:7" ht="18.75" customHeight="1">
      <c r="G83" s="14" t="s">
        <v>2990</v>
      </c>
    </row>
    <row r="84" spans="5:7" ht="18.75" customHeight="1">
      <c r="G84" s="14" t="s">
        <v>2991</v>
      </c>
    </row>
    <row r="86" spans="5:7" ht="18.75" customHeight="1">
      <c r="E86" s="201">
        <v>44852</v>
      </c>
      <c r="F86" s="14" t="s">
        <v>2555</v>
      </c>
      <c r="G86" s="14" t="s">
        <v>2993</v>
      </c>
    </row>
    <row r="87" spans="5:7" ht="18.75" customHeight="1">
      <c r="E87" s="201">
        <v>44902</v>
      </c>
      <c r="F87" s="14" t="s">
        <v>2701</v>
      </c>
      <c r="G87" s="14" t="s">
        <v>2994</v>
      </c>
    </row>
    <row r="88" spans="5:7" ht="18.75" customHeight="1">
      <c r="E88" s="201">
        <v>44903</v>
      </c>
      <c r="F88" s="14" t="s">
        <v>2701</v>
      </c>
      <c r="G88" s="14" t="s">
        <v>2995</v>
      </c>
    </row>
    <row r="89" spans="5:7" ht="18.75" customHeight="1">
      <c r="E89" s="201">
        <v>44908</v>
      </c>
      <c r="F89" s="14" t="s">
        <v>2701</v>
      </c>
      <c r="G89" s="14" t="s">
        <v>2996</v>
      </c>
    </row>
    <row r="90" spans="5:7" ht="18.75" customHeight="1">
      <c r="E90" s="201">
        <v>44914</v>
      </c>
      <c r="F90" s="14" t="s">
        <v>2701</v>
      </c>
      <c r="G90" s="14" t="s">
        <v>2997</v>
      </c>
    </row>
    <row r="91" spans="5:7" ht="18.75" customHeight="1">
      <c r="E91" s="201">
        <v>44916</v>
      </c>
      <c r="F91" s="14" t="s">
        <v>2701</v>
      </c>
      <c r="G91" s="14" t="s">
        <v>2998</v>
      </c>
    </row>
    <row r="92" spans="5:7" ht="18.75" customHeight="1">
      <c r="E92" s="201">
        <v>44918</v>
      </c>
      <c r="F92" s="14" t="s">
        <v>2420</v>
      </c>
      <c r="G92" s="14" t="s">
        <v>2999</v>
      </c>
    </row>
    <row r="93" spans="5:7" ht="18.75" customHeight="1">
      <c r="E93" s="201">
        <v>44967</v>
      </c>
      <c r="F93" s="14" t="s">
        <v>2420</v>
      </c>
      <c r="G93" s="14" t="s">
        <v>3000</v>
      </c>
    </row>
    <row r="94" spans="5:7" ht="18.75" customHeight="1">
      <c r="E94" s="201">
        <v>44979</v>
      </c>
      <c r="F94" s="14" t="s">
        <v>2744</v>
      </c>
      <c r="G94" s="14" t="s">
        <v>3003</v>
      </c>
    </row>
    <row r="95" spans="5:7" ht="18.75" customHeight="1">
      <c r="E95" s="201">
        <v>44995</v>
      </c>
      <c r="F95" s="14" t="s">
        <v>2701</v>
      </c>
      <c r="G95" s="14" t="s">
        <v>3004</v>
      </c>
    </row>
    <row r="96" spans="5:7" ht="18.75" customHeight="1">
      <c r="E96" s="201">
        <v>45001</v>
      </c>
      <c r="F96" s="14" t="s">
        <v>2420</v>
      </c>
      <c r="G96" s="14" t="s">
        <v>3005</v>
      </c>
    </row>
    <row r="97" spans="5:7" ht="18.75" customHeight="1">
      <c r="E97" s="201">
        <v>45001</v>
      </c>
      <c r="F97" s="14" t="s">
        <v>2701</v>
      </c>
      <c r="G97" s="14" t="s">
        <v>3006</v>
      </c>
    </row>
    <row r="98" spans="5:7" ht="18.75" customHeight="1">
      <c r="E98" s="201">
        <v>45002</v>
      </c>
      <c r="F98" s="14" t="s">
        <v>3028</v>
      </c>
      <c r="G98" s="14" t="s">
        <v>3029</v>
      </c>
    </row>
    <row r="99" spans="5:7" ht="18.75" customHeight="1">
      <c r="E99" s="201">
        <v>45063</v>
      </c>
      <c r="F99" s="14" t="s">
        <v>2701</v>
      </c>
      <c r="G99" s="14" t="s">
        <v>3034</v>
      </c>
    </row>
    <row r="100" spans="5:7" ht="18.75" customHeight="1">
      <c r="E100" s="201">
        <v>45110</v>
      </c>
      <c r="F100" s="14" t="s">
        <v>3028</v>
      </c>
      <c r="G100" s="14" t="s">
        <v>3035</v>
      </c>
    </row>
    <row r="101" spans="5:7" ht="18.75" customHeight="1">
      <c r="E101" s="201">
        <v>45113</v>
      </c>
      <c r="F101" s="14" t="s">
        <v>3028</v>
      </c>
      <c r="G101" s="14" t="s">
        <v>3036</v>
      </c>
    </row>
    <row r="102" spans="5:7" ht="18.75" customHeight="1">
      <c r="E102" s="201">
        <v>45120</v>
      </c>
      <c r="F102" s="14" t="s">
        <v>3028</v>
      </c>
      <c r="G102" s="14" t="s">
        <v>3037</v>
      </c>
    </row>
    <row r="103" spans="5:7" ht="18.75" customHeight="1">
      <c r="E103" s="201">
        <v>45126</v>
      </c>
      <c r="F103" s="14" t="s">
        <v>3028</v>
      </c>
      <c r="G103" s="14" t="s">
        <v>2767</v>
      </c>
    </row>
    <row r="104" spans="5:7" ht="18.75" customHeight="1">
      <c r="E104" s="201">
        <v>45133</v>
      </c>
      <c r="F104" s="14" t="s">
        <v>3038</v>
      </c>
      <c r="G104" s="14" t="s">
        <v>3039</v>
      </c>
    </row>
    <row r="105" spans="5:7" ht="18.75" customHeight="1">
      <c r="E105" s="201">
        <v>45219</v>
      </c>
      <c r="F105" s="14" t="s">
        <v>3028</v>
      </c>
      <c r="G105" s="14" t="s">
        <v>3042</v>
      </c>
    </row>
    <row r="106" spans="5:7" ht="18.75" customHeight="1">
      <c r="E106" s="201">
        <v>45266</v>
      </c>
      <c r="F106" s="14" t="s">
        <v>3028</v>
      </c>
      <c r="G106" s="14" t="s">
        <v>3043</v>
      </c>
    </row>
    <row r="107" spans="5:7" ht="18.75" customHeight="1">
      <c r="E107" s="201">
        <v>45322</v>
      </c>
      <c r="F107" s="14" t="s">
        <v>3028</v>
      </c>
      <c r="G107" s="14" t="s">
        <v>3044</v>
      </c>
    </row>
    <row r="108" spans="5:7" ht="18.75" customHeight="1">
      <c r="E108" s="201">
        <v>45335</v>
      </c>
      <c r="F108" s="14" t="s">
        <v>2785</v>
      </c>
      <c r="G108" s="14" t="s">
        <v>3045</v>
      </c>
    </row>
    <row r="109" spans="5:7" ht="18.75" customHeight="1">
      <c r="E109" s="201">
        <v>45336</v>
      </c>
      <c r="F109" s="14" t="s">
        <v>2785</v>
      </c>
      <c r="G109" s="14" t="s">
        <v>3046</v>
      </c>
    </row>
    <row r="110" spans="5:7" ht="18.75" customHeight="1">
      <c r="E110" s="201">
        <v>45414</v>
      </c>
      <c r="F110" s="14" t="s">
        <v>3047</v>
      </c>
      <c r="G110" s="14" t="s">
        <v>3048</v>
      </c>
    </row>
    <row r="111" spans="5:7" ht="18.75" customHeight="1">
      <c r="E111" s="201">
        <v>45419</v>
      </c>
      <c r="F111" s="14" t="s">
        <v>3038</v>
      </c>
      <c r="G111" s="14" t="s">
        <v>3049</v>
      </c>
    </row>
    <row r="112" spans="5:7" ht="18.75" customHeight="1">
      <c r="E112" s="201">
        <v>45454</v>
      </c>
      <c r="F112" s="14" t="s">
        <v>3047</v>
      </c>
      <c r="G112" s="14" t="s">
        <v>3050</v>
      </c>
    </row>
    <row r="113" spans="5:7" ht="18.75" customHeight="1">
      <c r="E113" s="201">
        <v>45461</v>
      </c>
      <c r="F113" s="14" t="s">
        <v>2420</v>
      </c>
      <c r="G113" s="14" t="s">
        <v>3051</v>
      </c>
    </row>
    <row r="114" spans="5:7" ht="18.75" customHeight="1">
      <c r="E114" s="201">
        <v>45498</v>
      </c>
      <c r="F114" s="14" t="s">
        <v>3038</v>
      </c>
      <c r="G114" s="14" t="s">
        <v>3052</v>
      </c>
    </row>
    <row r="115" spans="5:7" ht="18.75" customHeight="1">
      <c r="E115" s="201">
        <v>45503</v>
      </c>
      <c r="F115" s="14" t="s">
        <v>3038</v>
      </c>
      <c r="G115" s="14" t="s">
        <v>2767</v>
      </c>
    </row>
    <row r="116" spans="5:7" ht="18.75" customHeight="1">
      <c r="E116" s="290" t="s">
        <v>3054</v>
      </c>
      <c r="F116" s="291"/>
      <c r="G116" s="291"/>
    </row>
    <row r="117" spans="5:7" ht="18.75" customHeight="1">
      <c r="F117" s="14" t="s">
        <v>2785</v>
      </c>
      <c r="G117" s="14" t="s">
        <v>3055</v>
      </c>
    </row>
    <row r="118" spans="5:7" ht="18.75" customHeight="1">
      <c r="E118" s="201">
        <v>45560</v>
      </c>
      <c r="F118" s="14" t="s">
        <v>2701</v>
      </c>
      <c r="G118" s="14" t="s">
        <v>3199</v>
      </c>
    </row>
    <row r="119" spans="5:7" ht="18.75" customHeight="1">
      <c r="E119" s="201">
        <v>45611</v>
      </c>
      <c r="F119" s="14" t="s">
        <v>3038</v>
      </c>
      <c r="G119" s="14" t="s">
        <v>3200</v>
      </c>
    </row>
    <row r="120" spans="5:7" ht="18.75" customHeight="1">
      <c r="E120" s="201">
        <v>45617</v>
      </c>
      <c r="F120" s="14" t="s">
        <v>2785</v>
      </c>
      <c r="G120" s="14" t="s">
        <v>3201</v>
      </c>
    </row>
    <row r="121" spans="5:7" ht="18.75" customHeight="1">
      <c r="G121" s="14" t="s">
        <v>3202</v>
      </c>
    </row>
    <row r="122" spans="5:7" ht="18.75" customHeight="1">
      <c r="E122" s="201">
        <v>45689</v>
      </c>
      <c r="F122" s="14" t="s">
        <v>2785</v>
      </c>
      <c r="G122" s="14" t="s">
        <v>3245</v>
      </c>
    </row>
    <row r="123" spans="5:7" ht="18.75" customHeight="1">
      <c r="E123" s="201">
        <v>45719</v>
      </c>
      <c r="F123" s="14" t="s">
        <v>2785</v>
      </c>
      <c r="G123" s="14" t="s">
        <v>3246</v>
      </c>
    </row>
    <row r="124" spans="5:7" ht="18.75" customHeight="1">
      <c r="E124" s="290" t="s">
        <v>3248</v>
      </c>
      <c r="F124" s="291"/>
      <c r="G124" s="291"/>
    </row>
    <row r="125" spans="5:7" ht="18.75" customHeight="1">
      <c r="E125" s="201">
        <v>45856</v>
      </c>
      <c r="F125" s="14" t="s">
        <v>3028</v>
      </c>
      <c r="G125" s="14" t="s">
        <v>3249</v>
      </c>
    </row>
    <row r="126" spans="5:7" ht="18.75" customHeight="1">
      <c r="E126" s="201">
        <v>45861</v>
      </c>
      <c r="F126" s="14" t="s">
        <v>2420</v>
      </c>
      <c r="G126" s="14" t="s">
        <v>3703</v>
      </c>
    </row>
    <row r="127" spans="5:7" ht="18.75" customHeight="1">
      <c r="E127" s="201">
        <v>45967</v>
      </c>
      <c r="F127" s="14" t="s">
        <v>2701</v>
      </c>
      <c r="G127" s="14" t="s">
        <v>4128</v>
      </c>
    </row>
    <row r="128" spans="5:7" ht="18.75" customHeight="1">
      <c r="E128" s="201">
        <v>45978</v>
      </c>
      <c r="F128" s="14" t="s">
        <v>2701</v>
      </c>
      <c r="G128" s="14" t="s">
        <v>4129</v>
      </c>
    </row>
  </sheetData>
  <mergeCells count="1">
    <mergeCell ref="B11:G11"/>
  </mergeCells>
  <phoneticPr fontId="12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45"/>
  <sheetViews>
    <sheetView zoomScaleNormal="100" workbookViewId="0"/>
  </sheetViews>
  <sheetFormatPr defaultColWidth="2.109375" defaultRowHeight="20.25" customHeight="1"/>
  <cols>
    <col min="1" max="1" width="2.109375" style="862" customWidth="1"/>
    <col min="2" max="16384" width="2.109375" style="862"/>
  </cols>
  <sheetData>
    <row r="1" spans="1:39" s="853" customFormat="1" ht="20.25" customHeight="1">
      <c r="A1" s="853" t="s">
        <v>2676</v>
      </c>
      <c r="D1" s="853" t="s">
        <v>3503</v>
      </c>
    </row>
    <row r="2" spans="1:39" ht="20.25" customHeight="1">
      <c r="A2" s="871" t="s">
        <v>3502</v>
      </c>
      <c r="B2" s="871"/>
      <c r="C2" s="871"/>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row>
    <row r="3" spans="1:39" ht="20.25" customHeight="1">
      <c r="A3" s="865" t="s">
        <v>3501</v>
      </c>
      <c r="B3" s="865"/>
      <c r="C3" s="865"/>
      <c r="D3" s="865"/>
      <c r="E3" s="865"/>
      <c r="F3" s="865"/>
      <c r="G3" s="865"/>
      <c r="H3" s="865"/>
      <c r="I3" s="865"/>
      <c r="J3" s="865"/>
      <c r="K3" s="865"/>
      <c r="L3" s="865"/>
      <c r="M3" s="865"/>
      <c r="N3" s="865"/>
      <c r="O3" s="865"/>
      <c r="P3" s="865"/>
      <c r="Q3" s="865"/>
      <c r="R3" s="865"/>
      <c r="S3" s="865"/>
      <c r="T3" s="865"/>
      <c r="U3" s="865"/>
      <c r="V3" s="865"/>
      <c r="W3" s="865"/>
      <c r="X3" s="865"/>
      <c r="Y3" s="865"/>
      <c r="Z3" s="865"/>
      <c r="AA3" s="865"/>
      <c r="AB3" s="865"/>
      <c r="AC3" s="865"/>
      <c r="AD3" s="865"/>
      <c r="AE3" s="865"/>
      <c r="AF3" s="865"/>
      <c r="AG3" s="865"/>
      <c r="AH3" s="865"/>
      <c r="AI3" s="865"/>
      <c r="AJ3" s="865"/>
      <c r="AK3" s="865"/>
      <c r="AL3" s="865"/>
      <c r="AM3" s="865"/>
    </row>
    <row r="4" spans="1:39" ht="20.25" customHeight="1">
      <c r="A4" s="867" t="s">
        <v>3499</v>
      </c>
      <c r="B4" s="867"/>
      <c r="C4" s="867"/>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row>
    <row r="5" spans="1:39" s="863" customFormat="1" ht="18.75" customHeight="1">
      <c r="B5" s="863" t="s">
        <v>3498</v>
      </c>
      <c r="K5" s="1831" t="str">
        <f>cst_wskakunin_owner2__space_KANA</f>
        <v/>
      </c>
      <c r="L5" s="1831"/>
      <c r="M5" s="1831"/>
      <c r="N5" s="1831"/>
      <c r="O5" s="1831"/>
      <c r="P5" s="1831"/>
      <c r="Q5" s="1831"/>
      <c r="R5" s="1831"/>
      <c r="S5" s="1831"/>
      <c r="T5" s="1831"/>
      <c r="U5" s="1831"/>
      <c r="V5" s="1831"/>
      <c r="W5" s="1831"/>
      <c r="X5" s="1831"/>
      <c r="Y5" s="1831"/>
      <c r="Z5" s="1831"/>
      <c r="AA5" s="1831"/>
      <c r="AB5" s="1831"/>
      <c r="AC5" s="1831"/>
      <c r="AD5" s="1831"/>
      <c r="AE5" s="1831"/>
      <c r="AF5" s="1831"/>
      <c r="AG5" s="1831"/>
      <c r="AH5" s="1831"/>
      <c r="AI5" s="1831"/>
      <c r="AJ5" s="1831"/>
      <c r="AK5" s="1831"/>
      <c r="AL5" s="1831"/>
      <c r="AM5" s="1831"/>
    </row>
    <row r="6" spans="1:39" s="863" customFormat="1" ht="18.75" customHeight="1">
      <c r="B6" s="863" t="s">
        <v>3492</v>
      </c>
      <c r="K6" s="1831" t="str">
        <f>cst_wskakunin_owner2__space</f>
        <v/>
      </c>
      <c r="L6" s="1831"/>
      <c r="M6" s="1831"/>
      <c r="N6" s="1831"/>
      <c r="O6" s="1831"/>
      <c r="P6" s="1831"/>
      <c r="Q6" s="1831"/>
      <c r="R6" s="1831"/>
      <c r="S6" s="1831"/>
      <c r="T6" s="1831"/>
      <c r="U6" s="1831"/>
      <c r="V6" s="1831"/>
      <c r="W6" s="1831"/>
      <c r="X6" s="1831"/>
      <c r="Y6" s="1831"/>
      <c r="Z6" s="1831"/>
      <c r="AA6" s="1831"/>
      <c r="AB6" s="1831"/>
      <c r="AC6" s="1831"/>
      <c r="AD6" s="1831"/>
      <c r="AE6" s="1831"/>
      <c r="AF6" s="1831"/>
      <c r="AG6" s="1831"/>
      <c r="AH6" s="1831"/>
      <c r="AI6" s="1831"/>
      <c r="AJ6" s="1831"/>
      <c r="AK6" s="1831"/>
      <c r="AL6" s="1831"/>
      <c r="AM6" s="1831"/>
    </row>
    <row r="7" spans="1:39" s="863" customFormat="1" ht="18.75" customHeight="1">
      <c r="B7" s="863" t="s">
        <v>553</v>
      </c>
      <c r="K7" s="1831" t="str">
        <f>cst_wskakunin_owner2_ZIP</f>
        <v/>
      </c>
      <c r="L7" s="1831"/>
      <c r="M7" s="1831"/>
      <c r="N7" s="1831"/>
      <c r="O7" s="1831"/>
      <c r="P7" s="1831"/>
      <c r="Q7" s="862"/>
      <c r="R7" s="862"/>
      <c r="S7" s="862"/>
      <c r="T7" s="862"/>
      <c r="U7" s="862"/>
      <c r="V7" s="862"/>
      <c r="W7" s="862"/>
      <c r="X7" s="862"/>
      <c r="Y7" s="862"/>
      <c r="Z7" s="862"/>
      <c r="AA7" s="862"/>
      <c r="AB7" s="862"/>
      <c r="AC7" s="862"/>
      <c r="AD7" s="862"/>
      <c r="AE7" s="862"/>
      <c r="AF7" s="862"/>
      <c r="AG7" s="862"/>
      <c r="AH7" s="862"/>
      <c r="AI7" s="862"/>
      <c r="AJ7" s="862"/>
      <c r="AK7" s="862"/>
      <c r="AL7" s="862"/>
      <c r="AM7" s="862"/>
    </row>
    <row r="8" spans="1:39" s="863" customFormat="1" ht="18.75" customHeight="1">
      <c r="B8" s="863" t="s">
        <v>3497</v>
      </c>
      <c r="K8" s="1831" t="str">
        <f>cst_wskakunin_owner2__address</f>
        <v/>
      </c>
      <c r="L8" s="1831"/>
      <c r="M8" s="1831"/>
      <c r="N8" s="1831"/>
      <c r="O8" s="1831"/>
      <c r="P8" s="1831"/>
      <c r="Q8" s="1831"/>
      <c r="R8" s="1831"/>
      <c r="S8" s="1831"/>
      <c r="T8" s="1831"/>
      <c r="U8" s="1831"/>
      <c r="V8" s="1831"/>
      <c r="W8" s="1831"/>
      <c r="X8" s="1831"/>
      <c r="Y8" s="1831"/>
      <c r="Z8" s="1831"/>
      <c r="AA8" s="1831"/>
      <c r="AB8" s="1831"/>
      <c r="AC8" s="1831"/>
      <c r="AD8" s="1831"/>
      <c r="AE8" s="1831"/>
      <c r="AF8" s="1831"/>
      <c r="AG8" s="1831"/>
      <c r="AH8" s="1831"/>
      <c r="AI8" s="1831"/>
      <c r="AJ8" s="1831"/>
      <c r="AK8" s="1831"/>
      <c r="AL8" s="1831"/>
      <c r="AM8" s="1831"/>
    </row>
    <row r="9" spans="1:39" s="863" customFormat="1" ht="18.75" customHeight="1">
      <c r="B9" s="864" t="s">
        <v>555</v>
      </c>
      <c r="C9" s="864"/>
      <c r="D9" s="864"/>
      <c r="E9" s="864"/>
      <c r="F9" s="864"/>
      <c r="G9" s="864"/>
      <c r="H9" s="864"/>
      <c r="I9" s="864"/>
      <c r="J9" s="864"/>
      <c r="K9" s="1833" t="str">
        <f>cst_wskakunin_owner2_TEL</f>
        <v/>
      </c>
      <c r="L9" s="1833"/>
      <c r="M9" s="1833"/>
      <c r="N9" s="1833"/>
      <c r="O9" s="1833"/>
      <c r="P9" s="1833"/>
      <c r="Q9" s="1833"/>
      <c r="R9" s="1833"/>
      <c r="S9" s="1833"/>
      <c r="T9" s="1833"/>
      <c r="U9" s="1833"/>
      <c r="V9" s="865"/>
      <c r="W9" s="865"/>
      <c r="X9" s="865"/>
      <c r="Y9" s="865"/>
      <c r="Z9" s="865"/>
      <c r="AA9" s="865"/>
      <c r="AB9" s="865"/>
      <c r="AC9" s="865"/>
      <c r="AD9" s="865"/>
      <c r="AE9" s="865"/>
      <c r="AF9" s="865"/>
      <c r="AG9" s="865"/>
      <c r="AH9" s="865"/>
      <c r="AI9" s="865"/>
      <c r="AJ9" s="865"/>
      <c r="AK9" s="865"/>
      <c r="AL9" s="865"/>
      <c r="AM9" s="865"/>
    </row>
    <row r="10" spans="1:39" ht="20.25" customHeight="1">
      <c r="A10" s="867" t="s">
        <v>3500</v>
      </c>
      <c r="B10" s="867"/>
      <c r="C10" s="867"/>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7"/>
      <c r="AJ10" s="867"/>
      <c r="AK10" s="867"/>
      <c r="AL10" s="867"/>
      <c r="AM10" s="867"/>
    </row>
    <row r="11" spans="1:39" s="863" customFormat="1" ht="18.75" customHeight="1">
      <c r="B11" s="863" t="s">
        <v>3498</v>
      </c>
      <c r="K11" s="1831" t="str">
        <f>cst_wskakunin_owner3__space_KANA</f>
        <v/>
      </c>
      <c r="L11" s="1831"/>
      <c r="M11" s="1831"/>
      <c r="N11" s="1831"/>
      <c r="O11" s="1831"/>
      <c r="P11" s="1831"/>
      <c r="Q11" s="1831"/>
      <c r="R11" s="1831"/>
      <c r="S11" s="1831"/>
      <c r="T11" s="1831"/>
      <c r="U11" s="1831"/>
      <c r="V11" s="1831"/>
      <c r="W11" s="1831"/>
      <c r="X11" s="1831"/>
      <c r="Y11" s="1831"/>
      <c r="Z11" s="1831"/>
      <c r="AA11" s="1831"/>
      <c r="AB11" s="1831"/>
      <c r="AC11" s="1831"/>
      <c r="AD11" s="1831"/>
      <c r="AE11" s="1831"/>
      <c r="AF11" s="1831"/>
      <c r="AG11" s="1831"/>
      <c r="AH11" s="1831"/>
      <c r="AI11" s="1831"/>
      <c r="AJ11" s="1831"/>
      <c r="AK11" s="1831"/>
      <c r="AL11" s="1831"/>
      <c r="AM11" s="1831"/>
    </row>
    <row r="12" spans="1:39" s="863" customFormat="1" ht="18.75" customHeight="1">
      <c r="B12" s="863" t="s">
        <v>3492</v>
      </c>
      <c r="K12" s="1831" t="str">
        <f>cst_wskakunin_owner3__space</f>
        <v/>
      </c>
      <c r="L12" s="1831"/>
      <c r="M12" s="1831"/>
      <c r="N12" s="1831"/>
      <c r="O12" s="1831"/>
      <c r="P12" s="1831"/>
      <c r="Q12" s="1831"/>
      <c r="R12" s="1831"/>
      <c r="S12" s="1831"/>
      <c r="T12" s="1831"/>
      <c r="U12" s="1831"/>
      <c r="V12" s="1831"/>
      <c r="W12" s="1831"/>
      <c r="X12" s="1831"/>
      <c r="Y12" s="1831"/>
      <c r="Z12" s="1831"/>
      <c r="AA12" s="1831"/>
      <c r="AB12" s="1831"/>
      <c r="AC12" s="1831"/>
      <c r="AD12" s="1831"/>
      <c r="AE12" s="1831"/>
      <c r="AF12" s="1831"/>
      <c r="AG12" s="1831"/>
      <c r="AH12" s="1831"/>
      <c r="AI12" s="1831"/>
      <c r="AJ12" s="1831"/>
      <c r="AK12" s="1831"/>
      <c r="AL12" s="1831"/>
      <c r="AM12" s="1831"/>
    </row>
    <row r="13" spans="1:39" s="863" customFormat="1" ht="18.75" customHeight="1">
      <c r="B13" s="863" t="s">
        <v>553</v>
      </c>
      <c r="K13" s="1831" t="str">
        <f>cst_wskakunin_owner3_ZIP</f>
        <v/>
      </c>
      <c r="L13" s="1831"/>
      <c r="M13" s="1831"/>
      <c r="N13" s="1831"/>
      <c r="O13" s="1831"/>
      <c r="P13" s="1831"/>
      <c r="Q13" s="862"/>
      <c r="R13" s="862"/>
      <c r="S13" s="862"/>
      <c r="T13" s="862"/>
      <c r="U13" s="862"/>
      <c r="V13" s="862"/>
      <c r="W13" s="862"/>
      <c r="X13" s="862"/>
      <c r="Y13" s="862"/>
      <c r="Z13" s="862"/>
      <c r="AA13" s="862"/>
      <c r="AB13" s="862"/>
      <c r="AC13" s="862"/>
      <c r="AD13" s="862"/>
      <c r="AE13" s="862"/>
      <c r="AF13" s="862"/>
      <c r="AG13" s="862"/>
      <c r="AH13" s="862"/>
      <c r="AI13" s="862"/>
      <c r="AJ13" s="862"/>
      <c r="AK13" s="862"/>
      <c r="AL13" s="862"/>
      <c r="AM13" s="862"/>
    </row>
    <row r="14" spans="1:39" s="863" customFormat="1" ht="18.75" customHeight="1">
      <c r="B14" s="863" t="s">
        <v>3497</v>
      </c>
      <c r="K14" s="1831" t="str">
        <f>cst_wskakunin_owner3__address</f>
        <v/>
      </c>
      <c r="L14" s="1831"/>
      <c r="M14" s="1831"/>
      <c r="N14" s="1831"/>
      <c r="O14" s="1831"/>
      <c r="P14" s="1831"/>
      <c r="Q14" s="1831"/>
      <c r="R14" s="1831"/>
      <c r="S14" s="1831"/>
      <c r="T14" s="1831"/>
      <c r="U14" s="1831"/>
      <c r="V14" s="1831"/>
      <c r="W14" s="1831"/>
      <c r="X14" s="1831"/>
      <c r="Y14" s="1831"/>
      <c r="Z14" s="1831"/>
      <c r="AA14" s="1831"/>
      <c r="AB14" s="1831"/>
      <c r="AC14" s="1831"/>
      <c r="AD14" s="1831"/>
      <c r="AE14" s="1831"/>
      <c r="AF14" s="1831"/>
      <c r="AG14" s="1831"/>
      <c r="AH14" s="1831"/>
      <c r="AI14" s="1831"/>
      <c r="AJ14" s="1831"/>
      <c r="AK14" s="1831"/>
      <c r="AL14" s="1831"/>
      <c r="AM14" s="1831"/>
    </row>
    <row r="15" spans="1:39" s="863" customFormat="1" ht="18.75" customHeight="1">
      <c r="A15" s="864"/>
      <c r="B15" s="864" t="s">
        <v>555</v>
      </c>
      <c r="C15" s="864"/>
      <c r="D15" s="864"/>
      <c r="E15" s="864"/>
      <c r="F15" s="864"/>
      <c r="G15" s="864"/>
      <c r="H15" s="864"/>
      <c r="I15" s="864"/>
      <c r="J15" s="864"/>
      <c r="K15" s="1833" t="str">
        <f>cst_wskakunin_owner3_TEL</f>
        <v/>
      </c>
      <c r="L15" s="1833"/>
      <c r="M15" s="1833"/>
      <c r="N15" s="1833"/>
      <c r="O15" s="1833"/>
      <c r="P15" s="1833"/>
      <c r="Q15" s="1833"/>
      <c r="R15" s="1833"/>
      <c r="S15" s="1833"/>
      <c r="T15" s="1833"/>
      <c r="U15" s="1833"/>
      <c r="V15" s="865"/>
      <c r="W15" s="865"/>
      <c r="X15" s="865"/>
      <c r="Y15" s="865"/>
      <c r="Z15" s="865"/>
      <c r="AA15" s="865"/>
      <c r="AB15" s="865"/>
      <c r="AC15" s="865"/>
      <c r="AD15" s="865"/>
      <c r="AE15" s="865"/>
      <c r="AF15" s="865"/>
      <c r="AG15" s="865"/>
      <c r="AH15" s="865"/>
      <c r="AI15" s="865"/>
      <c r="AJ15" s="865"/>
      <c r="AK15" s="865"/>
      <c r="AL15" s="865"/>
      <c r="AM15" s="865"/>
    </row>
    <row r="16" spans="1:39" ht="20.25" customHeight="1">
      <c r="A16" s="867" t="s">
        <v>3500</v>
      </c>
      <c r="B16" s="867"/>
      <c r="C16" s="867"/>
      <c r="D16" s="867"/>
      <c r="E16" s="867"/>
      <c r="F16" s="867"/>
      <c r="G16" s="867"/>
      <c r="H16" s="867"/>
      <c r="I16" s="867"/>
      <c r="J16" s="867"/>
      <c r="K16" s="867"/>
      <c r="L16" s="867"/>
      <c r="M16" s="867"/>
      <c r="N16" s="867"/>
      <c r="O16" s="867"/>
      <c r="P16" s="867"/>
      <c r="Q16" s="867"/>
      <c r="R16" s="867"/>
      <c r="S16" s="867"/>
      <c r="T16" s="867"/>
      <c r="U16" s="867"/>
      <c r="V16" s="867"/>
      <c r="W16" s="867"/>
      <c r="X16" s="867"/>
      <c r="Y16" s="867"/>
      <c r="Z16" s="867"/>
      <c r="AA16" s="867"/>
      <c r="AB16" s="867"/>
      <c r="AC16" s="867"/>
      <c r="AD16" s="867"/>
      <c r="AE16" s="867"/>
      <c r="AF16" s="867"/>
      <c r="AG16" s="867"/>
      <c r="AH16" s="867"/>
      <c r="AI16" s="867"/>
      <c r="AJ16" s="867"/>
      <c r="AK16" s="867"/>
      <c r="AL16" s="867"/>
      <c r="AM16" s="867"/>
    </row>
    <row r="17" spans="1:39" s="863" customFormat="1" ht="18.75" customHeight="1">
      <c r="B17" s="863" t="s">
        <v>3498</v>
      </c>
      <c r="K17" s="1831" t="str">
        <f>cst_wskakunin_owner4__space_KANA</f>
        <v/>
      </c>
      <c r="L17" s="1831"/>
      <c r="M17" s="1831"/>
      <c r="N17" s="1831"/>
      <c r="O17" s="1831"/>
      <c r="P17" s="1831"/>
      <c r="Q17" s="1831"/>
      <c r="R17" s="1831"/>
      <c r="S17" s="1831"/>
      <c r="T17" s="1831"/>
      <c r="U17" s="1831"/>
      <c r="V17" s="1831"/>
      <c r="W17" s="1831"/>
      <c r="X17" s="1831"/>
      <c r="Y17" s="1831"/>
      <c r="Z17" s="1831"/>
      <c r="AA17" s="1831"/>
      <c r="AB17" s="1831"/>
      <c r="AC17" s="1831"/>
      <c r="AD17" s="1831"/>
      <c r="AE17" s="1831"/>
      <c r="AF17" s="1831"/>
      <c r="AG17" s="1831"/>
      <c r="AH17" s="1831"/>
      <c r="AI17" s="1831"/>
      <c r="AJ17" s="1831"/>
      <c r="AK17" s="1831"/>
      <c r="AL17" s="1831"/>
      <c r="AM17" s="1831"/>
    </row>
    <row r="18" spans="1:39" s="863" customFormat="1" ht="18.75" customHeight="1">
      <c r="B18" s="863" t="s">
        <v>3492</v>
      </c>
      <c r="K18" s="1831" t="str">
        <f>cst_wskakunin_owner4__space</f>
        <v/>
      </c>
      <c r="L18" s="1831"/>
      <c r="M18" s="1831"/>
      <c r="N18" s="1831"/>
      <c r="O18" s="1831"/>
      <c r="P18" s="1831"/>
      <c r="Q18" s="1831"/>
      <c r="R18" s="1831"/>
      <c r="S18" s="1831"/>
      <c r="T18" s="1831"/>
      <c r="U18" s="1831"/>
      <c r="V18" s="1831"/>
      <c r="W18" s="1831"/>
      <c r="X18" s="1831"/>
      <c r="Y18" s="1831"/>
      <c r="Z18" s="1831"/>
      <c r="AA18" s="1831"/>
      <c r="AB18" s="1831"/>
      <c r="AC18" s="1831"/>
      <c r="AD18" s="1831"/>
      <c r="AE18" s="1831"/>
      <c r="AF18" s="1831"/>
      <c r="AG18" s="1831"/>
      <c r="AH18" s="1831"/>
      <c r="AI18" s="1831"/>
      <c r="AJ18" s="1831"/>
      <c r="AK18" s="1831"/>
      <c r="AL18" s="1831"/>
      <c r="AM18" s="1831"/>
    </row>
    <row r="19" spans="1:39" s="863" customFormat="1" ht="18.75" customHeight="1">
      <c r="B19" s="863" t="s">
        <v>553</v>
      </c>
      <c r="K19" s="1831" t="str">
        <f>cst_wskakunin_owner4_ZIP</f>
        <v/>
      </c>
      <c r="L19" s="1831"/>
      <c r="M19" s="1831"/>
      <c r="N19" s="1831"/>
      <c r="O19" s="1831"/>
      <c r="P19" s="1831"/>
      <c r="Q19" s="862"/>
      <c r="R19" s="862"/>
      <c r="S19" s="862"/>
      <c r="T19" s="862"/>
      <c r="U19" s="862"/>
      <c r="V19" s="862"/>
      <c r="W19" s="862"/>
      <c r="X19" s="862"/>
      <c r="Y19" s="862"/>
      <c r="Z19" s="862"/>
      <c r="AA19" s="862"/>
      <c r="AB19" s="862"/>
      <c r="AC19" s="862"/>
      <c r="AD19" s="862"/>
      <c r="AE19" s="862"/>
      <c r="AF19" s="862"/>
      <c r="AG19" s="862"/>
      <c r="AH19" s="862"/>
      <c r="AI19" s="862"/>
      <c r="AJ19" s="862"/>
      <c r="AK19" s="862"/>
      <c r="AL19" s="862"/>
      <c r="AM19" s="862"/>
    </row>
    <row r="20" spans="1:39" s="863" customFormat="1" ht="18.75" customHeight="1">
      <c r="B20" s="863" t="s">
        <v>3497</v>
      </c>
      <c r="K20" s="1831" t="str">
        <f>cst_wskakunin_owner4__address</f>
        <v/>
      </c>
      <c r="L20" s="1831"/>
      <c r="M20" s="1831"/>
      <c r="N20" s="1831"/>
      <c r="O20" s="1831"/>
      <c r="P20" s="1831"/>
      <c r="Q20" s="1831"/>
      <c r="R20" s="1831"/>
      <c r="S20" s="1831"/>
      <c r="T20" s="1831"/>
      <c r="U20" s="1831"/>
      <c r="V20" s="1831"/>
      <c r="W20" s="1831"/>
      <c r="X20" s="1831"/>
      <c r="Y20" s="1831"/>
      <c r="Z20" s="1831"/>
      <c r="AA20" s="1831"/>
      <c r="AB20" s="1831"/>
      <c r="AC20" s="1831"/>
      <c r="AD20" s="1831"/>
      <c r="AE20" s="1831"/>
      <c r="AF20" s="1831"/>
      <c r="AG20" s="1831"/>
      <c r="AH20" s="1831"/>
      <c r="AI20" s="1831"/>
      <c r="AJ20" s="1831"/>
      <c r="AK20" s="1831"/>
      <c r="AL20" s="1831"/>
      <c r="AM20" s="1831"/>
    </row>
    <row r="21" spans="1:39" s="863" customFormat="1" ht="18.75" customHeight="1">
      <c r="A21" s="864"/>
      <c r="B21" s="864" t="s">
        <v>555</v>
      </c>
      <c r="C21" s="864"/>
      <c r="D21" s="864"/>
      <c r="E21" s="864"/>
      <c r="F21" s="864"/>
      <c r="G21" s="864"/>
      <c r="H21" s="864"/>
      <c r="I21" s="864"/>
      <c r="J21" s="864"/>
      <c r="K21" s="1833" t="str">
        <f>cst_wskakunin_owner4_TEL</f>
        <v/>
      </c>
      <c r="L21" s="1833"/>
      <c r="M21" s="1833"/>
      <c r="N21" s="1833"/>
      <c r="O21" s="1833"/>
      <c r="P21" s="1833"/>
      <c r="Q21" s="1833"/>
      <c r="R21" s="1833"/>
      <c r="S21" s="1833"/>
      <c r="T21" s="1833"/>
      <c r="U21" s="1833"/>
      <c r="V21" s="865"/>
      <c r="W21" s="865"/>
      <c r="X21" s="865"/>
      <c r="Y21" s="865"/>
      <c r="Z21" s="865"/>
      <c r="AA21" s="865"/>
      <c r="AB21" s="865"/>
      <c r="AC21" s="865"/>
      <c r="AD21" s="865"/>
      <c r="AE21" s="865"/>
      <c r="AF21" s="865"/>
      <c r="AG21" s="865"/>
      <c r="AH21" s="865"/>
      <c r="AI21" s="865"/>
      <c r="AJ21" s="865"/>
      <c r="AK21" s="865"/>
      <c r="AL21" s="865"/>
      <c r="AM21" s="865"/>
    </row>
    <row r="22" spans="1:39" ht="20.25" customHeight="1">
      <c r="A22" s="867" t="s">
        <v>3500</v>
      </c>
      <c r="B22" s="867"/>
      <c r="C22" s="867"/>
      <c r="D22" s="867"/>
      <c r="E22" s="867"/>
      <c r="F22" s="867"/>
      <c r="G22" s="867"/>
      <c r="H22" s="867"/>
      <c r="I22" s="867"/>
      <c r="J22" s="867"/>
      <c r="K22" s="867"/>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row>
    <row r="23" spans="1:39" s="863" customFormat="1" ht="18.75" customHeight="1">
      <c r="B23" s="863" t="s">
        <v>3498</v>
      </c>
      <c r="K23" s="1831" t="str">
        <f>cst_wskakunin_owner5__space_KANA</f>
        <v/>
      </c>
      <c r="L23" s="1831"/>
      <c r="M23" s="1831"/>
      <c r="N23" s="1831"/>
      <c r="O23" s="1831"/>
      <c r="P23" s="1831"/>
      <c r="Q23" s="1831"/>
      <c r="R23" s="1831"/>
      <c r="S23" s="1831"/>
      <c r="T23" s="1831"/>
      <c r="U23" s="1831"/>
      <c r="V23" s="1831"/>
      <c r="W23" s="1831"/>
      <c r="X23" s="1831"/>
      <c r="Y23" s="1831"/>
      <c r="Z23" s="1831"/>
      <c r="AA23" s="1831"/>
      <c r="AB23" s="1831"/>
      <c r="AC23" s="1831"/>
      <c r="AD23" s="1831"/>
      <c r="AE23" s="1831"/>
      <c r="AF23" s="1831"/>
      <c r="AG23" s="1831"/>
      <c r="AH23" s="1831"/>
      <c r="AI23" s="1831"/>
      <c r="AJ23" s="1831"/>
      <c r="AK23" s="1831"/>
      <c r="AL23" s="1831"/>
      <c r="AM23" s="1831"/>
    </row>
    <row r="24" spans="1:39" s="863" customFormat="1" ht="18.75" customHeight="1">
      <c r="B24" s="863" t="s">
        <v>3492</v>
      </c>
      <c r="K24" s="1831" t="str">
        <f>cst_wskakunin_owner5__space</f>
        <v/>
      </c>
      <c r="L24" s="1831"/>
      <c r="M24" s="1831"/>
      <c r="N24" s="1831"/>
      <c r="O24" s="1831"/>
      <c r="P24" s="1831"/>
      <c r="Q24" s="1831"/>
      <c r="R24" s="1831"/>
      <c r="S24" s="1831"/>
      <c r="T24" s="1831"/>
      <c r="U24" s="1831"/>
      <c r="V24" s="1831"/>
      <c r="W24" s="1831"/>
      <c r="X24" s="1831"/>
      <c r="Y24" s="1831"/>
      <c r="Z24" s="1831"/>
      <c r="AA24" s="1831"/>
      <c r="AB24" s="1831"/>
      <c r="AC24" s="1831"/>
      <c r="AD24" s="1831"/>
      <c r="AE24" s="1831"/>
      <c r="AF24" s="1831"/>
      <c r="AG24" s="1831"/>
      <c r="AH24" s="1831"/>
      <c r="AI24" s="1831"/>
      <c r="AJ24" s="1831"/>
      <c r="AK24" s="1831"/>
      <c r="AL24" s="1831"/>
      <c r="AM24" s="1831"/>
    </row>
    <row r="25" spans="1:39" s="863" customFormat="1" ht="18.75" customHeight="1">
      <c r="B25" s="863" t="s">
        <v>553</v>
      </c>
      <c r="K25" s="1831" t="str">
        <f>cst_wskakunin_owner5_ZIP</f>
        <v/>
      </c>
      <c r="L25" s="1831"/>
      <c r="M25" s="1831"/>
      <c r="N25" s="1831"/>
      <c r="O25" s="1831"/>
      <c r="P25" s="1831"/>
      <c r="Q25" s="862"/>
      <c r="R25" s="862"/>
      <c r="S25" s="862"/>
      <c r="T25" s="862"/>
      <c r="U25" s="862"/>
      <c r="V25" s="862"/>
      <c r="W25" s="862"/>
      <c r="X25" s="862"/>
      <c r="Y25" s="862"/>
      <c r="Z25" s="862"/>
      <c r="AA25" s="862"/>
      <c r="AB25" s="862"/>
      <c r="AC25" s="862"/>
      <c r="AD25" s="862"/>
      <c r="AE25" s="862"/>
      <c r="AF25" s="862"/>
      <c r="AG25" s="862"/>
      <c r="AH25" s="862"/>
      <c r="AI25" s="862"/>
      <c r="AJ25" s="862"/>
      <c r="AK25" s="862"/>
      <c r="AL25" s="862"/>
      <c r="AM25" s="862"/>
    </row>
    <row r="26" spans="1:39" s="863" customFormat="1" ht="18.75" customHeight="1">
      <c r="B26" s="863" t="s">
        <v>3497</v>
      </c>
      <c r="K26" s="1831" t="str">
        <f>cst_wskakunin_owner5__address</f>
        <v/>
      </c>
      <c r="L26" s="1831"/>
      <c r="M26" s="1831"/>
      <c r="N26" s="1831"/>
      <c r="O26" s="1831"/>
      <c r="P26" s="1831"/>
      <c r="Q26" s="1831"/>
      <c r="R26" s="1831"/>
      <c r="S26" s="1831"/>
      <c r="T26" s="1831"/>
      <c r="U26" s="1831"/>
      <c r="V26" s="1831"/>
      <c r="W26" s="1831"/>
      <c r="X26" s="1831"/>
      <c r="Y26" s="1831"/>
      <c r="Z26" s="1831"/>
      <c r="AA26" s="1831"/>
      <c r="AB26" s="1831"/>
      <c r="AC26" s="1831"/>
      <c r="AD26" s="1831"/>
      <c r="AE26" s="1831"/>
      <c r="AF26" s="1831"/>
      <c r="AG26" s="1831"/>
      <c r="AH26" s="1831"/>
      <c r="AI26" s="1831"/>
      <c r="AJ26" s="1831"/>
      <c r="AK26" s="1831"/>
      <c r="AL26" s="1831"/>
      <c r="AM26" s="1831"/>
    </row>
    <row r="27" spans="1:39" s="863" customFormat="1" ht="18.75" customHeight="1">
      <c r="A27" s="864"/>
      <c r="B27" s="864" t="s">
        <v>555</v>
      </c>
      <c r="C27" s="864"/>
      <c r="D27" s="864"/>
      <c r="E27" s="864"/>
      <c r="F27" s="864"/>
      <c r="G27" s="864"/>
      <c r="H27" s="864"/>
      <c r="I27" s="864"/>
      <c r="J27" s="864"/>
      <c r="K27" s="1833" t="str">
        <f>cst_wskakunin_owner5_TEL</f>
        <v/>
      </c>
      <c r="L27" s="1833"/>
      <c r="M27" s="1833"/>
      <c r="N27" s="1833"/>
      <c r="O27" s="1833"/>
      <c r="P27" s="1833"/>
      <c r="Q27" s="1833"/>
      <c r="R27" s="1833"/>
      <c r="S27" s="1833"/>
      <c r="T27" s="1833"/>
      <c r="U27" s="1833"/>
      <c r="V27" s="865"/>
      <c r="W27" s="865"/>
      <c r="X27" s="865"/>
      <c r="Y27" s="865"/>
      <c r="Z27" s="865"/>
      <c r="AA27" s="865"/>
      <c r="AB27" s="865"/>
      <c r="AC27" s="865"/>
      <c r="AD27" s="865"/>
      <c r="AE27" s="865"/>
      <c r="AF27" s="865"/>
      <c r="AG27" s="865"/>
      <c r="AH27" s="865"/>
      <c r="AI27" s="865"/>
      <c r="AJ27" s="865"/>
      <c r="AK27" s="865"/>
      <c r="AL27" s="865"/>
      <c r="AM27" s="865"/>
    </row>
    <row r="28" spans="1:39" ht="20.25" customHeight="1">
      <c r="A28" s="867" t="s">
        <v>3500</v>
      </c>
      <c r="B28" s="867"/>
      <c r="C28" s="867"/>
      <c r="D28" s="867"/>
      <c r="E28" s="867"/>
      <c r="F28" s="867"/>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867"/>
      <c r="AM28" s="867"/>
    </row>
    <row r="29" spans="1:39" s="863" customFormat="1" ht="18.75" customHeight="1">
      <c r="B29" s="863" t="s">
        <v>3498</v>
      </c>
      <c r="K29" s="1831" t="str">
        <f>cst_wskakunin_owner6__space_KANA</f>
        <v/>
      </c>
      <c r="L29" s="1831"/>
      <c r="M29" s="1831"/>
      <c r="N29" s="1831"/>
      <c r="O29" s="1831"/>
      <c r="P29" s="1831"/>
      <c r="Q29" s="1831"/>
      <c r="R29" s="1831"/>
      <c r="S29" s="1831"/>
      <c r="T29" s="1831"/>
      <c r="U29" s="1831"/>
      <c r="V29" s="1831"/>
      <c r="W29" s="1831"/>
      <c r="X29" s="1831"/>
      <c r="Y29" s="1831"/>
      <c r="Z29" s="1831"/>
      <c r="AA29" s="1831"/>
      <c r="AB29" s="1831"/>
      <c r="AC29" s="1831"/>
      <c r="AD29" s="1831"/>
      <c r="AE29" s="1831"/>
      <c r="AF29" s="1831"/>
      <c r="AG29" s="1831"/>
      <c r="AH29" s="1831"/>
      <c r="AI29" s="1831"/>
      <c r="AJ29" s="1831"/>
      <c r="AK29" s="1831"/>
      <c r="AL29" s="1831"/>
      <c r="AM29" s="1831"/>
    </row>
    <row r="30" spans="1:39" s="863" customFormat="1" ht="18.75" customHeight="1">
      <c r="B30" s="863" t="s">
        <v>3492</v>
      </c>
      <c r="K30" s="1831" t="str">
        <f>cst_wskakunin_owner6__space</f>
        <v/>
      </c>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s="863" customFormat="1" ht="18.75" customHeight="1">
      <c r="B31" s="863" t="s">
        <v>553</v>
      </c>
      <c r="K31" s="1831" t="str">
        <f>cst_wskakunin_owner6_ZIP</f>
        <v/>
      </c>
      <c r="L31" s="1831"/>
      <c r="M31" s="1831"/>
      <c r="N31" s="1831"/>
      <c r="O31" s="1831"/>
      <c r="P31" s="1831"/>
      <c r="Q31" s="862"/>
      <c r="R31" s="862"/>
      <c r="S31" s="862"/>
      <c r="T31" s="862"/>
      <c r="U31" s="862"/>
      <c r="V31" s="862"/>
      <c r="W31" s="862"/>
      <c r="X31" s="862"/>
      <c r="Y31" s="862"/>
      <c r="Z31" s="862"/>
      <c r="AA31" s="862"/>
      <c r="AB31" s="862"/>
      <c r="AC31" s="862"/>
      <c r="AD31" s="862"/>
      <c r="AE31" s="862"/>
      <c r="AF31" s="862"/>
      <c r="AG31" s="862"/>
      <c r="AH31" s="862"/>
      <c r="AI31" s="862"/>
      <c r="AJ31" s="862"/>
      <c r="AK31" s="862"/>
      <c r="AL31" s="862"/>
      <c r="AM31" s="862"/>
    </row>
    <row r="32" spans="1:39" s="863" customFormat="1" ht="18.75" customHeight="1">
      <c r="B32" s="863" t="s">
        <v>3497</v>
      </c>
      <c r="K32" s="1831" t="str">
        <f>cst_wskakunin_owner6__address</f>
        <v/>
      </c>
      <c r="L32" s="1831"/>
      <c r="M32" s="1831"/>
      <c r="N32" s="1831"/>
      <c r="O32" s="1831"/>
      <c r="P32" s="1831"/>
      <c r="Q32" s="1831"/>
      <c r="R32" s="1831"/>
      <c r="S32" s="1831"/>
      <c r="T32" s="1831"/>
      <c r="U32" s="1831"/>
      <c r="V32" s="1831"/>
      <c r="W32" s="1831"/>
      <c r="X32" s="1831"/>
      <c r="Y32" s="1831"/>
      <c r="Z32" s="1831"/>
      <c r="AA32" s="1831"/>
      <c r="AB32" s="1831"/>
      <c r="AC32" s="1831"/>
      <c r="AD32" s="1831"/>
      <c r="AE32" s="1831"/>
      <c r="AF32" s="1831"/>
      <c r="AG32" s="1831"/>
      <c r="AH32" s="1831"/>
      <c r="AI32" s="1831"/>
      <c r="AJ32" s="1831"/>
      <c r="AK32" s="1831"/>
      <c r="AL32" s="1831"/>
      <c r="AM32" s="1831"/>
    </row>
    <row r="33" spans="1:39" s="863" customFormat="1" ht="18.75" customHeight="1">
      <c r="A33" s="864"/>
      <c r="B33" s="864" t="s">
        <v>555</v>
      </c>
      <c r="C33" s="864"/>
      <c r="D33" s="864"/>
      <c r="E33" s="864"/>
      <c r="F33" s="864"/>
      <c r="G33" s="864"/>
      <c r="H33" s="864"/>
      <c r="I33" s="864"/>
      <c r="J33" s="864"/>
      <c r="K33" s="1833" t="str">
        <f>cst_wskakunin_owner6_TEL</f>
        <v/>
      </c>
      <c r="L33" s="1833"/>
      <c r="M33" s="1833"/>
      <c r="N33" s="1833"/>
      <c r="O33" s="1833"/>
      <c r="P33" s="1833"/>
      <c r="Q33" s="1833"/>
      <c r="R33" s="1833"/>
      <c r="S33" s="1833"/>
      <c r="T33" s="1833"/>
      <c r="U33" s="1833"/>
      <c r="V33" s="865"/>
      <c r="W33" s="865"/>
      <c r="X33" s="865"/>
      <c r="Y33" s="865"/>
      <c r="Z33" s="865"/>
      <c r="AA33" s="865"/>
      <c r="AB33" s="865"/>
      <c r="AC33" s="865"/>
      <c r="AD33" s="865"/>
      <c r="AE33" s="865"/>
      <c r="AF33" s="865"/>
      <c r="AG33" s="865"/>
      <c r="AH33" s="865"/>
      <c r="AI33" s="865"/>
      <c r="AJ33" s="865"/>
      <c r="AK33" s="865"/>
      <c r="AL33" s="865"/>
      <c r="AM33" s="865"/>
    </row>
    <row r="34" spans="1:39" ht="20.25" customHeight="1">
      <c r="A34" s="867" t="s">
        <v>3500</v>
      </c>
      <c r="B34" s="867"/>
      <c r="C34" s="867"/>
      <c r="D34" s="867"/>
      <c r="E34" s="867"/>
      <c r="F34" s="867"/>
      <c r="G34" s="867"/>
      <c r="H34" s="867"/>
      <c r="I34" s="867"/>
      <c r="J34" s="867"/>
      <c r="K34" s="867"/>
      <c r="L34" s="867"/>
      <c r="M34" s="867"/>
      <c r="N34" s="867"/>
      <c r="O34" s="867"/>
      <c r="P34" s="867"/>
      <c r="Q34" s="867"/>
      <c r="R34" s="867"/>
      <c r="S34" s="867"/>
      <c r="T34" s="867"/>
      <c r="U34" s="867"/>
      <c r="V34" s="867"/>
      <c r="W34" s="867"/>
      <c r="X34" s="867"/>
      <c r="Y34" s="867"/>
      <c r="Z34" s="867"/>
      <c r="AA34" s="867"/>
      <c r="AB34" s="867"/>
      <c r="AC34" s="867"/>
      <c r="AD34" s="867"/>
      <c r="AE34" s="867"/>
      <c r="AF34" s="867"/>
      <c r="AG34" s="867"/>
      <c r="AH34" s="867"/>
      <c r="AI34" s="867"/>
      <c r="AJ34" s="867"/>
      <c r="AK34" s="867"/>
      <c r="AL34" s="867"/>
      <c r="AM34" s="867"/>
    </row>
    <row r="35" spans="1:39" s="863" customFormat="1" ht="18.75" customHeight="1">
      <c r="B35" s="863" t="s">
        <v>3498</v>
      </c>
      <c r="K35" s="1831" t="str">
        <f>cst_wskakunin_owner7__space_KANA</f>
        <v/>
      </c>
      <c r="L35" s="1831"/>
      <c r="M35" s="1831"/>
      <c r="N35" s="1831"/>
      <c r="O35" s="1831"/>
      <c r="P35" s="1831"/>
      <c r="Q35" s="1831"/>
      <c r="R35" s="1831"/>
      <c r="S35" s="1831"/>
      <c r="T35" s="1831"/>
      <c r="U35" s="1831"/>
      <c r="V35" s="1831"/>
      <c r="W35" s="1831"/>
      <c r="X35" s="1831"/>
      <c r="Y35" s="1831"/>
      <c r="Z35" s="1831"/>
      <c r="AA35" s="1831"/>
      <c r="AB35" s="1831"/>
      <c r="AC35" s="1831"/>
      <c r="AD35" s="1831"/>
      <c r="AE35" s="1831"/>
      <c r="AF35" s="1831"/>
      <c r="AG35" s="1831"/>
      <c r="AH35" s="1831"/>
      <c r="AI35" s="1831"/>
      <c r="AJ35" s="1831"/>
      <c r="AK35" s="1831"/>
      <c r="AL35" s="1831"/>
      <c r="AM35" s="1831"/>
    </row>
    <row r="36" spans="1:39" s="863" customFormat="1" ht="18.75" customHeight="1">
      <c r="B36" s="863" t="s">
        <v>3492</v>
      </c>
      <c r="K36" s="1831" t="str">
        <f>cst_wskakunin_owner7__space</f>
        <v/>
      </c>
      <c r="L36" s="1831"/>
      <c r="M36" s="1831"/>
      <c r="N36" s="1831"/>
      <c r="O36" s="1831"/>
      <c r="P36" s="1831"/>
      <c r="Q36" s="1831"/>
      <c r="R36" s="1831"/>
      <c r="S36" s="1831"/>
      <c r="T36" s="1831"/>
      <c r="U36" s="1831"/>
      <c r="V36" s="1831"/>
      <c r="W36" s="1831"/>
      <c r="X36" s="1831"/>
      <c r="Y36" s="1831"/>
      <c r="Z36" s="1831"/>
      <c r="AA36" s="1831"/>
      <c r="AB36" s="1831"/>
      <c r="AC36" s="1831"/>
      <c r="AD36" s="1831"/>
      <c r="AE36" s="1831"/>
      <c r="AF36" s="1831"/>
      <c r="AG36" s="1831"/>
      <c r="AH36" s="1831"/>
      <c r="AI36" s="1831"/>
      <c r="AJ36" s="1831"/>
      <c r="AK36" s="1831"/>
      <c r="AL36" s="1831"/>
      <c r="AM36" s="1831"/>
    </row>
    <row r="37" spans="1:39" s="863" customFormat="1" ht="18.75" customHeight="1">
      <c r="B37" s="863" t="s">
        <v>553</v>
      </c>
      <c r="K37" s="1831" t="str">
        <f>cst_wskakunin_owner7_ZIP</f>
        <v/>
      </c>
      <c r="L37" s="1831"/>
      <c r="M37" s="1831"/>
      <c r="N37" s="1831"/>
      <c r="O37" s="1831"/>
      <c r="P37" s="1831"/>
      <c r="Q37" s="862"/>
      <c r="R37" s="862"/>
      <c r="S37" s="862"/>
      <c r="T37" s="862"/>
      <c r="U37" s="862"/>
      <c r="V37" s="862"/>
      <c r="W37" s="862"/>
      <c r="X37" s="862"/>
      <c r="Y37" s="862"/>
      <c r="Z37" s="862"/>
      <c r="AA37" s="862"/>
      <c r="AB37" s="862"/>
      <c r="AC37" s="862"/>
      <c r="AD37" s="862"/>
      <c r="AE37" s="862"/>
      <c r="AF37" s="862"/>
      <c r="AG37" s="862"/>
      <c r="AH37" s="862"/>
      <c r="AI37" s="862"/>
      <c r="AJ37" s="862"/>
      <c r="AK37" s="862"/>
      <c r="AL37" s="862"/>
      <c r="AM37" s="862"/>
    </row>
    <row r="38" spans="1:39" s="863" customFormat="1" ht="18.75" customHeight="1">
      <c r="B38" s="863" t="s">
        <v>3497</v>
      </c>
      <c r="K38" s="1831" t="str">
        <f>cst_wskakunin_owner7__address</f>
        <v/>
      </c>
      <c r="L38" s="1831"/>
      <c r="M38" s="1831"/>
      <c r="N38" s="1831"/>
      <c r="O38" s="1831"/>
      <c r="P38" s="1831"/>
      <c r="Q38" s="1831"/>
      <c r="R38" s="1831"/>
      <c r="S38" s="1831"/>
      <c r="T38" s="1831"/>
      <c r="U38" s="1831"/>
      <c r="V38" s="1831"/>
      <c r="W38" s="1831"/>
      <c r="X38" s="1831"/>
      <c r="Y38" s="1831"/>
      <c r="Z38" s="1831"/>
      <c r="AA38" s="1831"/>
      <c r="AB38" s="1831"/>
      <c r="AC38" s="1831"/>
      <c r="AD38" s="1831"/>
      <c r="AE38" s="1831"/>
      <c r="AF38" s="1831"/>
      <c r="AG38" s="1831"/>
      <c r="AH38" s="1831"/>
      <c r="AI38" s="1831"/>
      <c r="AJ38" s="1831"/>
      <c r="AK38" s="1831"/>
      <c r="AL38" s="1831"/>
      <c r="AM38" s="1831"/>
    </row>
    <row r="39" spans="1:39" s="863" customFormat="1" ht="18.75" customHeight="1">
      <c r="A39" s="864"/>
      <c r="B39" s="864" t="s">
        <v>555</v>
      </c>
      <c r="C39" s="864"/>
      <c r="D39" s="864"/>
      <c r="E39" s="864"/>
      <c r="F39" s="864"/>
      <c r="G39" s="864"/>
      <c r="H39" s="864"/>
      <c r="I39" s="864"/>
      <c r="J39" s="864"/>
      <c r="K39" s="1833" t="str">
        <f>cst_wskakunin_owner7_TEL</f>
        <v/>
      </c>
      <c r="L39" s="1833"/>
      <c r="M39" s="1833"/>
      <c r="N39" s="1833"/>
      <c r="O39" s="1833"/>
      <c r="P39" s="1833"/>
      <c r="Q39" s="1833"/>
      <c r="R39" s="1833"/>
      <c r="S39" s="1833"/>
      <c r="T39" s="1833"/>
      <c r="U39" s="1833"/>
      <c r="V39" s="865"/>
      <c r="W39" s="865"/>
      <c r="X39" s="865"/>
      <c r="Y39" s="865"/>
      <c r="Z39" s="865"/>
      <c r="AA39" s="865"/>
      <c r="AB39" s="865"/>
      <c r="AC39" s="865"/>
      <c r="AD39" s="865"/>
      <c r="AE39" s="865"/>
      <c r="AF39" s="865"/>
      <c r="AG39" s="865"/>
      <c r="AH39" s="865"/>
      <c r="AI39" s="865"/>
      <c r="AJ39" s="865"/>
      <c r="AK39" s="865"/>
      <c r="AL39" s="865"/>
      <c r="AM39" s="865"/>
    </row>
    <row r="40" spans="1:39" ht="20.25" customHeight="1">
      <c r="A40" s="867" t="s">
        <v>3500</v>
      </c>
      <c r="B40" s="867"/>
      <c r="C40" s="867"/>
      <c r="D40" s="867"/>
      <c r="E40" s="867"/>
      <c r="F40" s="867"/>
      <c r="G40" s="867"/>
      <c r="H40" s="867"/>
      <c r="I40" s="867"/>
      <c r="J40" s="867"/>
      <c r="K40" s="867"/>
      <c r="L40" s="867"/>
      <c r="M40" s="867"/>
      <c r="N40" s="867"/>
      <c r="O40" s="867"/>
      <c r="P40" s="867"/>
      <c r="Q40" s="867"/>
      <c r="R40" s="867"/>
      <c r="S40" s="867"/>
      <c r="T40" s="867"/>
      <c r="U40" s="867"/>
      <c r="V40" s="867"/>
      <c r="W40" s="867"/>
      <c r="X40" s="867"/>
      <c r="Y40" s="867"/>
      <c r="Z40" s="867"/>
      <c r="AA40" s="867"/>
      <c r="AB40" s="867"/>
      <c r="AC40" s="867"/>
      <c r="AD40" s="867"/>
      <c r="AE40" s="867"/>
      <c r="AF40" s="867"/>
      <c r="AG40" s="867"/>
      <c r="AH40" s="867"/>
      <c r="AI40" s="867"/>
      <c r="AJ40" s="867"/>
      <c r="AK40" s="867"/>
      <c r="AL40" s="867"/>
      <c r="AM40" s="867"/>
    </row>
    <row r="41" spans="1:39" s="863" customFormat="1" ht="18.75" customHeight="1">
      <c r="B41" s="863" t="s">
        <v>3498</v>
      </c>
      <c r="K41" s="1831" t="str">
        <f>cst_wskakunin_owner8__space_KANA</f>
        <v/>
      </c>
      <c r="L41" s="1831"/>
      <c r="M41" s="1831"/>
      <c r="N41" s="1831"/>
      <c r="O41" s="1831"/>
      <c r="P41" s="1831"/>
      <c r="Q41" s="1831"/>
      <c r="R41" s="1831"/>
      <c r="S41" s="1831"/>
      <c r="T41" s="1831"/>
      <c r="U41" s="1831"/>
      <c r="V41" s="1831"/>
      <c r="W41" s="1831"/>
      <c r="X41" s="1831"/>
      <c r="Y41" s="1831"/>
      <c r="Z41" s="1831"/>
      <c r="AA41" s="1831"/>
      <c r="AB41" s="1831"/>
      <c r="AC41" s="1831"/>
      <c r="AD41" s="1831"/>
      <c r="AE41" s="1831"/>
      <c r="AF41" s="1831"/>
      <c r="AG41" s="1831"/>
      <c r="AH41" s="1831"/>
      <c r="AI41" s="1831"/>
      <c r="AJ41" s="1831"/>
      <c r="AK41" s="1831"/>
      <c r="AL41" s="1831"/>
      <c r="AM41" s="1831"/>
    </row>
    <row r="42" spans="1:39" s="863" customFormat="1" ht="18.75" customHeight="1">
      <c r="B42" s="863" t="s">
        <v>3492</v>
      </c>
      <c r="K42" s="1831" t="str">
        <f>cst_wskakunin_owner8__space</f>
        <v/>
      </c>
      <c r="L42" s="1831"/>
      <c r="M42" s="1831"/>
      <c r="N42" s="1831"/>
      <c r="O42" s="1831"/>
      <c r="P42" s="1831"/>
      <c r="Q42" s="1831"/>
      <c r="R42" s="1831"/>
      <c r="S42" s="1831"/>
      <c r="T42" s="1831"/>
      <c r="U42" s="1831"/>
      <c r="V42" s="1831"/>
      <c r="W42" s="1831"/>
      <c r="X42" s="1831"/>
      <c r="Y42" s="1831"/>
      <c r="Z42" s="1831"/>
      <c r="AA42" s="1831"/>
      <c r="AB42" s="1831"/>
      <c r="AC42" s="1831"/>
      <c r="AD42" s="1831"/>
      <c r="AE42" s="1831"/>
      <c r="AF42" s="1831"/>
      <c r="AG42" s="1831"/>
      <c r="AH42" s="1831"/>
      <c r="AI42" s="1831"/>
      <c r="AJ42" s="1831"/>
      <c r="AK42" s="1831"/>
      <c r="AL42" s="1831"/>
      <c r="AM42" s="1831"/>
    </row>
    <row r="43" spans="1:39" s="863" customFormat="1" ht="18.75" customHeight="1">
      <c r="B43" s="863" t="s">
        <v>553</v>
      </c>
      <c r="K43" s="1831" t="str">
        <f>cst_wskakunin_owner8_ZIP</f>
        <v/>
      </c>
      <c r="L43" s="1831"/>
      <c r="M43" s="1831"/>
      <c r="N43" s="1831"/>
      <c r="O43" s="1831"/>
      <c r="P43" s="1831"/>
      <c r="Q43" s="862"/>
      <c r="R43" s="862"/>
      <c r="S43" s="862"/>
      <c r="T43" s="862"/>
      <c r="U43" s="862"/>
      <c r="V43" s="862"/>
      <c r="W43" s="862"/>
      <c r="X43" s="862"/>
      <c r="Y43" s="862"/>
      <c r="Z43" s="862"/>
      <c r="AA43" s="862"/>
      <c r="AB43" s="862"/>
      <c r="AC43" s="862"/>
      <c r="AD43" s="862"/>
      <c r="AE43" s="862"/>
      <c r="AF43" s="862"/>
      <c r="AG43" s="862"/>
      <c r="AH43" s="862"/>
      <c r="AI43" s="862"/>
      <c r="AJ43" s="862"/>
      <c r="AK43" s="862"/>
      <c r="AL43" s="862"/>
      <c r="AM43" s="862"/>
    </row>
    <row r="44" spans="1:39" s="863" customFormat="1" ht="18.75" customHeight="1">
      <c r="B44" s="863" t="s">
        <v>3497</v>
      </c>
      <c r="K44" s="1831" t="str">
        <f>cst_wskakunin_owner8__address</f>
        <v/>
      </c>
      <c r="L44" s="1831"/>
      <c r="M44" s="1831"/>
      <c r="N44" s="1831"/>
      <c r="O44" s="1831"/>
      <c r="P44" s="1831"/>
      <c r="Q44" s="1831"/>
      <c r="R44" s="1831"/>
      <c r="S44" s="1831"/>
      <c r="T44" s="1831"/>
      <c r="U44" s="1831"/>
      <c r="V44" s="1831"/>
      <c r="W44" s="1831"/>
      <c r="X44" s="1831"/>
      <c r="Y44" s="1831"/>
      <c r="Z44" s="1831"/>
      <c r="AA44" s="1831"/>
      <c r="AB44" s="1831"/>
      <c r="AC44" s="1831"/>
      <c r="AD44" s="1831"/>
      <c r="AE44" s="1831"/>
      <c r="AF44" s="1831"/>
      <c r="AG44" s="1831"/>
      <c r="AH44" s="1831"/>
      <c r="AI44" s="1831"/>
      <c r="AJ44" s="1831"/>
      <c r="AK44" s="1831"/>
      <c r="AL44" s="1831"/>
      <c r="AM44" s="1831"/>
    </row>
    <row r="45" spans="1:39" s="863" customFormat="1" ht="18.75" customHeight="1">
      <c r="A45" s="864"/>
      <c r="B45" s="864" t="s">
        <v>555</v>
      </c>
      <c r="C45" s="864"/>
      <c r="D45" s="864"/>
      <c r="E45" s="864"/>
      <c r="F45" s="864"/>
      <c r="G45" s="864"/>
      <c r="H45" s="864"/>
      <c r="I45" s="864"/>
      <c r="J45" s="864"/>
      <c r="K45" s="1833" t="str">
        <f>cst_wskakunin_owner8_TEL</f>
        <v/>
      </c>
      <c r="L45" s="1833"/>
      <c r="M45" s="1833"/>
      <c r="N45" s="1833"/>
      <c r="O45" s="1833"/>
      <c r="P45" s="1833"/>
      <c r="Q45" s="1833"/>
      <c r="R45" s="1833"/>
      <c r="S45" s="1833"/>
      <c r="T45" s="1833"/>
      <c r="U45" s="1833"/>
      <c r="V45" s="865"/>
      <c r="W45" s="865"/>
      <c r="X45" s="865"/>
      <c r="Y45" s="865"/>
      <c r="Z45" s="865"/>
      <c r="AA45" s="865"/>
      <c r="AB45" s="865"/>
      <c r="AC45" s="865"/>
      <c r="AD45" s="865"/>
      <c r="AE45" s="865"/>
      <c r="AF45" s="865"/>
      <c r="AG45" s="865"/>
      <c r="AH45" s="865"/>
      <c r="AI45" s="865"/>
      <c r="AJ45" s="865"/>
      <c r="AK45" s="865"/>
      <c r="AL45" s="865"/>
      <c r="AM45" s="865"/>
    </row>
  </sheetData>
  <mergeCells count="35">
    <mergeCell ref="K45:U45"/>
    <mergeCell ref="K21:U21"/>
    <mergeCell ref="K27:U27"/>
    <mergeCell ref="K33:U33"/>
    <mergeCell ref="K39:U39"/>
    <mergeCell ref="K42:AM42"/>
    <mergeCell ref="K41:AM41"/>
    <mergeCell ref="K26:AM26"/>
    <mergeCell ref="K31:P31"/>
    <mergeCell ref="K35:AM35"/>
    <mergeCell ref="K29:AM29"/>
    <mergeCell ref="K30:AM30"/>
    <mergeCell ref="K25:P25"/>
    <mergeCell ref="K23:AM23"/>
    <mergeCell ref="K24:AM24"/>
    <mergeCell ref="K5:AM5"/>
    <mergeCell ref="K6:AM6"/>
    <mergeCell ref="K7:P7"/>
    <mergeCell ref="K19:P19"/>
    <mergeCell ref="K17:AM17"/>
    <mergeCell ref="K15:U15"/>
    <mergeCell ref="K14:AM14"/>
    <mergeCell ref="K8:AM8"/>
    <mergeCell ref="K9:U9"/>
    <mergeCell ref="K11:AM11"/>
    <mergeCell ref="K13:P13"/>
    <mergeCell ref="K12:AM12"/>
    <mergeCell ref="K18:AM18"/>
    <mergeCell ref="K20:AM20"/>
    <mergeCell ref="K44:AM44"/>
    <mergeCell ref="K37:P37"/>
    <mergeCell ref="K38:AM38"/>
    <mergeCell ref="K36:AM36"/>
    <mergeCell ref="K32:AM32"/>
    <mergeCell ref="K43:P43"/>
  </mergeCells>
  <phoneticPr fontId="122"/>
  <dataValidations count="1">
    <dataValidation allowBlank="1" showInputMessage="1" sqref="K5:AM5 K11:AM11 K17:AM17 K23:AM23 K29:AM29 K35:AM35 K41:AM41" xr:uid="{00000000-0002-0000-1E00-000000000000}"/>
  </dataValidations>
  <pageMargins left="0.98425196850393704" right="0.78740157480314965" top="0.59055118110236227" bottom="0.39370078740157483" header="0.51181102362204722" footer="0.51181102362204722"/>
  <pageSetup paperSize="9" orientation="portrait" blackAndWhite="1"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2"/>
  <sheetViews>
    <sheetView zoomScaleNormal="100" workbookViewId="0"/>
  </sheetViews>
  <sheetFormatPr defaultColWidth="9" defaultRowHeight="20.100000000000001" customHeight="1"/>
  <cols>
    <col min="1" max="1" width="1.6640625" style="862" customWidth="1"/>
    <col min="2" max="2" width="2.44140625" style="862" customWidth="1"/>
    <col min="3" max="3" width="83.109375" style="862" customWidth="1"/>
    <col min="4" max="4" width="9" style="862" customWidth="1"/>
    <col min="5" max="16384" width="9" style="862"/>
  </cols>
  <sheetData>
    <row r="1" spans="1:3" ht="15" customHeight="1">
      <c r="A1" s="862" t="s">
        <v>2676</v>
      </c>
    </row>
    <row r="2" spans="1:3" ht="15" customHeight="1">
      <c r="A2" s="862" t="s">
        <v>3522</v>
      </c>
      <c r="B2" s="873"/>
      <c r="C2" s="873"/>
    </row>
    <row r="3" spans="1:3" ht="39" customHeight="1">
      <c r="B3" s="873" t="s">
        <v>2677</v>
      </c>
      <c r="C3" s="872" t="s">
        <v>3521</v>
      </c>
    </row>
    <row r="4" spans="1:3" ht="15" customHeight="1">
      <c r="B4" s="872" t="s">
        <v>3520</v>
      </c>
      <c r="C4" s="872" t="s">
        <v>3519</v>
      </c>
    </row>
    <row r="5" spans="1:3" ht="15" customHeight="1">
      <c r="A5" s="862" t="s">
        <v>3518</v>
      </c>
      <c r="B5" s="873"/>
      <c r="C5" s="873"/>
    </row>
    <row r="6" spans="1:3" ht="27" customHeight="1">
      <c r="B6" s="872" t="s">
        <v>3517</v>
      </c>
      <c r="C6" s="872" t="s">
        <v>3516</v>
      </c>
    </row>
    <row r="7" spans="1:3" ht="15" customHeight="1">
      <c r="B7" s="872" t="s">
        <v>3515</v>
      </c>
      <c r="C7" s="872" t="s">
        <v>3514</v>
      </c>
    </row>
    <row r="8" spans="1:3" ht="29.25" customHeight="1">
      <c r="B8" s="872" t="s">
        <v>3513</v>
      </c>
      <c r="C8" s="872" t="s">
        <v>3512</v>
      </c>
    </row>
    <row r="9" spans="1:3" ht="15.75" customHeight="1">
      <c r="B9" s="872" t="s">
        <v>3511</v>
      </c>
      <c r="C9" s="872" t="s">
        <v>3510</v>
      </c>
    </row>
    <row r="10" spans="1:3" ht="27" customHeight="1">
      <c r="B10" s="872" t="s">
        <v>3509</v>
      </c>
      <c r="C10" s="872" t="s">
        <v>3508</v>
      </c>
    </row>
    <row r="11" spans="1:3" ht="17.25" customHeight="1">
      <c r="B11" s="872" t="s">
        <v>3507</v>
      </c>
      <c r="C11" s="872" t="s">
        <v>3506</v>
      </c>
    </row>
    <row r="12" spans="1:3" ht="17.25" customHeight="1">
      <c r="B12" s="872" t="s">
        <v>3505</v>
      </c>
      <c r="C12" s="872" t="s">
        <v>3504</v>
      </c>
    </row>
  </sheetData>
  <phoneticPr fontId="122"/>
  <pageMargins left="0.98425196850393704" right="0.78740157480314965" top="0.59055118110236227" bottom="0.39370078740157483" header="0.51181102362204722" footer="0.51181102362204722"/>
  <pageSetup paperSize="9" scale="96" orientation="portrait" r:id="rId1"/>
  <colBreaks count="1" manualBreakCount="1">
    <brk id="3" max="37"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K60"/>
  <sheetViews>
    <sheetView zoomScaleNormal="100" zoomScaleSheetLayoutView="100" workbookViewId="0">
      <selection activeCell="AQ1" sqref="AQ1"/>
    </sheetView>
  </sheetViews>
  <sheetFormatPr defaultColWidth="2.109375" defaultRowHeight="16.5" customHeight="1"/>
  <cols>
    <col min="1" max="17" width="2.109375" style="902" customWidth="1"/>
    <col min="18" max="18" width="3.6640625" style="902" customWidth="1"/>
    <col min="19" max="19" width="2.109375" style="902" customWidth="1"/>
    <col min="20" max="16384" width="2.109375" style="902"/>
  </cols>
  <sheetData>
    <row r="1" spans="1:63" ht="16.5" customHeight="1">
      <c r="A1" s="902" t="s">
        <v>3573</v>
      </c>
    </row>
    <row r="2" spans="1:63" ht="16.5" customHeight="1">
      <c r="A2" s="934" t="s">
        <v>3572</v>
      </c>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row>
    <row r="4" spans="1:63" ht="16.5" customHeight="1">
      <c r="A4" s="902" t="s">
        <v>3571</v>
      </c>
      <c r="AT4" s="933"/>
      <c r="AU4" s="932"/>
      <c r="AV4" s="932"/>
      <c r="AW4" s="932"/>
      <c r="AX4" s="932"/>
      <c r="AY4" s="932"/>
      <c r="AZ4" s="932"/>
      <c r="BA4" s="932"/>
      <c r="BB4" s="932"/>
      <c r="BC4" s="932"/>
      <c r="BD4" s="932"/>
      <c r="BE4" s="932"/>
      <c r="BF4" s="932"/>
      <c r="BG4" s="932"/>
      <c r="BH4" s="932"/>
      <c r="BI4" s="932"/>
      <c r="BJ4" s="932"/>
      <c r="BK4" s="932"/>
    </row>
    <row r="5" spans="1:63" ht="16.5" customHeight="1">
      <c r="AT5" s="933"/>
      <c r="AU5" s="932"/>
      <c r="AV5" s="932"/>
      <c r="AW5" s="932"/>
      <c r="AX5" s="932"/>
      <c r="AY5" s="932"/>
      <c r="AZ5" s="932"/>
      <c r="BA5" s="932"/>
      <c r="BB5" s="932"/>
      <c r="BC5" s="932"/>
      <c r="BD5" s="932"/>
      <c r="BE5" s="932"/>
      <c r="BF5" s="932"/>
      <c r="BG5" s="932"/>
      <c r="BH5" s="932"/>
      <c r="BI5" s="932"/>
      <c r="BJ5" s="932"/>
      <c r="BK5" s="932"/>
    </row>
    <row r="6" spans="1:63" ht="16.5" customHeight="1">
      <c r="A6" s="902" t="s">
        <v>3267</v>
      </c>
      <c r="AT6" s="933"/>
      <c r="AU6" s="932"/>
      <c r="AV6" s="932"/>
      <c r="AW6" s="932"/>
      <c r="AX6" s="932"/>
      <c r="AY6" s="932"/>
      <c r="AZ6" s="932"/>
      <c r="BA6" s="932"/>
      <c r="BB6" s="932"/>
      <c r="BC6" s="932"/>
      <c r="BD6" s="932"/>
      <c r="BE6" s="932"/>
      <c r="BF6" s="932"/>
      <c r="BG6" s="932"/>
      <c r="BH6" s="932"/>
      <c r="BI6" s="932"/>
      <c r="BJ6" s="932"/>
      <c r="BK6" s="932"/>
    </row>
    <row r="7" spans="1:63" ht="16.5" customHeight="1">
      <c r="AT7" s="933"/>
      <c r="AU7" s="932"/>
      <c r="AV7" s="932"/>
      <c r="AW7" s="932"/>
      <c r="AX7" s="932"/>
      <c r="AY7" s="932"/>
      <c r="AZ7" s="932"/>
      <c r="BA7" s="932"/>
      <c r="BB7" s="932"/>
      <c r="BC7" s="932"/>
      <c r="BD7" s="932"/>
      <c r="BE7" s="932"/>
      <c r="BF7" s="932"/>
      <c r="BG7" s="932"/>
      <c r="BH7" s="932"/>
      <c r="BI7" s="932"/>
      <c r="BJ7" s="932"/>
      <c r="BK7" s="932"/>
    </row>
    <row r="8" spans="1:63" ht="16.5" customHeight="1">
      <c r="AT8" s="931"/>
      <c r="AU8" s="931"/>
      <c r="AV8" s="931"/>
      <c r="AW8" s="931"/>
      <c r="AX8" s="931"/>
      <c r="AY8" s="931"/>
      <c r="AZ8" s="931"/>
      <c r="BA8" s="931"/>
      <c r="BB8" s="931"/>
      <c r="BC8" s="931"/>
      <c r="BD8" s="931"/>
      <c r="BE8" s="931"/>
      <c r="BF8" s="931"/>
      <c r="BG8" s="931"/>
      <c r="BH8" s="931"/>
      <c r="BI8" s="931"/>
      <c r="BJ8" s="931"/>
      <c r="BK8" s="931"/>
    </row>
    <row r="9" spans="1:63" ht="16.5" customHeight="1">
      <c r="AF9" s="1855" t="s">
        <v>3276</v>
      </c>
      <c r="AG9" s="1855"/>
      <c r="AH9" s="1855"/>
      <c r="AI9" s="1855"/>
      <c r="AJ9" s="1855"/>
      <c r="AK9" s="1855"/>
      <c r="AL9" s="1855"/>
      <c r="AM9" s="1855"/>
      <c r="AN9" s="1855"/>
      <c r="AO9" s="1855"/>
      <c r="AP9" s="1855"/>
      <c r="AT9" s="931"/>
      <c r="AU9" s="931"/>
      <c r="AV9" s="931"/>
      <c r="AW9" s="931"/>
      <c r="AX9" s="931"/>
      <c r="AY9" s="931"/>
      <c r="AZ9" s="931"/>
      <c r="BA9" s="931"/>
      <c r="BB9" s="931"/>
      <c r="BC9" s="931"/>
      <c r="BD9" s="931"/>
      <c r="BE9" s="931"/>
      <c r="BF9" s="931"/>
      <c r="BG9" s="931"/>
      <c r="BH9" s="931"/>
      <c r="BI9" s="931"/>
      <c r="BJ9" s="931"/>
      <c r="BK9" s="931"/>
    </row>
    <row r="10" spans="1:63" ht="16.5" customHeight="1">
      <c r="AT10" s="931"/>
      <c r="AU10" s="931"/>
      <c r="AV10" s="931"/>
      <c r="AW10" s="931"/>
      <c r="AX10" s="931"/>
      <c r="AY10" s="931"/>
      <c r="AZ10" s="931"/>
      <c r="BA10" s="931"/>
      <c r="BB10" s="931"/>
      <c r="BC10" s="931"/>
      <c r="BD10" s="931"/>
      <c r="BE10" s="931"/>
      <c r="BF10" s="931"/>
      <c r="BG10" s="931"/>
      <c r="BH10" s="931"/>
      <c r="BI10" s="931"/>
      <c r="BJ10" s="931"/>
      <c r="BK10" s="931"/>
    </row>
    <row r="11" spans="1:63" ht="16.5" customHeight="1">
      <c r="O11" s="1852" t="s">
        <v>3570</v>
      </c>
      <c r="P11" s="1852"/>
      <c r="Q11" s="1852"/>
      <c r="R11" s="1852"/>
      <c r="S11" s="1852"/>
      <c r="T11" s="1852"/>
      <c r="U11" s="1852"/>
      <c r="W11" s="1851" t="str">
        <f>IF(Y38="","",Y38)</f>
        <v/>
      </c>
      <c r="X11" s="1851"/>
      <c r="Y11" s="1851"/>
      <c r="Z11" s="1851"/>
      <c r="AA11" s="1851"/>
      <c r="AB11" s="1851"/>
      <c r="AC11" s="1851"/>
      <c r="AD11" s="1851"/>
      <c r="AE11" s="1851"/>
      <c r="AF11" s="1851"/>
      <c r="AG11" s="1851"/>
      <c r="AH11" s="1851"/>
      <c r="AI11" s="1851"/>
      <c r="AJ11" s="1851"/>
      <c r="AK11" s="1851"/>
      <c r="AL11" s="1851"/>
      <c r="AM11" s="1851"/>
      <c r="AN11" s="1851"/>
      <c r="AO11" s="1851"/>
      <c r="AP11" s="1851"/>
      <c r="AT11" s="931"/>
      <c r="AU11" s="931"/>
      <c r="AV11" s="931"/>
      <c r="AW11" s="931"/>
      <c r="AX11" s="931"/>
      <c r="AY11" s="931"/>
      <c r="AZ11" s="931"/>
      <c r="BA11" s="931"/>
      <c r="BB11" s="931"/>
      <c r="BC11" s="931"/>
      <c r="BD11" s="931"/>
      <c r="BE11" s="931"/>
      <c r="BF11" s="931"/>
      <c r="BG11" s="931"/>
      <c r="BH11" s="931"/>
      <c r="BI11" s="931"/>
      <c r="BJ11" s="931"/>
      <c r="BK11" s="931"/>
    </row>
    <row r="12" spans="1:63" ht="16.5" customHeight="1">
      <c r="W12" s="1856" t="str">
        <f>IF(S40="","",S40)</f>
        <v/>
      </c>
      <c r="X12" s="1857"/>
      <c r="Y12" s="1857"/>
      <c r="Z12" s="1857"/>
      <c r="AA12" s="1857"/>
      <c r="AB12" s="1857"/>
      <c r="AC12" s="1857"/>
      <c r="AD12" s="1857"/>
      <c r="AE12" s="1857"/>
      <c r="AF12" s="1857"/>
      <c r="AG12" s="1857"/>
      <c r="AH12" s="1857"/>
      <c r="AI12" s="1857"/>
      <c r="AJ12" s="1857"/>
      <c r="AK12" s="1857"/>
      <c r="AL12" s="1857"/>
      <c r="AM12" s="1857"/>
      <c r="AN12" s="1857"/>
      <c r="AO12" s="1857"/>
      <c r="AP12" s="1857"/>
      <c r="AT12" s="931"/>
      <c r="AU12" s="931"/>
      <c r="AV12" s="931"/>
      <c r="AW12" s="931"/>
      <c r="AX12" s="931"/>
      <c r="AY12" s="931"/>
      <c r="AZ12" s="931"/>
      <c r="BA12" s="931"/>
      <c r="BB12" s="931"/>
      <c r="BC12" s="931"/>
      <c r="BD12" s="931"/>
      <c r="BE12" s="931"/>
      <c r="BF12" s="931"/>
      <c r="BG12" s="931"/>
      <c r="BH12" s="931"/>
      <c r="BI12" s="931"/>
      <c r="BJ12" s="931"/>
      <c r="BK12" s="931"/>
    </row>
    <row r="13" spans="1:63" ht="16.5" customHeight="1">
      <c r="W13" s="1856" t="str">
        <f>IF(S41="","",S41)</f>
        <v/>
      </c>
      <c r="X13" s="1857"/>
      <c r="Y13" s="1857"/>
      <c r="Z13" s="1857"/>
      <c r="AA13" s="1857"/>
      <c r="AB13" s="1857"/>
      <c r="AC13" s="1857"/>
      <c r="AD13" s="1857"/>
      <c r="AE13" s="1857"/>
      <c r="AF13" s="1857"/>
      <c r="AG13" s="1857"/>
      <c r="AH13" s="1857"/>
      <c r="AI13" s="1857"/>
      <c r="AJ13" s="1857"/>
      <c r="AK13" s="1857"/>
      <c r="AL13" s="1857"/>
      <c r="AM13" s="1857"/>
      <c r="AN13" s="1857"/>
      <c r="AO13" s="1857"/>
      <c r="AP13" s="1857"/>
      <c r="AT13" s="931"/>
      <c r="AU13" s="931"/>
      <c r="AV13" s="931"/>
      <c r="AW13" s="931"/>
      <c r="AX13" s="931"/>
      <c r="AY13" s="931"/>
      <c r="AZ13" s="931"/>
      <c r="BA13" s="931"/>
      <c r="BB13" s="931"/>
      <c r="BC13" s="931"/>
      <c r="BD13" s="931"/>
      <c r="BE13" s="931"/>
      <c r="BF13" s="931"/>
      <c r="BG13" s="931"/>
      <c r="BH13" s="931"/>
      <c r="BI13" s="931"/>
      <c r="BJ13" s="931"/>
      <c r="BK13" s="931"/>
    </row>
    <row r="14" spans="1:63" ht="16.5" customHeight="1">
      <c r="O14" s="1852" t="s">
        <v>7</v>
      </c>
      <c r="P14" s="1852"/>
      <c r="Q14" s="1852"/>
      <c r="R14" s="1852"/>
      <c r="S14" s="1852"/>
      <c r="T14" s="1852"/>
      <c r="U14" s="1852"/>
      <c r="W14" s="1856" t="str">
        <f>IF(AH41="","",AH41)</f>
        <v/>
      </c>
      <c r="X14" s="1856"/>
      <c r="Y14" s="1856"/>
      <c r="Z14" s="1856"/>
      <c r="AA14" s="1856"/>
      <c r="AB14" s="1856"/>
      <c r="AC14" s="1856"/>
      <c r="AD14" s="1856"/>
      <c r="AE14" s="1856"/>
      <c r="AF14" s="1856"/>
      <c r="AG14" s="1856"/>
      <c r="AH14" s="1856"/>
      <c r="AI14" s="1856"/>
      <c r="AJ14" s="1856"/>
      <c r="AK14" s="1856"/>
      <c r="AL14" s="1856"/>
      <c r="AM14" s="1856"/>
      <c r="AN14" s="1856"/>
      <c r="AO14" s="1856"/>
    </row>
    <row r="15" spans="1:63" ht="8.1" customHeight="1"/>
    <row r="16" spans="1:63" ht="16.5" customHeight="1">
      <c r="O16" s="1852" t="s">
        <v>3569</v>
      </c>
      <c r="P16" s="1852"/>
      <c r="Q16" s="1852"/>
      <c r="R16" s="1852"/>
      <c r="S16" s="1852"/>
      <c r="T16" s="1852"/>
      <c r="U16" s="1852"/>
      <c r="W16" s="1853" t="str">
        <f>cst_wskakunin_dairi1__address</f>
        <v>東京都港区虎ノ門1-1-21</v>
      </c>
      <c r="X16" s="1853"/>
      <c r="Y16" s="1853"/>
      <c r="Z16" s="1853"/>
      <c r="AA16" s="1853"/>
      <c r="AB16" s="1853"/>
      <c r="AC16" s="1853"/>
      <c r="AD16" s="1853"/>
      <c r="AE16" s="1853"/>
      <c r="AF16" s="1853"/>
      <c r="AG16" s="1853"/>
      <c r="AH16" s="1853"/>
      <c r="AI16" s="1853"/>
      <c r="AJ16" s="1853"/>
      <c r="AK16" s="1853"/>
      <c r="AL16" s="1853"/>
      <c r="AM16" s="1853"/>
      <c r="AN16" s="1853"/>
      <c r="AO16" s="1853"/>
      <c r="AP16" s="1853"/>
    </row>
    <row r="17" spans="1:56" ht="16.5" customHeight="1">
      <c r="W17" s="1856" t="str">
        <f>cst_wskakunin_dairi1_JIMU_NAME</f>
        <v>一級建築士事務所　UHEC</v>
      </c>
      <c r="X17" s="1857"/>
      <c r="Y17" s="1857"/>
      <c r="Z17" s="1857"/>
      <c r="AA17" s="1857"/>
      <c r="AB17" s="1857"/>
      <c r="AC17" s="1857"/>
      <c r="AD17" s="1857"/>
      <c r="AE17" s="1857"/>
      <c r="AF17" s="1857"/>
      <c r="AG17" s="1857"/>
      <c r="AH17" s="1857"/>
      <c r="AI17" s="1857"/>
      <c r="AJ17" s="1857"/>
      <c r="AK17" s="1857"/>
      <c r="AL17" s="1857"/>
      <c r="AM17" s="1857"/>
      <c r="AN17" s="1857"/>
      <c r="AO17" s="1857"/>
      <c r="AP17" s="1857"/>
      <c r="BD17" s="930"/>
    </row>
    <row r="18" spans="1:56" ht="16.5" customHeight="1">
      <c r="O18" s="1852" t="s">
        <v>7</v>
      </c>
      <c r="P18" s="1852"/>
      <c r="Q18" s="1852"/>
      <c r="R18" s="1852"/>
      <c r="S18" s="1852"/>
      <c r="T18" s="1852"/>
      <c r="U18" s="1852"/>
      <c r="W18" s="1856" t="str">
        <f>cst_wskakunin_dairi1_NAME</f>
        <v>藤田　ゆき子</v>
      </c>
      <c r="X18" s="1856"/>
      <c r="Y18" s="1856"/>
      <c r="Z18" s="1856"/>
      <c r="AA18" s="1856"/>
      <c r="AB18" s="1856"/>
      <c r="AC18" s="1856"/>
      <c r="AD18" s="1856"/>
      <c r="AE18" s="1856"/>
      <c r="AF18" s="1856"/>
      <c r="AG18" s="1856"/>
      <c r="AH18" s="1856"/>
      <c r="AI18" s="1856"/>
      <c r="AJ18" s="1856"/>
      <c r="AK18" s="1856"/>
      <c r="AL18" s="1856"/>
      <c r="AM18" s="1856"/>
      <c r="AN18" s="1856"/>
      <c r="AO18" s="1856"/>
    </row>
    <row r="20" spans="1:56" ht="16.5" customHeight="1">
      <c r="A20" s="929" t="s">
        <v>3287</v>
      </c>
      <c r="B20" s="929"/>
      <c r="C20" s="929"/>
      <c r="D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c r="AL20" s="929"/>
      <c r="AM20" s="929"/>
      <c r="AN20" s="929"/>
      <c r="AO20" s="929"/>
      <c r="AP20" s="929"/>
    </row>
    <row r="22" spans="1:56" ht="16.5" customHeight="1">
      <c r="A22" s="902" t="s">
        <v>3568</v>
      </c>
    </row>
    <row r="23" spans="1:56" ht="16.5" customHeight="1">
      <c r="B23" s="902" t="s">
        <v>3567</v>
      </c>
      <c r="M23" s="1853" t="str">
        <f ca="1">cst_ISSUE_NO_select</f>
        <v>第UHEC建確R070030号</v>
      </c>
      <c r="N23" s="1853"/>
      <c r="O23" s="1853"/>
      <c r="P23" s="1853"/>
      <c r="Q23" s="1853"/>
      <c r="R23" s="1853"/>
      <c r="S23" s="1853"/>
      <c r="T23" s="1853"/>
      <c r="U23" s="1853"/>
      <c r="V23" s="1853"/>
      <c r="W23" s="1853"/>
    </row>
    <row r="24" spans="1:56" ht="16.5" customHeight="1">
      <c r="B24" s="902" t="s">
        <v>3566</v>
      </c>
      <c r="M24" s="1854">
        <f ca="1">cst_ISSUE_DATE_select</f>
        <v>45922</v>
      </c>
      <c r="N24" s="1854"/>
      <c r="O24" s="1854"/>
      <c r="P24" s="1854"/>
      <c r="Q24" s="1854"/>
      <c r="R24" s="1854"/>
      <c r="S24" s="1854"/>
      <c r="T24" s="1854"/>
      <c r="U24" s="1854"/>
      <c r="V24" s="1854"/>
      <c r="W24" s="1854"/>
    </row>
    <row r="25" spans="1:56" ht="16.5" customHeight="1">
      <c r="B25" s="902" t="s">
        <v>3565</v>
      </c>
      <c r="M25" s="1871" t="str">
        <f>cst_wskakunin_LAST_ISSUE_NAME</f>
        <v>株式会社　都市居住評価センター 代表取締役社長　野崎　豊</v>
      </c>
      <c r="N25" s="1871"/>
      <c r="O25" s="1871"/>
      <c r="P25" s="1871"/>
      <c r="Q25" s="1871"/>
      <c r="R25" s="1871"/>
      <c r="S25" s="1871"/>
      <c r="T25" s="1871"/>
      <c r="U25" s="1871"/>
      <c r="V25" s="1871"/>
      <c r="W25" s="1871"/>
      <c r="X25" s="1871"/>
      <c r="Y25" s="1871"/>
      <c r="Z25" s="1871"/>
      <c r="AA25" s="1871"/>
      <c r="AB25" s="1871"/>
      <c r="AC25" s="1871"/>
      <c r="AD25" s="1871"/>
      <c r="AE25" s="1871"/>
      <c r="AF25" s="1871"/>
      <c r="AG25" s="1871"/>
      <c r="AH25" s="1871"/>
      <c r="AI25" s="1871"/>
      <c r="AJ25" s="1871"/>
      <c r="AK25" s="1871"/>
      <c r="AL25" s="1871"/>
      <c r="AM25" s="1871"/>
      <c r="AN25" s="1871"/>
      <c r="AO25" s="1871"/>
      <c r="AP25" s="1871"/>
    </row>
    <row r="26" spans="1:56" ht="8.1" customHeight="1"/>
    <row r="27" spans="1:56" ht="16.5" customHeight="1">
      <c r="A27" s="902" t="s">
        <v>3564</v>
      </c>
    </row>
    <row r="28" spans="1:56" ht="16.5" customHeight="1">
      <c r="C28" s="1856" t="str">
        <f>cst_wskakunin_BUILD__address</f>
        <v>東京都港区虎ノ門１－１－１</v>
      </c>
      <c r="D28" s="1856"/>
      <c r="E28" s="1856"/>
      <c r="F28" s="1856"/>
      <c r="G28" s="1856"/>
      <c r="H28" s="1856"/>
      <c r="I28" s="1856"/>
      <c r="J28" s="1856"/>
      <c r="K28" s="1856"/>
      <c r="L28" s="1856"/>
      <c r="M28" s="1856"/>
      <c r="N28" s="1856"/>
      <c r="O28" s="1856"/>
      <c r="P28" s="1856"/>
      <c r="Q28" s="1856"/>
      <c r="R28" s="1856"/>
      <c r="S28" s="1856"/>
      <c r="T28" s="1856"/>
      <c r="U28" s="1856"/>
      <c r="V28" s="1856"/>
      <c r="W28" s="1856"/>
      <c r="X28" s="1856"/>
      <c r="Y28" s="1856"/>
      <c r="Z28" s="1856"/>
      <c r="AA28" s="1856"/>
      <c r="AB28" s="1856"/>
      <c r="AC28" s="1856"/>
      <c r="AD28" s="1856"/>
      <c r="AE28" s="1856"/>
      <c r="AF28" s="1856"/>
      <c r="AG28" s="1856"/>
      <c r="AH28" s="1856"/>
      <c r="AI28" s="1856"/>
      <c r="AJ28" s="1856"/>
      <c r="AK28" s="1856"/>
      <c r="AL28" s="1856"/>
      <c r="AM28" s="1856"/>
      <c r="AN28" s="1856"/>
      <c r="AO28" s="1856"/>
      <c r="AP28" s="1856"/>
    </row>
    <row r="29" spans="1:56" ht="8.1" customHeight="1"/>
    <row r="30" spans="1:56" ht="16.5" customHeight="1">
      <c r="A30" s="902" t="s">
        <v>3563</v>
      </c>
    </row>
    <row r="31" spans="1:56" ht="16.5" customHeight="1">
      <c r="B31" s="902" t="s">
        <v>3562</v>
      </c>
      <c r="G31" s="902" t="s">
        <v>3560</v>
      </c>
      <c r="K31" s="902" t="s">
        <v>3559</v>
      </c>
      <c r="S31" s="953" t="s">
        <v>3558</v>
      </c>
      <c r="T31" s="1858" t="str">
        <f>cst_wskakunin_owner1_ZIP</f>
        <v>105-0001</v>
      </c>
      <c r="U31" s="1875"/>
      <c r="V31" s="1875"/>
      <c r="W31" s="1875"/>
      <c r="X31" s="1013"/>
      <c r="Y31" s="1858" t="str">
        <f>cst_wskakunin_owner1__address</f>
        <v>東京都港区虎ノ門1-1-21</v>
      </c>
      <c r="Z31" s="1858"/>
      <c r="AA31" s="1858"/>
      <c r="AB31" s="1858"/>
      <c r="AC31" s="1858"/>
      <c r="AD31" s="1858"/>
      <c r="AE31" s="1858"/>
      <c r="AF31" s="1858"/>
      <c r="AG31" s="1858"/>
      <c r="AH31" s="1858"/>
      <c r="AI31" s="1858"/>
      <c r="AJ31" s="1858"/>
      <c r="AK31" s="1858"/>
      <c r="AL31" s="1858"/>
      <c r="AM31" s="1858"/>
      <c r="AN31" s="1858"/>
      <c r="AO31" s="1858"/>
      <c r="AP31" s="1858"/>
    </row>
    <row r="32" spans="1:56" ht="16.5" customHeight="1">
      <c r="K32" s="902" t="s">
        <v>3557</v>
      </c>
      <c r="S32" s="1853" t="str">
        <f>cst_wskakunin_owner1__space_KANA</f>
        <v>ｶﾌﾞｼｷｶﾞｲｼｬﾕｰｲｯｸﾌﾄﾞｳｻﾝ　ﾀﾞｲﾋｮｳﾄﾘｼﾏﾘﾔｸｼｬﾁｮｳ　ﾉｻﾞｷ　ﾕﾀｶ</v>
      </c>
      <c r="T32" s="1853"/>
      <c r="U32" s="1853"/>
      <c r="V32" s="1853"/>
      <c r="W32" s="1853"/>
      <c r="X32" s="1853"/>
      <c r="Y32" s="1853"/>
      <c r="Z32" s="1853"/>
      <c r="AA32" s="1853"/>
      <c r="AB32" s="1853"/>
      <c r="AC32" s="1853"/>
      <c r="AD32" s="1853"/>
      <c r="AE32" s="1853"/>
      <c r="AF32" s="1853"/>
      <c r="AG32" s="1853"/>
      <c r="AH32" s="1853"/>
      <c r="AI32" s="1853"/>
      <c r="AJ32" s="1853"/>
      <c r="AK32" s="1853"/>
      <c r="AL32" s="1853"/>
      <c r="AM32" s="1853"/>
      <c r="AN32" s="1853"/>
      <c r="AO32" s="1853"/>
      <c r="AP32" s="1853"/>
    </row>
    <row r="33" spans="1:42" ht="16.5" customHeight="1">
      <c r="K33" s="902" t="s">
        <v>3556</v>
      </c>
      <c r="S33" s="1858" t="str">
        <f>cst_wskakunin_owner1_JIMU_NAME</f>
        <v>株式会社ユーイック不動産</v>
      </c>
      <c r="T33" s="1858"/>
      <c r="U33" s="1858"/>
      <c r="V33" s="1858"/>
      <c r="W33" s="1858"/>
      <c r="X33" s="1858"/>
      <c r="Y33" s="1858"/>
      <c r="Z33" s="1858"/>
      <c r="AA33" s="1858"/>
      <c r="AB33" s="1858"/>
      <c r="AC33" s="1858"/>
      <c r="AD33" s="1858"/>
      <c r="AE33" s="1858"/>
      <c r="AF33" s="1858"/>
      <c r="AG33" s="1858"/>
      <c r="AH33" s="1858"/>
      <c r="AI33" s="1858"/>
      <c r="AJ33" s="1858"/>
      <c r="AK33" s="1858"/>
      <c r="AL33" s="1858"/>
      <c r="AM33" s="1858"/>
      <c r="AN33" s="1858"/>
      <c r="AO33" s="1858"/>
      <c r="AP33" s="1858"/>
    </row>
    <row r="34" spans="1:42" ht="16.5" customHeight="1">
      <c r="S34" s="1858" t="str">
        <f>cst_wskakunin_owner1_POST</f>
        <v>代表取締役社長</v>
      </c>
      <c r="T34" s="1858"/>
      <c r="U34" s="1858"/>
      <c r="V34" s="1858"/>
      <c r="W34" s="1858"/>
      <c r="X34" s="1858"/>
      <c r="Y34" s="1858"/>
      <c r="Z34" s="1858"/>
      <c r="AA34" s="1858"/>
      <c r="AB34" s="1858"/>
      <c r="AC34" s="1858"/>
      <c r="AD34" s="1858"/>
      <c r="AE34" s="1858"/>
      <c r="AF34" s="1858"/>
      <c r="AG34" s="1858"/>
      <c r="AH34" s="1872" t="str">
        <f>cst_wskakunin_owner1_NAME</f>
        <v>野崎　豊</v>
      </c>
      <c r="AI34" s="1872"/>
      <c r="AJ34" s="1872"/>
      <c r="AK34" s="1872"/>
      <c r="AL34" s="1872"/>
      <c r="AM34" s="1872"/>
      <c r="AN34" s="1872"/>
      <c r="AO34" s="1872"/>
      <c r="AP34" s="1872"/>
    </row>
    <row r="35" spans="1:42" ht="16.5" customHeight="1">
      <c r="K35" s="902" t="s">
        <v>3555</v>
      </c>
      <c r="S35" s="1853" t="str">
        <f>cst_wskakunin_owner1_TEL</f>
        <v>03-3504-2386</v>
      </c>
      <c r="T35" s="1853"/>
      <c r="U35" s="1853"/>
      <c r="V35" s="1853"/>
      <c r="W35" s="1853"/>
      <c r="X35" s="1853"/>
      <c r="Y35" s="1853"/>
      <c r="Z35" s="1853"/>
      <c r="AA35" s="1853"/>
      <c r="AB35" s="1853"/>
      <c r="AC35" s="953"/>
      <c r="AD35" s="953"/>
      <c r="AE35" s="953"/>
      <c r="AF35" s="953"/>
      <c r="AG35" s="953"/>
      <c r="AH35" s="953"/>
      <c r="AI35" s="953"/>
      <c r="AJ35" s="953"/>
      <c r="AK35" s="953"/>
      <c r="AL35" s="953"/>
      <c r="AM35" s="953"/>
      <c r="AN35" s="953"/>
      <c r="AO35" s="953"/>
      <c r="AP35" s="953"/>
    </row>
    <row r="36" spans="1:42" ht="6" customHeight="1"/>
    <row r="37" spans="1:42" ht="16.5" customHeight="1">
      <c r="R37" s="927"/>
      <c r="S37" s="927"/>
      <c r="T37" s="927"/>
      <c r="U37" s="927"/>
      <c r="V37" s="927"/>
      <c r="W37" s="927"/>
      <c r="X37" s="927"/>
    </row>
    <row r="38" spans="1:42" ht="16.5" customHeight="1">
      <c r="B38" s="902" t="s">
        <v>3561</v>
      </c>
      <c r="G38" s="902" t="s">
        <v>3560</v>
      </c>
      <c r="K38" s="902" t="s">
        <v>3559</v>
      </c>
      <c r="S38" s="902" t="s">
        <v>3558</v>
      </c>
      <c r="T38" s="1877"/>
      <c r="U38" s="1878"/>
      <c r="V38" s="1878"/>
      <c r="W38" s="1878"/>
      <c r="X38" s="938"/>
      <c r="Y38" s="1860"/>
      <c r="Z38" s="1860"/>
      <c r="AA38" s="1860"/>
      <c r="AB38" s="1860"/>
      <c r="AC38" s="1860"/>
      <c r="AD38" s="1860"/>
      <c r="AE38" s="1860"/>
      <c r="AF38" s="1860"/>
      <c r="AG38" s="1860"/>
      <c r="AH38" s="1860"/>
      <c r="AI38" s="1860"/>
      <c r="AJ38" s="1860"/>
      <c r="AK38" s="1860"/>
      <c r="AL38" s="1860"/>
      <c r="AM38" s="1860"/>
      <c r="AN38" s="1860"/>
      <c r="AO38" s="1860"/>
      <c r="AP38" s="1860"/>
    </row>
    <row r="39" spans="1:42" ht="16.5" customHeight="1">
      <c r="K39" s="902" t="s">
        <v>3557</v>
      </c>
      <c r="S39" s="1859"/>
      <c r="T39" s="1859"/>
      <c r="U39" s="1859"/>
      <c r="V39" s="1859"/>
      <c r="W39" s="1859"/>
      <c r="X39" s="1859"/>
      <c r="Y39" s="1859"/>
      <c r="Z39" s="1859"/>
      <c r="AA39" s="1859"/>
      <c r="AB39" s="1859"/>
      <c r="AC39" s="1859"/>
      <c r="AD39" s="1859"/>
      <c r="AE39" s="1859"/>
      <c r="AF39" s="1859"/>
      <c r="AG39" s="1859"/>
      <c r="AH39" s="1859"/>
      <c r="AI39" s="1859"/>
      <c r="AJ39" s="1859"/>
      <c r="AK39" s="1859"/>
      <c r="AL39" s="1859"/>
      <c r="AM39" s="1859"/>
      <c r="AN39" s="1859"/>
      <c r="AO39" s="1859"/>
      <c r="AP39" s="1859"/>
    </row>
    <row r="40" spans="1:42" ht="16.5" customHeight="1">
      <c r="K40" s="902" t="s">
        <v>3556</v>
      </c>
      <c r="S40" s="1860"/>
      <c r="T40" s="1860"/>
      <c r="U40" s="1860"/>
      <c r="V40" s="1860"/>
      <c r="W40" s="1860"/>
      <c r="X40" s="1860"/>
      <c r="Y40" s="1860"/>
      <c r="Z40" s="1860"/>
      <c r="AA40" s="1860"/>
      <c r="AB40" s="1860"/>
      <c r="AC40" s="1860"/>
      <c r="AD40" s="1860"/>
      <c r="AE40" s="1860"/>
      <c r="AF40" s="1860"/>
      <c r="AG40" s="1860"/>
      <c r="AH40" s="1860"/>
      <c r="AI40" s="1860"/>
      <c r="AJ40" s="1860"/>
      <c r="AK40" s="1860"/>
      <c r="AL40" s="1860"/>
      <c r="AM40" s="1860"/>
      <c r="AN40" s="1860"/>
      <c r="AO40" s="1860"/>
      <c r="AP40" s="1860"/>
    </row>
    <row r="41" spans="1:42" ht="16.5" customHeight="1">
      <c r="S41" s="1876"/>
      <c r="T41" s="1876"/>
      <c r="U41" s="1876"/>
      <c r="V41" s="1876"/>
      <c r="W41" s="1876"/>
      <c r="X41" s="1876"/>
      <c r="Y41" s="1876"/>
      <c r="Z41" s="1876"/>
      <c r="AA41" s="1876"/>
      <c r="AB41" s="1876"/>
      <c r="AC41" s="1876"/>
      <c r="AD41" s="1876"/>
      <c r="AE41" s="1876"/>
      <c r="AF41" s="1876"/>
      <c r="AG41" s="1876"/>
      <c r="AH41" s="1873"/>
      <c r="AI41" s="1873"/>
      <c r="AJ41" s="1873"/>
      <c r="AK41" s="1873"/>
      <c r="AL41" s="1873"/>
      <c r="AM41" s="1873"/>
      <c r="AN41" s="1873"/>
      <c r="AO41" s="1873"/>
      <c r="AP41" s="1873"/>
    </row>
    <row r="42" spans="1:42" ht="16.5" customHeight="1">
      <c r="K42" s="902" t="s">
        <v>3555</v>
      </c>
      <c r="S42" s="1874"/>
      <c r="T42" s="1874"/>
      <c r="U42" s="1874"/>
      <c r="V42" s="1874"/>
      <c r="W42" s="1874"/>
      <c r="X42" s="1874"/>
      <c r="Y42" s="1874"/>
      <c r="Z42" s="1874"/>
      <c r="AA42" s="1874"/>
      <c r="AB42" s="1874"/>
    </row>
    <row r="43" spans="1:42" ht="6" customHeight="1"/>
    <row r="45" spans="1:42" ht="16.5" customHeight="1">
      <c r="A45" s="902" t="s">
        <v>3301</v>
      </c>
    </row>
    <row r="46" spans="1:42" ht="16.5" customHeight="1">
      <c r="A46" s="926"/>
      <c r="B46" s="1870" t="s">
        <v>3276</v>
      </c>
      <c r="C46" s="1870"/>
      <c r="D46" s="1870"/>
      <c r="E46" s="1870"/>
      <c r="F46" s="1870"/>
      <c r="G46" s="1870"/>
      <c r="H46" s="1870"/>
      <c r="I46" s="1870"/>
      <c r="J46" s="1870"/>
      <c r="K46" s="1870"/>
      <c r="L46" s="1870"/>
      <c r="O46" s="1876"/>
      <c r="P46" s="1876"/>
      <c r="Q46" s="1876"/>
      <c r="R46" s="1876"/>
      <c r="S46" s="1876"/>
      <c r="T46" s="1876"/>
      <c r="U46" s="1876"/>
      <c r="V46" s="1876"/>
      <c r="W46" s="1876"/>
      <c r="X46" s="1876"/>
      <c r="Y46" s="1876"/>
      <c r="Z46" s="1876"/>
      <c r="AA46" s="1876"/>
      <c r="AB46" s="1876"/>
      <c r="AC46" s="1876"/>
      <c r="AD46" s="1876"/>
      <c r="AE46" s="1876"/>
      <c r="AF46" s="1876"/>
      <c r="AG46" s="1876"/>
      <c r="AH46" s="1876"/>
      <c r="AI46" s="1876"/>
      <c r="AJ46" s="1876"/>
      <c r="AK46" s="1876"/>
      <c r="AL46" s="1876"/>
      <c r="AM46" s="1876"/>
      <c r="AN46" s="1876"/>
      <c r="AO46" s="1876"/>
      <c r="AP46" s="1876"/>
    </row>
    <row r="47" spans="1:42" ht="6" customHeight="1">
      <c r="A47" s="926"/>
    </row>
    <row r="48" spans="1:42" ht="6" customHeight="1">
      <c r="A48" s="926"/>
    </row>
    <row r="49" spans="1:42" ht="12" customHeight="1">
      <c r="A49" s="926"/>
    </row>
    <row r="50" spans="1:42" ht="16.5" customHeight="1">
      <c r="A50" s="925" t="s">
        <v>3258</v>
      </c>
      <c r="B50" s="924"/>
      <c r="C50" s="924"/>
      <c r="D50" s="924"/>
      <c r="E50" s="924"/>
      <c r="F50" s="924"/>
      <c r="G50" s="924"/>
      <c r="H50" s="924"/>
      <c r="I50" s="924"/>
      <c r="J50" s="924"/>
      <c r="K50" s="924"/>
      <c r="L50" s="924"/>
      <c r="M50" s="924"/>
      <c r="N50" s="924"/>
      <c r="O50" s="924"/>
      <c r="P50" s="924"/>
      <c r="Q50" s="924"/>
      <c r="R50" s="924"/>
      <c r="S50" s="924"/>
      <c r="T50" s="924"/>
      <c r="U50" s="924"/>
      <c r="V50" s="924"/>
      <c r="W50" s="924"/>
      <c r="X50" s="924"/>
      <c r="Y50" s="924"/>
      <c r="Z50" s="924"/>
      <c r="AA50" s="924"/>
      <c r="AB50" s="924"/>
      <c r="AC50" s="924"/>
      <c r="AD50" s="923"/>
      <c r="AE50" s="925" t="s">
        <v>3554</v>
      </c>
      <c r="AF50" s="924"/>
      <c r="AG50" s="924"/>
      <c r="AH50" s="924"/>
      <c r="AI50" s="924"/>
      <c r="AJ50" s="924"/>
      <c r="AK50" s="924"/>
      <c r="AL50" s="924"/>
      <c r="AM50" s="924"/>
      <c r="AN50" s="924"/>
      <c r="AO50" s="924"/>
      <c r="AP50" s="923"/>
    </row>
    <row r="51" spans="1:42" ht="16.5" customHeight="1">
      <c r="A51" s="922"/>
      <c r="B51" s="921"/>
      <c r="C51" s="921"/>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c r="AD51" s="920"/>
      <c r="AE51" s="1861" t="s">
        <v>3553</v>
      </c>
      <c r="AF51" s="1862"/>
      <c r="AG51" s="1862"/>
      <c r="AH51" s="1862"/>
      <c r="AI51" s="1862"/>
      <c r="AJ51" s="1862"/>
      <c r="AK51" s="1862"/>
      <c r="AL51" s="1862"/>
      <c r="AM51" s="1862"/>
      <c r="AN51" s="1862"/>
      <c r="AO51" s="1862"/>
      <c r="AP51" s="1863"/>
    </row>
    <row r="52" spans="1:42" ht="16.5" customHeight="1">
      <c r="A52" s="916"/>
      <c r="AD52" s="915"/>
      <c r="AE52" s="1864" t="s">
        <v>3552</v>
      </c>
      <c r="AF52" s="1865"/>
      <c r="AG52" s="1865"/>
      <c r="AH52" s="1865"/>
      <c r="AI52" s="1865"/>
      <c r="AJ52" s="1865"/>
      <c r="AK52" s="1865"/>
      <c r="AL52" s="1865"/>
      <c r="AM52" s="1865"/>
      <c r="AN52" s="1865"/>
      <c r="AO52" s="1865"/>
      <c r="AP52" s="1866"/>
    </row>
    <row r="53" spans="1:42" ht="18" customHeight="1">
      <c r="A53" s="911"/>
      <c r="B53" s="910"/>
      <c r="C53" s="910"/>
      <c r="D53" s="910"/>
      <c r="E53" s="910"/>
      <c r="F53" s="910"/>
      <c r="G53" s="910"/>
      <c r="H53" s="910"/>
      <c r="I53" s="910"/>
      <c r="J53" s="910"/>
      <c r="K53" s="910"/>
      <c r="L53" s="910"/>
      <c r="M53" s="910"/>
      <c r="N53" s="910"/>
      <c r="O53" s="910"/>
      <c r="P53" s="910"/>
      <c r="Q53" s="910"/>
      <c r="R53" s="910"/>
      <c r="S53" s="910"/>
      <c r="T53" s="910"/>
      <c r="U53" s="910"/>
      <c r="V53" s="910"/>
      <c r="W53" s="910"/>
      <c r="X53" s="910"/>
      <c r="Y53" s="910"/>
      <c r="Z53" s="910"/>
      <c r="AA53" s="910"/>
      <c r="AB53" s="910"/>
      <c r="AC53" s="910"/>
      <c r="AD53" s="909"/>
      <c r="AE53" s="1867" t="s">
        <v>3254</v>
      </c>
      <c r="AF53" s="1868"/>
      <c r="AG53" s="1868"/>
      <c r="AH53" s="1868"/>
      <c r="AI53" s="1868"/>
      <c r="AJ53" s="1868"/>
      <c r="AK53" s="1868"/>
      <c r="AL53" s="1868"/>
      <c r="AM53" s="1868"/>
      <c r="AN53" s="1868"/>
      <c r="AO53" s="1868"/>
      <c r="AP53" s="1869"/>
    </row>
    <row r="54" spans="1:42" ht="12" customHeight="1">
      <c r="A54" s="904" t="s">
        <v>2676</v>
      </c>
      <c r="B54" s="904"/>
      <c r="C54" s="904"/>
      <c r="D54" s="904" t="s">
        <v>3551</v>
      </c>
    </row>
    <row r="55" spans="1:42" ht="12" customHeight="1">
      <c r="A55" s="904"/>
      <c r="B55" s="904"/>
      <c r="C55" s="904"/>
      <c r="D55" s="904" t="s">
        <v>3550</v>
      </c>
    </row>
    <row r="56" spans="1:42" ht="12" customHeight="1">
      <c r="A56" s="904"/>
      <c r="B56" s="904"/>
      <c r="C56" s="904"/>
      <c r="D56" s="904" t="s">
        <v>3549</v>
      </c>
      <c r="E56" s="905"/>
      <c r="F56" s="905"/>
      <c r="G56" s="905"/>
      <c r="H56" s="905"/>
      <c r="I56" s="905"/>
      <c r="J56" s="905"/>
      <c r="K56" s="905"/>
      <c r="L56" s="905"/>
      <c r="M56" s="905"/>
      <c r="N56" s="905"/>
      <c r="O56" s="905"/>
      <c r="P56" s="905"/>
      <c r="Q56" s="905"/>
      <c r="R56" s="905"/>
      <c r="S56" s="905"/>
      <c r="T56" s="905"/>
      <c r="U56" s="905"/>
      <c r="V56" s="905"/>
      <c r="W56" s="905"/>
      <c r="X56" s="905"/>
      <c r="Y56" s="905"/>
      <c r="Z56" s="905"/>
      <c r="AA56" s="905"/>
      <c r="AB56" s="905"/>
      <c r="AC56" s="905"/>
      <c r="AD56" s="905"/>
      <c r="AE56" s="905"/>
      <c r="AF56" s="905"/>
      <c r="AG56" s="905"/>
      <c r="AH56" s="905"/>
      <c r="AI56" s="905"/>
      <c r="AJ56" s="905"/>
      <c r="AK56" s="905"/>
      <c r="AL56" s="905"/>
      <c r="AM56" s="905"/>
      <c r="AN56" s="905"/>
      <c r="AO56" s="905"/>
      <c r="AP56" s="905"/>
    </row>
    <row r="57" spans="1:42" ht="12" customHeight="1">
      <c r="A57" s="904"/>
      <c r="B57" s="904"/>
      <c r="C57" s="904"/>
      <c r="D57" s="904" t="s">
        <v>3548</v>
      </c>
    </row>
    <row r="58" spans="1:42" ht="12" customHeight="1">
      <c r="A58" s="904"/>
      <c r="B58" s="904"/>
      <c r="C58" s="904"/>
      <c r="D58" s="904" t="s">
        <v>3701</v>
      </c>
    </row>
    <row r="59" spans="1:42" ht="12" customHeight="1">
      <c r="A59" s="904"/>
      <c r="B59" s="904"/>
      <c r="C59" s="904"/>
      <c r="D59" s="904" t="s">
        <v>3702</v>
      </c>
    </row>
    <row r="60" spans="1:42" ht="16.5" customHeight="1">
      <c r="A60" s="903" t="s">
        <v>3547</v>
      </c>
    </row>
  </sheetData>
  <mergeCells count="35">
    <mergeCell ref="AE51:AP51"/>
    <mergeCell ref="AE52:AP52"/>
    <mergeCell ref="AE53:AP53"/>
    <mergeCell ref="B46:L46"/>
    <mergeCell ref="M25:AP25"/>
    <mergeCell ref="AH34:AP34"/>
    <mergeCell ref="S35:AB35"/>
    <mergeCell ref="AH41:AP41"/>
    <mergeCell ref="S42:AB42"/>
    <mergeCell ref="C28:AP28"/>
    <mergeCell ref="T31:W31"/>
    <mergeCell ref="O46:AP46"/>
    <mergeCell ref="T38:W38"/>
    <mergeCell ref="Y38:AP38"/>
    <mergeCell ref="S41:AG41"/>
    <mergeCell ref="Y31:AP31"/>
    <mergeCell ref="S34:AG34"/>
    <mergeCell ref="S33:AP33"/>
    <mergeCell ref="S32:AP32"/>
    <mergeCell ref="S39:AP39"/>
    <mergeCell ref="S40:AP40"/>
    <mergeCell ref="W11:AP11"/>
    <mergeCell ref="O18:U18"/>
    <mergeCell ref="M23:W23"/>
    <mergeCell ref="M24:W24"/>
    <mergeCell ref="AF9:AP9"/>
    <mergeCell ref="W14:AO14"/>
    <mergeCell ref="W16:AP16"/>
    <mergeCell ref="W18:AO18"/>
    <mergeCell ref="O11:U11"/>
    <mergeCell ref="O14:U14"/>
    <mergeCell ref="O16:U16"/>
    <mergeCell ref="W17:AP17"/>
    <mergeCell ref="W13:AP13"/>
    <mergeCell ref="W12:AP12"/>
  </mergeCells>
  <phoneticPr fontId="122"/>
  <dataValidations count="2">
    <dataValidation type="list" allowBlank="1" showInputMessage="1" sqref="M25:AP25" xr:uid="{00000000-0002-0000-2000-000000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 allowBlank="1" showInputMessage="1" sqref="S32:AP32 S39:AP39" xr:uid="{00000000-0002-0000-2000-000001000000}"/>
  </dataValidations>
  <pageMargins left="0.59055118110236227" right="0.39370078740157483" top="0.39370078740157483" bottom="0.19685039370078741" header="0.51181102362204722" footer="0.31496062992125984"/>
  <pageSetup paperSize="9" scale="98" orientation="portrait" blackAndWhite="1"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E55"/>
  <sheetViews>
    <sheetView zoomScaleNormal="100" zoomScaleSheetLayoutView="100" workbookViewId="0">
      <selection activeCell="AO1" sqref="AO1"/>
    </sheetView>
  </sheetViews>
  <sheetFormatPr defaultColWidth="2.109375" defaultRowHeight="18" customHeight="1"/>
  <cols>
    <col min="1" max="1" width="2.109375" style="902" customWidth="1"/>
    <col min="2" max="16384" width="2.109375" style="902"/>
  </cols>
  <sheetData>
    <row r="1" spans="1:57" ht="18" customHeight="1">
      <c r="A1" s="902" t="s">
        <v>3595</v>
      </c>
    </row>
    <row r="2" spans="1:57" ht="18" customHeight="1">
      <c r="A2" s="934" t="s">
        <v>3594</v>
      </c>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P2" s="933"/>
      <c r="AQ2" s="932"/>
      <c r="AR2" s="932"/>
      <c r="AS2" s="932"/>
      <c r="AT2" s="932"/>
      <c r="AU2" s="932"/>
      <c r="AV2" s="932"/>
      <c r="AW2" s="932"/>
      <c r="AX2" s="932"/>
      <c r="AY2" s="932"/>
      <c r="AZ2" s="932"/>
      <c r="BA2" s="932"/>
      <c r="BB2" s="932"/>
      <c r="BC2" s="932"/>
      <c r="BD2" s="932"/>
      <c r="BE2" s="932"/>
    </row>
    <row r="3" spans="1:57" ht="10.5" customHeight="1">
      <c r="AP3" s="932"/>
      <c r="AQ3" s="932"/>
      <c r="AR3" s="932"/>
      <c r="AS3" s="932"/>
      <c r="AT3" s="932"/>
      <c r="AU3" s="932"/>
      <c r="AV3" s="932"/>
      <c r="AW3" s="932"/>
      <c r="AX3" s="932"/>
      <c r="AY3" s="932"/>
      <c r="AZ3" s="932"/>
      <c r="BA3" s="932"/>
      <c r="BB3" s="932"/>
      <c r="BC3" s="932"/>
      <c r="BD3" s="932"/>
      <c r="BE3" s="932"/>
    </row>
    <row r="4" spans="1:57" ht="18" customHeight="1">
      <c r="A4" s="902" t="s">
        <v>3593</v>
      </c>
      <c r="AP4" s="933"/>
      <c r="AQ4" s="932"/>
      <c r="AR4" s="932"/>
      <c r="AS4" s="932"/>
      <c r="AT4" s="932"/>
      <c r="AU4" s="932"/>
      <c r="AV4" s="932"/>
      <c r="AW4" s="932"/>
      <c r="AX4" s="932"/>
      <c r="AY4" s="932"/>
      <c r="AZ4" s="932"/>
      <c r="BA4" s="932"/>
      <c r="BB4" s="932"/>
      <c r="BC4" s="932"/>
      <c r="BD4" s="932"/>
      <c r="BE4" s="932"/>
    </row>
    <row r="5" spans="1:57" ht="9" customHeight="1"/>
    <row r="6" spans="1:57" ht="18" customHeight="1">
      <c r="A6" s="902" t="s">
        <v>3267</v>
      </c>
    </row>
    <row r="8" spans="1:57" s="606" customFormat="1" ht="18" customHeight="1">
      <c r="AD8" s="1889" t="s">
        <v>3329</v>
      </c>
      <c r="AE8" s="1889"/>
      <c r="AF8" s="1889"/>
      <c r="AG8" s="1889"/>
      <c r="AH8" s="1889"/>
      <c r="AI8" s="1889"/>
      <c r="AJ8" s="1889"/>
      <c r="AK8" s="1889"/>
      <c r="AL8" s="1889"/>
      <c r="AM8" s="1889"/>
      <c r="AN8" s="1889"/>
    </row>
    <row r="9" spans="1:57" s="606" customFormat="1" ht="18" customHeight="1"/>
    <row r="10" spans="1:57" s="606" customFormat="1" ht="18" customHeight="1">
      <c r="N10" s="1891" t="s">
        <v>3570</v>
      </c>
      <c r="O10" s="1891"/>
      <c r="P10" s="1891"/>
      <c r="Q10" s="1891"/>
      <c r="R10" s="1891"/>
      <c r="S10" s="1891"/>
      <c r="T10" s="1891"/>
      <c r="V10" s="1890" t="str">
        <f>cst_wskakunin_owner1__address</f>
        <v>東京都港区虎ノ門1-1-21</v>
      </c>
      <c r="W10" s="1857"/>
      <c r="X10" s="1857"/>
      <c r="Y10" s="1857"/>
      <c r="Z10" s="1857"/>
      <c r="AA10" s="1857"/>
      <c r="AB10" s="1857"/>
      <c r="AC10" s="1857"/>
      <c r="AD10" s="1857"/>
      <c r="AE10" s="1857"/>
      <c r="AF10" s="1857"/>
      <c r="AG10" s="1857"/>
      <c r="AH10" s="1857"/>
      <c r="AI10" s="1857"/>
      <c r="AJ10" s="1857"/>
      <c r="AK10" s="1857"/>
      <c r="AL10" s="1857"/>
      <c r="AM10" s="1857"/>
      <c r="AN10" s="1857"/>
    </row>
    <row r="11" spans="1:57" s="606" customFormat="1" ht="18" customHeight="1">
      <c r="V11" s="1890" t="str">
        <f>cst_wskakunin_owner1_JIMU_NAME</f>
        <v>株式会社ユーイック不動産</v>
      </c>
      <c r="W11" s="1857"/>
      <c r="X11" s="1857"/>
      <c r="Y11" s="1857"/>
      <c r="Z11" s="1857"/>
      <c r="AA11" s="1857"/>
      <c r="AB11" s="1857"/>
      <c r="AC11" s="1857"/>
      <c r="AD11" s="1857"/>
      <c r="AE11" s="1857"/>
      <c r="AF11" s="1857"/>
      <c r="AG11" s="1857"/>
      <c r="AH11" s="1857"/>
      <c r="AI11" s="1857"/>
      <c r="AJ11" s="1857"/>
      <c r="AK11" s="1857"/>
      <c r="AL11" s="1857"/>
      <c r="AM11" s="1857"/>
      <c r="AN11" s="1857"/>
    </row>
    <row r="12" spans="1:57" s="606" customFormat="1" ht="18" customHeight="1">
      <c r="N12" s="1891"/>
      <c r="O12" s="1891"/>
      <c r="P12" s="1891"/>
      <c r="Q12" s="1891"/>
      <c r="R12" s="1891"/>
      <c r="S12" s="1891"/>
      <c r="T12" s="1891"/>
      <c r="V12" s="1890" t="str">
        <f>cst_wskakunin_owner1_POST</f>
        <v>代表取締役社長</v>
      </c>
      <c r="W12" s="1890"/>
      <c r="X12" s="1890"/>
      <c r="Y12" s="1890"/>
      <c r="Z12" s="1890"/>
      <c r="AA12" s="1890"/>
      <c r="AB12" s="1890"/>
      <c r="AC12" s="1890"/>
      <c r="AD12" s="1890"/>
      <c r="AE12" s="1890"/>
      <c r="AF12" s="1890"/>
      <c r="AG12" s="1890"/>
      <c r="AH12" s="1890"/>
      <c r="AI12" s="1890"/>
      <c r="AJ12" s="1890"/>
      <c r="AK12" s="1890"/>
      <c r="AL12" s="1890"/>
      <c r="AM12" s="1890"/>
      <c r="AN12" s="945"/>
    </row>
    <row r="13" spans="1:57" s="606" customFormat="1" ht="18" customHeight="1">
      <c r="N13" s="1891" t="s">
        <v>7</v>
      </c>
      <c r="O13" s="1891"/>
      <c r="P13" s="1891"/>
      <c r="Q13" s="1891"/>
      <c r="R13" s="1891"/>
      <c r="S13" s="1891"/>
      <c r="T13" s="1891"/>
      <c r="V13" s="1890" t="str">
        <f>cst_wskakunin_owner1_NAME</f>
        <v>野崎　豊</v>
      </c>
      <c r="W13" s="1890"/>
      <c r="X13" s="1890"/>
      <c r="Y13" s="1890"/>
      <c r="Z13" s="1890"/>
      <c r="AA13" s="1890"/>
      <c r="AB13" s="1890"/>
      <c r="AC13" s="1890"/>
      <c r="AD13" s="1890"/>
      <c r="AE13" s="1890"/>
      <c r="AF13" s="1890"/>
      <c r="AG13" s="1890"/>
      <c r="AH13" s="1890"/>
      <c r="AI13" s="1890"/>
      <c r="AJ13" s="1890"/>
      <c r="AK13" s="1890"/>
      <c r="AL13" s="1890"/>
      <c r="AM13" s="1890"/>
      <c r="AN13" s="945"/>
    </row>
    <row r="14" spans="1:57" s="606" customFormat="1" ht="9" customHeight="1"/>
    <row r="15" spans="1:57" s="606" customFormat="1" ht="18" customHeight="1">
      <c r="N15" s="1891" t="s">
        <v>3569</v>
      </c>
      <c r="O15" s="1891"/>
      <c r="P15" s="1891"/>
      <c r="Q15" s="1891"/>
      <c r="R15" s="1891"/>
      <c r="S15" s="1891"/>
      <c r="T15" s="1891"/>
      <c r="V15" s="1893" t="str">
        <f>cst_wskakunin_dairi1__address</f>
        <v>東京都港区虎ノ門1-1-21</v>
      </c>
      <c r="W15" s="1894"/>
      <c r="X15" s="1894"/>
      <c r="Y15" s="1894"/>
      <c r="Z15" s="1894"/>
      <c r="AA15" s="1894"/>
      <c r="AB15" s="1894"/>
      <c r="AC15" s="1894"/>
      <c r="AD15" s="1894"/>
      <c r="AE15" s="1894"/>
      <c r="AF15" s="1894"/>
      <c r="AG15" s="1894"/>
      <c r="AH15" s="1894"/>
      <c r="AI15" s="1894"/>
      <c r="AJ15" s="1894"/>
      <c r="AK15" s="1894"/>
      <c r="AL15" s="1894"/>
      <c r="AM15" s="1894"/>
      <c r="AN15" s="1894"/>
    </row>
    <row r="16" spans="1:57" s="606" customFormat="1" ht="18" customHeight="1">
      <c r="V16" s="1893" t="str">
        <f>cst_wskakunin_dairi1_JIMU_NAME</f>
        <v>一級建築士事務所　UHEC</v>
      </c>
      <c r="W16" s="1894"/>
      <c r="X16" s="1894"/>
      <c r="Y16" s="1894"/>
      <c r="Z16" s="1894"/>
      <c r="AA16" s="1894"/>
      <c r="AB16" s="1894"/>
      <c r="AC16" s="1894"/>
      <c r="AD16" s="1894"/>
      <c r="AE16" s="1894"/>
      <c r="AF16" s="1894"/>
      <c r="AG16" s="1894"/>
      <c r="AH16" s="1894"/>
      <c r="AI16" s="1894"/>
      <c r="AJ16" s="1894"/>
      <c r="AK16" s="1894"/>
      <c r="AL16" s="1894"/>
      <c r="AM16" s="1894"/>
      <c r="AN16" s="1894"/>
    </row>
    <row r="17" spans="1:41" s="606" customFormat="1" ht="18" customHeight="1">
      <c r="N17" s="1891" t="s">
        <v>7</v>
      </c>
      <c r="O17" s="1891"/>
      <c r="P17" s="1891"/>
      <c r="Q17" s="1891"/>
      <c r="R17" s="1891"/>
      <c r="S17" s="1891"/>
      <c r="T17" s="1891"/>
      <c r="V17" s="1893" t="str">
        <f>cst_wskakunin_dairi1_NAME</f>
        <v>藤田　ゆき子</v>
      </c>
      <c r="W17" s="1893"/>
      <c r="X17" s="1893"/>
      <c r="Y17" s="1893"/>
      <c r="Z17" s="1893"/>
      <c r="AA17" s="1893"/>
      <c r="AB17" s="1893"/>
      <c r="AC17" s="1893"/>
      <c r="AD17" s="1893"/>
      <c r="AE17" s="1893"/>
      <c r="AF17" s="1893"/>
      <c r="AG17" s="1893"/>
      <c r="AH17" s="1893"/>
      <c r="AI17" s="1893"/>
      <c r="AJ17" s="1893"/>
      <c r="AK17" s="1893"/>
      <c r="AL17" s="1893"/>
      <c r="AM17" s="1893"/>
      <c r="AN17" s="1015"/>
    </row>
    <row r="18" spans="1:41" s="606" customFormat="1" ht="18" customHeight="1">
      <c r="N18" s="651"/>
      <c r="O18" s="651"/>
      <c r="P18" s="651"/>
      <c r="Q18" s="651"/>
      <c r="R18" s="651"/>
      <c r="S18" s="651"/>
      <c r="T18" s="651"/>
      <c r="AN18" s="1015"/>
    </row>
    <row r="19" spans="1:41" s="606" customFormat="1" ht="15" customHeight="1"/>
    <row r="20" spans="1:41" s="606" customFormat="1" ht="18" customHeight="1">
      <c r="A20" s="650" t="s">
        <v>3287</v>
      </c>
      <c r="B20" s="650"/>
      <c r="C20" s="650"/>
      <c r="D20" s="650"/>
      <c r="E20" s="650"/>
      <c r="F20" s="650"/>
      <c r="G20" s="650"/>
      <c r="H20" s="650"/>
      <c r="I20" s="650"/>
      <c r="J20" s="650"/>
      <c r="K20" s="650"/>
      <c r="L20" s="650"/>
      <c r="M20" s="650"/>
      <c r="N20" s="650"/>
      <c r="O20" s="650"/>
      <c r="P20" s="650"/>
      <c r="Q20" s="650"/>
      <c r="R20" s="650"/>
      <c r="S20" s="650"/>
      <c r="T20" s="650"/>
      <c r="U20" s="650"/>
      <c r="V20" s="650"/>
      <c r="W20" s="650"/>
      <c r="X20" s="650"/>
      <c r="Y20" s="650"/>
      <c r="Z20" s="650"/>
      <c r="AA20" s="650"/>
      <c r="AB20" s="650"/>
      <c r="AC20" s="650"/>
      <c r="AD20" s="650"/>
      <c r="AE20" s="650"/>
      <c r="AF20" s="650"/>
      <c r="AG20" s="650"/>
      <c r="AH20" s="650"/>
      <c r="AI20" s="650"/>
      <c r="AJ20" s="650"/>
      <c r="AK20" s="650"/>
      <c r="AL20" s="650"/>
      <c r="AM20" s="650"/>
      <c r="AN20" s="650"/>
    </row>
    <row r="21" spans="1:41" s="606" customFormat="1" ht="15" customHeight="1"/>
    <row r="22" spans="1:41" ht="18" customHeight="1">
      <c r="A22" s="902" t="s">
        <v>3568</v>
      </c>
    </row>
    <row r="23" spans="1:41" ht="18" customHeight="1">
      <c r="B23" s="902" t="s">
        <v>3567</v>
      </c>
      <c r="L23" s="1851" t="str">
        <f ca="1">cst_ISSUE_NO_select</f>
        <v>第UHEC建確R070030号</v>
      </c>
      <c r="M23" s="1851"/>
      <c r="N23" s="1851"/>
      <c r="O23" s="1851"/>
      <c r="P23" s="1851"/>
      <c r="Q23" s="1851"/>
      <c r="R23" s="1851"/>
      <c r="S23" s="1851"/>
      <c r="T23" s="1851"/>
      <c r="U23" s="1851"/>
      <c r="V23" s="1851"/>
    </row>
    <row r="24" spans="1:41" ht="18" customHeight="1">
      <c r="B24" s="902" t="s">
        <v>3566</v>
      </c>
      <c r="L24" s="1853">
        <f ca="1">cst_ISSUE_DATE_select</f>
        <v>45922</v>
      </c>
      <c r="M24" s="1853"/>
      <c r="N24" s="1853"/>
      <c r="O24" s="1853"/>
      <c r="P24" s="1853"/>
      <c r="Q24" s="1853"/>
      <c r="R24" s="1853"/>
      <c r="S24" s="1853"/>
      <c r="T24" s="1853"/>
      <c r="U24" s="1853"/>
      <c r="V24" s="1853"/>
    </row>
    <row r="25" spans="1:41" ht="18" customHeight="1">
      <c r="B25" s="902" t="s">
        <v>3565</v>
      </c>
      <c r="L25" s="1871" t="str">
        <f>cst_wskakunin_LAST_ISSUE_NAME</f>
        <v>株式会社　都市居住評価センター 代表取締役社長　野崎　豊</v>
      </c>
      <c r="M25" s="1871"/>
      <c r="N25" s="1871"/>
      <c r="O25" s="1871"/>
      <c r="P25" s="1871"/>
      <c r="Q25" s="1871"/>
      <c r="R25" s="1871"/>
      <c r="S25" s="1871"/>
      <c r="T25" s="1871"/>
      <c r="U25" s="1871"/>
      <c r="V25" s="1871"/>
      <c r="W25" s="1871"/>
      <c r="X25" s="1871"/>
      <c r="Y25" s="1871"/>
      <c r="Z25" s="1871"/>
      <c r="AA25" s="1871"/>
      <c r="AB25" s="1871"/>
      <c r="AC25" s="1871"/>
      <c r="AD25" s="1871"/>
      <c r="AE25" s="1871"/>
      <c r="AF25" s="1871"/>
      <c r="AG25" s="1871"/>
      <c r="AH25" s="1871"/>
      <c r="AI25" s="1871"/>
      <c r="AJ25" s="1871"/>
      <c r="AK25" s="1871"/>
      <c r="AL25" s="1871"/>
      <c r="AM25" s="1871"/>
      <c r="AN25" s="1871"/>
      <c r="AO25" s="928"/>
    </row>
    <row r="26" spans="1:41" ht="9" customHeight="1"/>
    <row r="27" spans="1:41" ht="18" customHeight="1">
      <c r="A27" s="902" t="s">
        <v>3564</v>
      </c>
    </row>
    <row r="28" spans="1:41" ht="18" customHeight="1">
      <c r="C28" s="1856" t="str">
        <f>cst_wskakunin_BUILD__address</f>
        <v>東京都港区虎ノ門１－１－１</v>
      </c>
      <c r="D28" s="1857"/>
      <c r="E28" s="1857"/>
      <c r="F28" s="1857"/>
      <c r="G28" s="1857"/>
      <c r="H28" s="1857"/>
      <c r="I28" s="1857"/>
      <c r="J28" s="1857"/>
      <c r="K28" s="1857"/>
      <c r="L28" s="1857"/>
      <c r="M28" s="1857"/>
      <c r="N28" s="1857"/>
      <c r="O28" s="1857"/>
      <c r="P28" s="1857"/>
      <c r="Q28" s="1857"/>
      <c r="R28" s="1857"/>
      <c r="S28" s="1857"/>
      <c r="T28" s="1857"/>
      <c r="U28" s="1857"/>
      <c r="V28" s="1857"/>
      <c r="W28" s="1857"/>
      <c r="X28" s="1857"/>
      <c r="Y28" s="1857"/>
      <c r="Z28" s="1857"/>
      <c r="AA28" s="1857"/>
      <c r="AB28" s="1857"/>
      <c r="AC28" s="1857"/>
      <c r="AD28" s="1857"/>
      <c r="AE28" s="1857"/>
      <c r="AF28" s="1857"/>
      <c r="AG28" s="1857"/>
      <c r="AH28" s="1857"/>
      <c r="AI28" s="1857"/>
      <c r="AJ28" s="1857"/>
      <c r="AK28" s="1857"/>
      <c r="AL28" s="1857"/>
      <c r="AM28" s="1857"/>
      <c r="AN28" s="1857"/>
    </row>
    <row r="29" spans="1:41" ht="9" customHeight="1"/>
    <row r="30" spans="1:41" ht="15" customHeight="1">
      <c r="A30" s="1892" t="s">
        <v>3592</v>
      </c>
      <c r="B30" s="1892"/>
      <c r="C30" s="1892"/>
      <c r="D30" s="1892"/>
      <c r="E30" s="1892"/>
      <c r="F30" s="1892"/>
      <c r="G30" s="1892"/>
      <c r="H30" s="1892"/>
      <c r="I30" s="1892"/>
      <c r="J30" s="1892"/>
    </row>
    <row r="31" spans="1:41" ht="18" customHeight="1">
      <c r="B31" s="902" t="s">
        <v>3590</v>
      </c>
      <c r="K31" s="1885" t="str">
        <f>cst_wskakunin_kanri1_SIKAKU</f>
        <v>一級</v>
      </c>
      <c r="L31" s="1886"/>
      <c r="M31" s="1886"/>
      <c r="N31" s="902" t="s">
        <v>3494</v>
      </c>
      <c r="T31" s="1887" t="str">
        <f>cst_wskakunin_kanri1_TOUROKU_KIKAN</f>
        <v>国土交通大臣</v>
      </c>
      <c r="U31" s="1888"/>
      <c r="V31" s="1888"/>
      <c r="W31" s="1888"/>
      <c r="X31" s="1888"/>
      <c r="Y31" s="1888"/>
      <c r="AC31" s="944" t="s">
        <v>3589</v>
      </c>
      <c r="AD31" s="1885" t="str">
        <f>cst_wskakunin_kanri1_KENTIKUSI_NO</f>
        <v>12121212</v>
      </c>
      <c r="AE31" s="1886"/>
      <c r="AF31" s="1886"/>
      <c r="AG31" s="1886"/>
      <c r="AH31" s="1884"/>
      <c r="AI31" s="902" t="s">
        <v>381</v>
      </c>
    </row>
    <row r="32" spans="1:41" ht="16.5" customHeight="1">
      <c r="B32" s="902" t="s">
        <v>3556</v>
      </c>
      <c r="K32" s="1851" t="str">
        <f>cst_wskakunin_kanri1_NAME</f>
        <v>髙橋　一郎</v>
      </c>
      <c r="L32" s="1884"/>
      <c r="M32" s="1884"/>
      <c r="N32" s="1884"/>
      <c r="O32" s="1884"/>
      <c r="P32" s="1884"/>
      <c r="Q32" s="1884"/>
      <c r="R32" s="1884"/>
      <c r="S32" s="1884"/>
      <c r="T32" s="1884"/>
      <c r="U32" s="1884"/>
      <c r="V32" s="1884"/>
      <c r="W32" s="1884"/>
      <c r="X32" s="1884"/>
      <c r="Y32" s="1884"/>
      <c r="Z32" s="1884"/>
      <c r="AA32" s="1884"/>
      <c r="AB32" s="1884"/>
      <c r="AC32" s="1884"/>
      <c r="AD32" s="1884"/>
      <c r="AE32" s="1884"/>
      <c r="AF32" s="1884"/>
      <c r="AG32" s="1884"/>
      <c r="AH32" s="1884"/>
      <c r="AI32" s="1884"/>
      <c r="AJ32" s="1884"/>
      <c r="AK32" s="1884"/>
      <c r="AL32" s="1884"/>
      <c r="AM32" s="1884"/>
      <c r="AN32" s="1884"/>
    </row>
    <row r="33" spans="1:40" ht="18" customHeight="1">
      <c r="B33" s="902" t="s">
        <v>3588</v>
      </c>
      <c r="K33" s="1885" t="str">
        <f>cst_wskakunin_kanri1_JIMU_SIKAKU</f>
        <v>一級</v>
      </c>
      <c r="L33" s="1886"/>
      <c r="M33" s="1886"/>
      <c r="N33" s="902" t="s">
        <v>3490</v>
      </c>
      <c r="T33" s="1885" t="str">
        <f>cst_wskakunin_kanri1_JIMU_TOUROKU_KIKAN</f>
        <v>東京都</v>
      </c>
      <c r="U33" s="1886"/>
      <c r="V33" s="1886"/>
      <c r="W33" s="1886"/>
      <c r="AC33" s="944" t="s">
        <v>3587</v>
      </c>
      <c r="AD33" s="1885">
        <f>cst_wskakunin_kanri1_JIMU_NO</f>
        <v>11111</v>
      </c>
      <c r="AE33" s="1886"/>
      <c r="AF33" s="1886"/>
      <c r="AG33" s="1886"/>
      <c r="AH33" s="1884"/>
      <c r="AI33" s="902" t="s">
        <v>381</v>
      </c>
    </row>
    <row r="34" spans="1:40" ht="15.75" customHeight="1">
      <c r="K34" s="1856" t="str">
        <f>cst_wskakunin_kanri1_JIMU_NAME</f>
        <v>一級建築士事務所　UHEC</v>
      </c>
      <c r="L34" s="1857"/>
      <c r="M34" s="1857"/>
      <c r="N34" s="1857"/>
      <c r="O34" s="1857"/>
      <c r="P34" s="1857"/>
      <c r="Q34" s="1857"/>
      <c r="R34" s="1857"/>
      <c r="S34" s="1857"/>
      <c r="T34" s="1857"/>
      <c r="U34" s="1857"/>
      <c r="V34" s="1857"/>
      <c r="W34" s="1857"/>
      <c r="X34" s="1857"/>
      <c r="Y34" s="1857"/>
      <c r="Z34" s="1857"/>
      <c r="AA34" s="1857"/>
      <c r="AB34" s="1857"/>
      <c r="AC34" s="1857"/>
      <c r="AD34" s="1857"/>
      <c r="AE34" s="1857"/>
      <c r="AF34" s="1857"/>
      <c r="AG34" s="1857"/>
      <c r="AH34" s="1857"/>
      <c r="AI34" s="1857"/>
      <c r="AJ34" s="1857"/>
      <c r="AK34" s="1857"/>
      <c r="AL34" s="1857"/>
      <c r="AM34" s="1857"/>
      <c r="AN34" s="1857"/>
    </row>
    <row r="35" spans="1:40" ht="15" customHeight="1">
      <c r="B35" s="902" t="s">
        <v>3586</v>
      </c>
      <c r="K35" s="902" t="s">
        <v>3558</v>
      </c>
      <c r="L35" s="1851" t="str">
        <f>cst_wskakunin_kanri1_ZIP</f>
        <v>105-0001</v>
      </c>
      <c r="M35" s="1884"/>
      <c r="N35" s="1884"/>
      <c r="O35" s="1884"/>
      <c r="Q35" s="1856" t="str">
        <f>cst_wskakunin_kanri1__address</f>
        <v>東京都港区虎ノ門1-1-21</v>
      </c>
      <c r="R35" s="1856"/>
      <c r="S35" s="1856"/>
      <c r="T35" s="1856"/>
      <c r="U35" s="1856"/>
      <c r="V35" s="1856"/>
      <c r="W35" s="1856"/>
      <c r="X35" s="1856"/>
      <c r="Y35" s="1856"/>
      <c r="Z35" s="1856"/>
      <c r="AA35" s="1856"/>
      <c r="AB35" s="1856"/>
      <c r="AC35" s="1856"/>
      <c r="AD35" s="1856"/>
      <c r="AE35" s="1856"/>
      <c r="AF35" s="1856"/>
      <c r="AG35" s="1856"/>
      <c r="AH35" s="1856"/>
      <c r="AI35" s="1856"/>
      <c r="AJ35" s="1856"/>
      <c r="AK35" s="1856"/>
      <c r="AL35" s="1856"/>
      <c r="AM35" s="1856"/>
      <c r="AN35" s="1856"/>
    </row>
    <row r="36" spans="1:40" ht="15.75" customHeight="1">
      <c r="B36" s="902" t="s">
        <v>3555</v>
      </c>
      <c r="H36" s="1851" t="str">
        <f>cst_wskakunin_kanri1_TEL</f>
        <v>03-3504-2386</v>
      </c>
      <c r="I36" s="1851"/>
      <c r="J36" s="1851"/>
      <c r="K36" s="1851"/>
      <c r="L36" s="1851"/>
      <c r="M36" s="1851"/>
      <c r="N36" s="1851"/>
      <c r="O36" s="1851"/>
      <c r="P36" s="1851"/>
      <c r="Q36" s="1898" t="s">
        <v>3585</v>
      </c>
      <c r="R36" s="1898"/>
      <c r="S36" s="1898"/>
      <c r="T36" s="1898"/>
      <c r="U36" s="1898"/>
      <c r="V36" s="1898"/>
      <c r="W36" s="1898"/>
      <c r="X36" s="1898"/>
      <c r="Y36" s="1898"/>
      <c r="Z36" s="1898"/>
      <c r="AA36" s="1898"/>
      <c r="AB36" s="1898"/>
      <c r="AC36" s="1856" t="str">
        <f>cst_wskakunin_kanri1_DOC</f>
        <v>全ての設計図書</v>
      </c>
      <c r="AD36" s="1856"/>
      <c r="AE36" s="1856"/>
      <c r="AF36" s="1856"/>
      <c r="AG36" s="1856"/>
      <c r="AH36" s="1856"/>
      <c r="AI36" s="1856"/>
      <c r="AJ36" s="1856"/>
      <c r="AK36" s="1856"/>
      <c r="AL36" s="1856"/>
      <c r="AM36" s="1856"/>
      <c r="AN36" s="1856"/>
    </row>
    <row r="37" spans="1:40" ht="7.5" customHeight="1">
      <c r="J37" s="943"/>
      <c r="K37" s="943"/>
      <c r="L37" s="943"/>
      <c r="M37" s="943"/>
      <c r="N37" s="943"/>
      <c r="O37" s="943"/>
      <c r="P37" s="943"/>
    </row>
    <row r="38" spans="1:40" ht="14.25" customHeight="1">
      <c r="A38" s="1892" t="s">
        <v>3591</v>
      </c>
      <c r="B38" s="1892"/>
      <c r="C38" s="1892"/>
      <c r="D38" s="1892"/>
      <c r="E38" s="1892"/>
      <c r="F38" s="1892"/>
      <c r="G38" s="1892"/>
      <c r="H38" s="1892"/>
      <c r="I38" s="1892"/>
      <c r="J38" s="1892"/>
    </row>
    <row r="39" spans="1:40" ht="17.25" customHeight="1">
      <c r="B39" s="902" t="s">
        <v>3590</v>
      </c>
      <c r="K39" s="1879"/>
      <c r="L39" s="1880"/>
      <c r="M39" s="1880"/>
      <c r="N39" s="902" t="s">
        <v>3494</v>
      </c>
      <c r="T39" s="1882"/>
      <c r="U39" s="1883"/>
      <c r="V39" s="1883"/>
      <c r="W39" s="1883"/>
      <c r="X39" s="1883"/>
      <c r="Y39" s="1883"/>
      <c r="AC39" s="944" t="s">
        <v>3589</v>
      </c>
      <c r="AD39" s="1879"/>
      <c r="AE39" s="1880"/>
      <c r="AF39" s="1880"/>
      <c r="AG39" s="1880"/>
      <c r="AH39" s="1881"/>
      <c r="AI39" s="902" t="s">
        <v>381</v>
      </c>
    </row>
    <row r="40" spans="1:40" ht="16.5" customHeight="1">
      <c r="B40" s="902" t="s">
        <v>3556</v>
      </c>
      <c r="K40" s="1859"/>
      <c r="L40" s="1881"/>
      <c r="M40" s="1881"/>
      <c r="N40" s="1881"/>
      <c r="O40" s="1881"/>
      <c r="P40" s="1881"/>
      <c r="Q40" s="1881"/>
      <c r="R40" s="1881"/>
      <c r="S40" s="1881"/>
      <c r="T40" s="1881"/>
      <c r="U40" s="1881"/>
      <c r="V40" s="1881"/>
      <c r="W40" s="1881"/>
      <c r="X40" s="1881"/>
      <c r="Y40" s="1881"/>
      <c r="Z40" s="1881"/>
      <c r="AA40" s="1881"/>
      <c r="AB40" s="1881"/>
      <c r="AC40" s="1881"/>
      <c r="AD40" s="1881"/>
      <c r="AE40" s="1881"/>
      <c r="AF40" s="1881"/>
      <c r="AG40" s="1881"/>
      <c r="AH40" s="1881"/>
      <c r="AI40" s="1881"/>
      <c r="AJ40" s="1881"/>
      <c r="AK40" s="1881"/>
      <c r="AL40" s="1881"/>
      <c r="AM40" s="1881"/>
      <c r="AN40" s="1881"/>
    </row>
    <row r="41" spans="1:40" ht="16.5" customHeight="1">
      <c r="B41" s="902" t="s">
        <v>3588</v>
      </c>
      <c r="K41" s="1879"/>
      <c r="L41" s="1880"/>
      <c r="M41" s="1880"/>
      <c r="N41" s="902" t="s">
        <v>3490</v>
      </c>
      <c r="T41" s="1879"/>
      <c r="U41" s="1880"/>
      <c r="V41" s="1880"/>
      <c r="W41" s="1880"/>
      <c r="AC41" s="944" t="s">
        <v>3587</v>
      </c>
      <c r="AD41" s="1879"/>
      <c r="AE41" s="1880"/>
      <c r="AF41" s="1880"/>
      <c r="AG41" s="1880"/>
      <c r="AH41" s="1881"/>
      <c r="AI41" s="902" t="s">
        <v>381</v>
      </c>
    </row>
    <row r="42" spans="1:40" ht="16.5" customHeight="1">
      <c r="K42" s="1876"/>
      <c r="L42" s="1878"/>
      <c r="M42" s="1878"/>
      <c r="N42" s="1878"/>
      <c r="O42" s="1878"/>
      <c r="P42" s="1878"/>
      <c r="Q42" s="1878"/>
      <c r="R42" s="1878"/>
      <c r="S42" s="1878"/>
      <c r="T42" s="1878"/>
      <c r="U42" s="1878"/>
      <c r="V42" s="1878"/>
      <c r="W42" s="1878"/>
      <c r="X42" s="1878"/>
      <c r="Y42" s="1878"/>
      <c r="Z42" s="1878"/>
      <c r="AA42" s="1878"/>
      <c r="AB42" s="1878"/>
      <c r="AC42" s="1878"/>
      <c r="AD42" s="1878"/>
      <c r="AE42" s="1878"/>
      <c r="AF42" s="1878"/>
      <c r="AG42" s="1878"/>
      <c r="AH42" s="1878"/>
      <c r="AI42" s="1878"/>
      <c r="AJ42" s="1878"/>
      <c r="AK42" s="1878"/>
      <c r="AL42" s="1878"/>
      <c r="AM42" s="1878"/>
      <c r="AN42" s="1878"/>
    </row>
    <row r="43" spans="1:40" ht="15.75" customHeight="1">
      <c r="B43" s="902" t="s">
        <v>3586</v>
      </c>
      <c r="K43" s="902" t="s">
        <v>3558</v>
      </c>
      <c r="L43" s="1874"/>
      <c r="M43" s="1897"/>
      <c r="N43" s="1897"/>
      <c r="O43" s="1897"/>
      <c r="Q43" s="1876"/>
      <c r="R43" s="1876"/>
      <c r="S43" s="1876"/>
      <c r="T43" s="1876"/>
      <c r="U43" s="1876"/>
      <c r="V43" s="1876"/>
      <c r="W43" s="1876"/>
      <c r="X43" s="1876"/>
      <c r="Y43" s="1876"/>
      <c r="Z43" s="1876"/>
      <c r="AA43" s="1876"/>
      <c r="AB43" s="1876"/>
      <c r="AC43" s="1876"/>
      <c r="AD43" s="1876"/>
      <c r="AE43" s="1876"/>
      <c r="AF43" s="1876"/>
      <c r="AG43" s="1876"/>
      <c r="AH43" s="1876"/>
      <c r="AI43" s="1876"/>
      <c r="AJ43" s="1876"/>
      <c r="AK43" s="1876"/>
      <c r="AL43" s="1876"/>
      <c r="AM43" s="1876"/>
      <c r="AN43" s="1876"/>
    </row>
    <row r="44" spans="1:40" ht="17.25" customHeight="1">
      <c r="B44" s="902" t="s">
        <v>3555</v>
      </c>
      <c r="H44" s="1859"/>
      <c r="I44" s="1859"/>
      <c r="J44" s="1859"/>
      <c r="K44" s="1859"/>
      <c r="L44" s="1859"/>
      <c r="M44" s="1859"/>
      <c r="N44" s="1859"/>
      <c r="O44" s="1859"/>
      <c r="P44" s="1859"/>
      <c r="Q44" s="1898" t="s">
        <v>3585</v>
      </c>
      <c r="R44" s="1898"/>
      <c r="S44" s="1898"/>
      <c r="T44" s="1898"/>
      <c r="U44" s="1898"/>
      <c r="V44" s="1898"/>
      <c r="W44" s="1898"/>
      <c r="X44" s="1898"/>
      <c r="Y44" s="1898"/>
      <c r="Z44" s="1898"/>
      <c r="AA44" s="1898"/>
      <c r="AB44" s="1898"/>
      <c r="AC44" s="1876"/>
      <c r="AD44" s="1876"/>
      <c r="AE44" s="1876"/>
      <c r="AF44" s="1876"/>
      <c r="AG44" s="1876"/>
      <c r="AH44" s="1876"/>
      <c r="AI44" s="1876"/>
      <c r="AJ44" s="1876"/>
      <c r="AK44" s="1876"/>
      <c r="AL44" s="1876"/>
      <c r="AM44" s="1876"/>
      <c r="AN44" s="1876"/>
    </row>
    <row r="45" spans="1:40" ht="18" customHeight="1">
      <c r="A45" s="902" t="s">
        <v>3301</v>
      </c>
      <c r="K45" s="1896" t="s">
        <v>3276</v>
      </c>
      <c r="L45" s="1896"/>
      <c r="M45" s="1896"/>
      <c r="N45" s="1896"/>
      <c r="O45" s="1896"/>
      <c r="P45" s="1896"/>
      <c r="Q45" s="1896"/>
      <c r="R45" s="1896"/>
      <c r="S45" s="1896"/>
      <c r="T45" s="1896"/>
      <c r="U45" s="1896"/>
    </row>
    <row r="46" spans="1:40" ht="16.5" customHeight="1">
      <c r="C46" s="1895"/>
      <c r="D46" s="1895"/>
      <c r="E46" s="1895"/>
      <c r="F46" s="1895"/>
      <c r="G46" s="1895"/>
      <c r="H46" s="1895"/>
      <c r="I46" s="1895"/>
      <c r="J46" s="1895"/>
      <c r="K46" s="1895"/>
      <c r="L46" s="1895"/>
      <c r="M46" s="1895"/>
      <c r="N46" s="1895"/>
      <c r="O46" s="1895"/>
      <c r="P46" s="1895"/>
      <c r="Q46" s="1895"/>
      <c r="R46" s="1895"/>
      <c r="S46" s="1895"/>
      <c r="T46" s="1895"/>
      <c r="U46" s="1895"/>
      <c r="V46" s="1895"/>
      <c r="W46" s="1895"/>
      <c r="X46" s="1895"/>
      <c r="Y46" s="1895"/>
      <c r="Z46" s="1895"/>
      <c r="AA46" s="1895"/>
      <c r="AB46" s="1895"/>
      <c r="AC46" s="1895"/>
      <c r="AD46" s="1895"/>
      <c r="AE46" s="1895"/>
      <c r="AF46" s="1895"/>
      <c r="AG46" s="1895"/>
      <c r="AH46" s="1895"/>
      <c r="AI46" s="1895"/>
      <c r="AJ46" s="1895"/>
      <c r="AK46" s="1895"/>
      <c r="AL46" s="1895"/>
      <c r="AM46" s="1895"/>
      <c r="AN46" s="1895"/>
    </row>
    <row r="47" spans="1:40" ht="18" customHeight="1">
      <c r="A47" s="925" t="s">
        <v>3258</v>
      </c>
      <c r="B47" s="924"/>
      <c r="C47" s="924"/>
      <c r="D47" s="924"/>
      <c r="E47" s="924"/>
      <c r="F47" s="924"/>
      <c r="G47" s="924"/>
      <c r="H47" s="924"/>
      <c r="I47" s="924"/>
      <c r="J47" s="924"/>
      <c r="K47" s="924"/>
      <c r="L47" s="924"/>
      <c r="M47" s="923"/>
      <c r="N47" s="925" t="s">
        <v>3449</v>
      </c>
      <c r="O47" s="924"/>
      <c r="P47" s="924"/>
      <c r="Q47" s="924"/>
      <c r="R47" s="924"/>
      <c r="S47" s="924"/>
      <c r="T47" s="924"/>
      <c r="U47" s="924"/>
      <c r="V47" s="924"/>
      <c r="W47" s="924"/>
      <c r="X47" s="924"/>
      <c r="Y47" s="924"/>
      <c r="Z47" s="924"/>
      <c r="AA47" s="923"/>
      <c r="AB47" s="925" t="s">
        <v>3554</v>
      </c>
      <c r="AC47" s="924"/>
      <c r="AD47" s="924"/>
      <c r="AE47" s="924"/>
      <c r="AF47" s="924"/>
      <c r="AG47" s="924"/>
      <c r="AH47" s="924"/>
      <c r="AI47" s="924"/>
      <c r="AJ47" s="924"/>
      <c r="AK47" s="924"/>
      <c r="AL47" s="924"/>
      <c r="AM47" s="924"/>
      <c r="AN47" s="923"/>
    </row>
    <row r="48" spans="1:40" ht="18" customHeight="1">
      <c r="A48" s="919" t="s">
        <v>3553</v>
      </c>
      <c r="B48" s="918"/>
      <c r="C48" s="918"/>
      <c r="D48" s="918"/>
      <c r="E48" s="918"/>
      <c r="F48" s="918"/>
      <c r="G48" s="918"/>
      <c r="H48" s="918"/>
      <c r="I48" s="918"/>
      <c r="J48" s="918"/>
      <c r="K48" s="918"/>
      <c r="L48" s="918"/>
      <c r="M48" s="917"/>
      <c r="N48" s="922"/>
      <c r="O48" s="921"/>
      <c r="P48" s="921"/>
      <c r="Q48" s="921"/>
      <c r="R48" s="921"/>
      <c r="S48" s="921"/>
      <c r="T48" s="921"/>
      <c r="U48" s="921"/>
      <c r="V48" s="921"/>
      <c r="W48" s="921"/>
      <c r="X48" s="921"/>
      <c r="Y48" s="921"/>
      <c r="Z48" s="921"/>
      <c r="AA48" s="920"/>
      <c r="AB48" s="919" t="s">
        <v>3553</v>
      </c>
      <c r="AC48" s="918"/>
      <c r="AD48" s="918"/>
      <c r="AE48" s="918"/>
      <c r="AF48" s="918"/>
      <c r="AG48" s="918"/>
      <c r="AH48" s="918"/>
      <c r="AI48" s="918"/>
      <c r="AJ48" s="918"/>
      <c r="AK48" s="918"/>
      <c r="AL48" s="918"/>
      <c r="AM48" s="918"/>
      <c r="AN48" s="917"/>
    </row>
    <row r="49" spans="1:40" ht="18" customHeight="1">
      <c r="A49" s="914" t="s">
        <v>3584</v>
      </c>
      <c r="B49" s="913"/>
      <c r="C49" s="913"/>
      <c r="D49" s="913"/>
      <c r="E49" s="913"/>
      <c r="F49" s="913"/>
      <c r="G49" s="913"/>
      <c r="H49" s="913"/>
      <c r="I49" s="913"/>
      <c r="J49" s="913"/>
      <c r="K49" s="913"/>
      <c r="L49" s="913"/>
      <c r="M49" s="912"/>
      <c r="N49" s="916"/>
      <c r="AA49" s="915"/>
      <c r="AB49" s="914" t="s">
        <v>3583</v>
      </c>
      <c r="AC49" s="913"/>
      <c r="AD49" s="913"/>
      <c r="AE49" s="913"/>
      <c r="AF49" s="913"/>
      <c r="AG49" s="913"/>
      <c r="AH49" s="913"/>
      <c r="AI49" s="913"/>
      <c r="AJ49" s="913"/>
      <c r="AK49" s="913"/>
      <c r="AL49" s="913"/>
      <c r="AM49" s="913"/>
      <c r="AN49" s="912"/>
    </row>
    <row r="50" spans="1:40" ht="27" customHeight="1">
      <c r="A50" s="908" t="s">
        <v>3254</v>
      </c>
      <c r="B50" s="907"/>
      <c r="C50" s="907"/>
      <c r="D50" s="907"/>
      <c r="E50" s="907"/>
      <c r="F50" s="907"/>
      <c r="G50" s="907"/>
      <c r="H50" s="907"/>
      <c r="I50" s="907"/>
      <c r="J50" s="907"/>
      <c r="K50" s="907"/>
      <c r="L50" s="907"/>
      <c r="M50" s="906"/>
      <c r="N50" s="911"/>
      <c r="O50" s="910"/>
      <c r="P50" s="910"/>
      <c r="Q50" s="910"/>
      <c r="R50" s="910"/>
      <c r="S50" s="910"/>
      <c r="T50" s="910"/>
      <c r="U50" s="910"/>
      <c r="V50" s="910"/>
      <c r="W50" s="910"/>
      <c r="X50" s="910"/>
      <c r="Y50" s="910"/>
      <c r="Z50" s="910"/>
      <c r="AA50" s="909"/>
      <c r="AB50" s="908" t="s">
        <v>3254</v>
      </c>
      <c r="AC50" s="907"/>
      <c r="AD50" s="907"/>
      <c r="AE50" s="907"/>
      <c r="AF50" s="907"/>
      <c r="AG50" s="907"/>
      <c r="AH50" s="907"/>
      <c r="AI50" s="907"/>
      <c r="AJ50" s="907"/>
      <c r="AK50" s="907"/>
      <c r="AL50" s="907"/>
      <c r="AM50" s="907"/>
      <c r="AN50" s="906"/>
    </row>
    <row r="51" spans="1:40" ht="12" customHeight="1">
      <c r="A51" s="904" t="s">
        <v>2676</v>
      </c>
      <c r="B51" s="904"/>
      <c r="D51" s="904" t="s">
        <v>3551</v>
      </c>
    </row>
    <row r="52" spans="1:40" ht="12" customHeight="1">
      <c r="B52" s="904"/>
      <c r="D52" s="904" t="s">
        <v>3550</v>
      </c>
    </row>
    <row r="53" spans="1:40" ht="12" customHeight="1">
      <c r="B53" s="904"/>
      <c r="D53" s="904" t="s">
        <v>3549</v>
      </c>
    </row>
    <row r="54" spans="1:40" ht="12" customHeight="1">
      <c r="B54" s="904"/>
      <c r="D54" s="904" t="s">
        <v>3582</v>
      </c>
    </row>
    <row r="55" spans="1:40" ht="18" customHeight="1">
      <c r="A55" s="903" t="s">
        <v>3547</v>
      </c>
      <c r="B55" s="904"/>
    </row>
  </sheetData>
  <mergeCells count="47">
    <mergeCell ref="V16:AN16"/>
    <mergeCell ref="N17:T17"/>
    <mergeCell ref="V17:AM17"/>
    <mergeCell ref="L23:V23"/>
    <mergeCell ref="L24:V24"/>
    <mergeCell ref="AC44:AN44"/>
    <mergeCell ref="C46:AN46"/>
    <mergeCell ref="K45:U45"/>
    <mergeCell ref="H36:P36"/>
    <mergeCell ref="H44:P44"/>
    <mergeCell ref="K41:M41"/>
    <mergeCell ref="T41:W41"/>
    <mergeCell ref="K42:AN42"/>
    <mergeCell ref="L43:O43"/>
    <mergeCell ref="AD41:AH41"/>
    <mergeCell ref="Q43:AN43"/>
    <mergeCell ref="Q36:AB36"/>
    <mergeCell ref="Q44:AB44"/>
    <mergeCell ref="AD8:AN8"/>
    <mergeCell ref="V10:AN10"/>
    <mergeCell ref="V11:AN11"/>
    <mergeCell ref="N10:T10"/>
    <mergeCell ref="A38:J38"/>
    <mergeCell ref="L35:O35"/>
    <mergeCell ref="AD31:AH31"/>
    <mergeCell ref="C28:AN28"/>
    <mergeCell ref="AD33:AH33"/>
    <mergeCell ref="A30:J30"/>
    <mergeCell ref="N12:T12"/>
    <mergeCell ref="V12:AM12"/>
    <mergeCell ref="N13:T13"/>
    <mergeCell ref="V13:AM13"/>
    <mergeCell ref="N15:T15"/>
    <mergeCell ref="V15:AN15"/>
    <mergeCell ref="L25:AN25"/>
    <mergeCell ref="AD39:AH39"/>
    <mergeCell ref="K40:AN40"/>
    <mergeCell ref="K39:M39"/>
    <mergeCell ref="AC36:AN36"/>
    <mergeCell ref="Q35:AN35"/>
    <mergeCell ref="T39:Y39"/>
    <mergeCell ref="K32:AN32"/>
    <mergeCell ref="K34:AN34"/>
    <mergeCell ref="K33:M33"/>
    <mergeCell ref="K31:M31"/>
    <mergeCell ref="T33:W33"/>
    <mergeCell ref="T31:Y31"/>
  </mergeCells>
  <phoneticPr fontId="122"/>
  <dataValidations disablePrompts="1" count="6">
    <dataValidation type="list" allowBlank="1" showInputMessage="1" showErrorMessage="1" sqref="AO25" xr:uid="{00000000-0002-0000-2100-000000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 type="list" allowBlank="1" showInputMessage="1" showErrorMessage="1" sqref="A30:J30" xr:uid="{00000000-0002-0000-2100-000001000000}">
      <formula1>"【選任した工事監理者】,【変更前工事監理者】"</formula1>
    </dataValidation>
    <dataValidation type="list" allowBlank="1" showInputMessage="1" showErrorMessage="1" sqref="A38:J38" xr:uid="{00000000-0002-0000-2100-000002000000}">
      <formula1>"【選任した工事監理者】,【変更後工事監理者】"</formula1>
    </dataValidation>
    <dataValidation type="list" allowBlank="1" showInputMessage="1" showErrorMessage="1" sqref="K39:M39 K41:M41" xr:uid="{00000000-0002-0000-2100-000003000000}">
      <formula1>"一級,二級"</formula1>
    </dataValidation>
    <dataValidation type="list" allowBlank="1" showInputMessage="1" sqref="L25:AN25" xr:uid="{00000000-0002-0000-2100-000004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 type="list" allowBlank="1" showInputMessage="1" sqref="K31:M31 K33:M33" xr:uid="{00000000-0002-0000-2100-000005000000}">
      <formula1>"一級,二級"</formula1>
    </dataValidation>
  </dataValidations>
  <pageMargins left="0.78740157480314965" right="0.59055118110236227" top="0.39370078740157483" bottom="0.39370078740157483" header="0.51181102362204722" footer="0.51181102362204722"/>
  <pageSetup paperSize="9" scale="96" orientation="portrait" blackAndWhite="1"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54"/>
  <sheetViews>
    <sheetView zoomScaleNormal="100" zoomScaleSheetLayoutView="100" workbookViewId="0">
      <selection activeCell="AO1" sqref="AO1"/>
    </sheetView>
  </sheetViews>
  <sheetFormatPr defaultColWidth="2.109375" defaultRowHeight="18" customHeight="1"/>
  <cols>
    <col min="1" max="1" width="2.109375" style="902" customWidth="1"/>
    <col min="2" max="16384" width="2.109375" style="902"/>
  </cols>
  <sheetData>
    <row r="1" spans="1:44" ht="15" customHeight="1">
      <c r="A1" s="902" t="s">
        <v>3606</v>
      </c>
    </row>
    <row r="2" spans="1:44" ht="8.25" customHeight="1"/>
    <row r="3" spans="1:44" ht="18" customHeight="1">
      <c r="A3" s="934" t="s">
        <v>3605</v>
      </c>
      <c r="B3" s="929"/>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c r="AK3" s="929"/>
      <c r="AL3" s="929"/>
      <c r="AM3" s="929"/>
      <c r="AN3" s="929"/>
      <c r="AR3" s="933"/>
    </row>
    <row r="4" spans="1:44" ht="11.25" customHeight="1">
      <c r="AR4" s="933"/>
    </row>
    <row r="5" spans="1:44" ht="18" customHeight="1">
      <c r="A5" s="902" t="s">
        <v>3604</v>
      </c>
      <c r="AR5" s="933"/>
    </row>
    <row r="6" spans="1:44" ht="11.25" customHeight="1"/>
    <row r="7" spans="1:44" ht="18" customHeight="1">
      <c r="A7" s="902" t="s">
        <v>3603</v>
      </c>
    </row>
    <row r="8" spans="1:44" ht="12" customHeight="1"/>
    <row r="9" spans="1:44" ht="18" customHeight="1">
      <c r="AD9" s="1855" t="s">
        <v>3276</v>
      </c>
      <c r="AE9" s="1855"/>
      <c r="AF9" s="1855"/>
      <c r="AG9" s="1855"/>
      <c r="AH9" s="1855"/>
      <c r="AI9" s="1855"/>
      <c r="AJ9" s="1855"/>
      <c r="AK9" s="1855"/>
      <c r="AL9" s="1855"/>
      <c r="AM9" s="1855"/>
      <c r="AN9" s="1855"/>
    </row>
    <row r="10" spans="1:44" ht="12" customHeight="1"/>
    <row r="11" spans="1:44" ht="15.6" customHeight="1">
      <c r="A11" s="606"/>
      <c r="B11" s="606"/>
      <c r="C11" s="606"/>
      <c r="D11" s="606"/>
      <c r="E11" s="606"/>
      <c r="F11" s="606"/>
      <c r="G11" s="606"/>
      <c r="H11" s="606"/>
      <c r="I11" s="606"/>
      <c r="J11" s="606"/>
      <c r="K11" s="606"/>
      <c r="L11" s="606"/>
      <c r="M11" s="606"/>
      <c r="N11" s="1891" t="s">
        <v>3570</v>
      </c>
      <c r="O11" s="1891"/>
      <c r="P11" s="1891"/>
      <c r="Q11" s="1891"/>
      <c r="R11" s="1891"/>
      <c r="S11" s="1891"/>
      <c r="T11" s="1891"/>
      <c r="U11" s="606"/>
      <c r="V11" s="1890" t="str">
        <f>cst_wskakunin_owner1__address</f>
        <v>東京都港区虎ノ門1-1-21</v>
      </c>
      <c r="W11" s="1857"/>
      <c r="X11" s="1857"/>
      <c r="Y11" s="1857"/>
      <c r="Z11" s="1857"/>
      <c r="AA11" s="1857"/>
      <c r="AB11" s="1857"/>
      <c r="AC11" s="1857"/>
      <c r="AD11" s="1857"/>
      <c r="AE11" s="1857"/>
      <c r="AF11" s="1857"/>
      <c r="AG11" s="1857"/>
      <c r="AH11" s="1857"/>
      <c r="AI11" s="1857"/>
      <c r="AJ11" s="1857"/>
      <c r="AK11" s="1857"/>
      <c r="AL11" s="1857"/>
      <c r="AM11" s="1857"/>
      <c r="AN11" s="1857"/>
    </row>
    <row r="12" spans="1:44" ht="15.6" customHeight="1">
      <c r="A12" s="606"/>
      <c r="B12" s="606"/>
      <c r="C12" s="606"/>
      <c r="D12" s="606"/>
      <c r="E12" s="606"/>
      <c r="F12" s="606"/>
      <c r="G12" s="606"/>
      <c r="H12" s="606"/>
      <c r="I12" s="606"/>
      <c r="J12" s="606"/>
      <c r="K12" s="606"/>
      <c r="L12" s="606"/>
      <c r="M12" s="606"/>
      <c r="N12" s="606"/>
      <c r="O12" s="606"/>
      <c r="P12" s="606"/>
      <c r="Q12" s="606"/>
      <c r="R12" s="606"/>
      <c r="S12" s="606"/>
      <c r="T12" s="606"/>
      <c r="U12" s="606"/>
      <c r="V12" s="1890" t="str">
        <f>cst_wskakunin_owner1_JIMU_NAME</f>
        <v>株式会社ユーイック不動産</v>
      </c>
      <c r="W12" s="1857"/>
      <c r="X12" s="1857"/>
      <c r="Y12" s="1857"/>
      <c r="Z12" s="1857"/>
      <c r="AA12" s="1857"/>
      <c r="AB12" s="1857"/>
      <c r="AC12" s="1857"/>
      <c r="AD12" s="1857"/>
      <c r="AE12" s="1857"/>
      <c r="AF12" s="1857"/>
      <c r="AG12" s="1857"/>
      <c r="AH12" s="1857"/>
      <c r="AI12" s="1857"/>
      <c r="AJ12" s="1857"/>
      <c r="AK12" s="1857"/>
      <c r="AL12" s="1857"/>
      <c r="AM12" s="1857"/>
      <c r="AN12" s="1857"/>
    </row>
    <row r="13" spans="1:44" ht="15.6" customHeight="1">
      <c r="A13" s="606"/>
      <c r="B13" s="606"/>
      <c r="C13" s="606"/>
      <c r="D13" s="606"/>
      <c r="E13" s="606"/>
      <c r="F13" s="606"/>
      <c r="G13" s="606"/>
      <c r="H13" s="606"/>
      <c r="I13" s="606"/>
      <c r="J13" s="606"/>
      <c r="K13" s="606"/>
      <c r="L13" s="606"/>
      <c r="M13" s="606"/>
      <c r="N13" s="1891"/>
      <c r="O13" s="1891"/>
      <c r="P13" s="1891"/>
      <c r="Q13" s="1891"/>
      <c r="R13" s="1891"/>
      <c r="S13" s="1891"/>
      <c r="T13" s="1891"/>
      <c r="U13" s="606"/>
      <c r="V13" s="1890" t="str">
        <f>cst_wskakunin_owner1_POST</f>
        <v>代表取締役社長</v>
      </c>
      <c r="W13" s="1890"/>
      <c r="X13" s="1890"/>
      <c r="Y13" s="1890"/>
      <c r="Z13" s="1890"/>
      <c r="AA13" s="1890"/>
      <c r="AB13" s="1890"/>
      <c r="AC13" s="1890"/>
      <c r="AD13" s="1890"/>
      <c r="AE13" s="1890"/>
      <c r="AF13" s="1890"/>
      <c r="AG13" s="1890"/>
      <c r="AH13" s="1890"/>
      <c r="AI13" s="1890"/>
      <c r="AJ13" s="1890"/>
      <c r="AK13" s="1890"/>
      <c r="AL13" s="1890"/>
      <c r="AM13" s="1890"/>
      <c r="AN13" s="945"/>
    </row>
    <row r="14" spans="1:44" ht="15.6" customHeight="1">
      <c r="A14" s="606"/>
      <c r="B14" s="606"/>
      <c r="C14" s="606"/>
      <c r="D14" s="606"/>
      <c r="E14" s="606"/>
      <c r="F14" s="606"/>
      <c r="G14" s="606"/>
      <c r="H14" s="606"/>
      <c r="I14" s="606"/>
      <c r="J14" s="606"/>
      <c r="K14" s="606"/>
      <c r="L14" s="606"/>
      <c r="M14" s="606"/>
      <c r="N14" s="1891" t="s">
        <v>7</v>
      </c>
      <c r="O14" s="1891"/>
      <c r="P14" s="1891"/>
      <c r="Q14" s="1891"/>
      <c r="R14" s="1891"/>
      <c r="S14" s="1891"/>
      <c r="T14" s="1891"/>
      <c r="U14" s="606"/>
      <c r="V14" s="1890" t="str">
        <f>cst_wskakunin_owner1_NAME</f>
        <v>野崎　豊</v>
      </c>
      <c r="W14" s="1890"/>
      <c r="X14" s="1890"/>
      <c r="Y14" s="1890"/>
      <c r="Z14" s="1890"/>
      <c r="AA14" s="1890"/>
      <c r="AB14" s="1890"/>
      <c r="AC14" s="1890"/>
      <c r="AD14" s="1890"/>
      <c r="AE14" s="1890"/>
      <c r="AF14" s="1890"/>
      <c r="AG14" s="1890"/>
      <c r="AH14" s="1890"/>
      <c r="AI14" s="1890"/>
      <c r="AJ14" s="1890"/>
      <c r="AK14" s="1890"/>
      <c r="AL14" s="1890"/>
      <c r="AM14" s="1890"/>
      <c r="AN14" s="945"/>
    </row>
    <row r="15" spans="1:44" ht="18" customHeight="1">
      <c r="A15" s="606"/>
      <c r="B15" s="606"/>
      <c r="C15" s="606"/>
      <c r="D15" s="606"/>
      <c r="E15" s="606"/>
      <c r="F15" s="606"/>
      <c r="G15" s="606"/>
      <c r="H15" s="606"/>
      <c r="I15" s="606"/>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row>
    <row r="16" spans="1:44" ht="15.6" customHeight="1">
      <c r="A16" s="606"/>
      <c r="B16" s="606"/>
      <c r="C16" s="606"/>
      <c r="D16" s="606"/>
      <c r="E16" s="606"/>
      <c r="F16" s="606"/>
      <c r="G16" s="606"/>
      <c r="H16" s="606"/>
      <c r="I16" s="606"/>
      <c r="J16" s="606"/>
      <c r="K16" s="606"/>
      <c r="L16" s="606"/>
      <c r="M16" s="606"/>
      <c r="N16" s="1891" t="s">
        <v>3569</v>
      </c>
      <c r="O16" s="1891"/>
      <c r="P16" s="1891"/>
      <c r="Q16" s="1891"/>
      <c r="R16" s="1891"/>
      <c r="S16" s="1891"/>
      <c r="T16" s="1891"/>
      <c r="U16" s="606"/>
      <c r="V16" s="1890" t="str">
        <f>cst_wskakunin_dairi1__address</f>
        <v>東京都港区虎ノ門1-1-21</v>
      </c>
      <c r="W16" s="1857"/>
      <c r="X16" s="1857"/>
      <c r="Y16" s="1857"/>
      <c r="Z16" s="1857"/>
      <c r="AA16" s="1857"/>
      <c r="AB16" s="1857"/>
      <c r="AC16" s="1857"/>
      <c r="AD16" s="1857"/>
      <c r="AE16" s="1857"/>
      <c r="AF16" s="1857"/>
      <c r="AG16" s="1857"/>
      <c r="AH16" s="1857"/>
      <c r="AI16" s="1857"/>
      <c r="AJ16" s="1857"/>
      <c r="AK16" s="1857"/>
      <c r="AL16" s="1857"/>
      <c r="AM16" s="1857"/>
      <c r="AN16" s="1857"/>
    </row>
    <row r="17" spans="1:41" ht="15.6" customHeight="1">
      <c r="A17" s="606"/>
      <c r="B17" s="606"/>
      <c r="C17" s="606"/>
      <c r="D17" s="606"/>
      <c r="E17" s="606"/>
      <c r="F17" s="606"/>
      <c r="G17" s="606"/>
      <c r="H17" s="606"/>
      <c r="I17" s="606"/>
      <c r="J17" s="606"/>
      <c r="K17" s="606"/>
      <c r="L17" s="606"/>
      <c r="M17" s="606"/>
      <c r="N17" s="606"/>
      <c r="O17" s="606"/>
      <c r="P17" s="606"/>
      <c r="Q17" s="606"/>
      <c r="R17" s="606"/>
      <c r="S17" s="606"/>
      <c r="T17" s="606"/>
      <c r="U17" s="606"/>
      <c r="V17" s="1890" t="str">
        <f>cst_wskakunin_dairi1_JIMU_NAME</f>
        <v>一級建築士事務所　UHEC</v>
      </c>
      <c r="W17" s="1857"/>
      <c r="X17" s="1857"/>
      <c r="Y17" s="1857"/>
      <c r="Z17" s="1857"/>
      <c r="AA17" s="1857"/>
      <c r="AB17" s="1857"/>
      <c r="AC17" s="1857"/>
      <c r="AD17" s="1857"/>
      <c r="AE17" s="1857"/>
      <c r="AF17" s="1857"/>
      <c r="AG17" s="1857"/>
      <c r="AH17" s="1857"/>
      <c r="AI17" s="1857"/>
      <c r="AJ17" s="1857"/>
      <c r="AK17" s="1857"/>
      <c r="AL17" s="1857"/>
      <c r="AM17" s="1857"/>
      <c r="AN17" s="1857"/>
    </row>
    <row r="18" spans="1:41" ht="15.6" customHeight="1">
      <c r="A18" s="606"/>
      <c r="B18" s="606"/>
      <c r="C18" s="606"/>
      <c r="D18" s="606"/>
      <c r="E18" s="606"/>
      <c r="F18" s="606"/>
      <c r="G18" s="606"/>
      <c r="H18" s="606"/>
      <c r="I18" s="606"/>
      <c r="J18" s="606"/>
      <c r="K18" s="606"/>
      <c r="L18" s="606"/>
      <c r="M18" s="606"/>
      <c r="N18" s="1891" t="s">
        <v>7</v>
      </c>
      <c r="O18" s="1891"/>
      <c r="P18" s="1891"/>
      <c r="Q18" s="1891"/>
      <c r="R18" s="1891"/>
      <c r="S18" s="1891"/>
      <c r="T18" s="1891"/>
      <c r="U18" s="606"/>
      <c r="V18" s="1890" t="str">
        <f>cst_wskakunin_dairi1_NAME</f>
        <v>藤田　ゆき子</v>
      </c>
      <c r="W18" s="1890"/>
      <c r="X18" s="1890"/>
      <c r="Y18" s="1890"/>
      <c r="Z18" s="1890"/>
      <c r="AA18" s="1890"/>
      <c r="AB18" s="1890"/>
      <c r="AC18" s="1890"/>
      <c r="AD18" s="1890"/>
      <c r="AE18" s="1890"/>
      <c r="AF18" s="1890"/>
      <c r="AG18" s="1890"/>
      <c r="AH18" s="1890"/>
      <c r="AI18" s="1890"/>
      <c r="AJ18" s="1890"/>
      <c r="AK18" s="1890"/>
      <c r="AL18" s="1890"/>
      <c r="AM18" s="1890"/>
      <c r="AN18" s="945"/>
    </row>
    <row r="19" spans="1:41" ht="15" customHeight="1"/>
    <row r="20" spans="1:41" ht="15.75" customHeight="1">
      <c r="A20" s="929" t="s">
        <v>3287</v>
      </c>
      <c r="B20" s="929"/>
      <c r="C20" s="929"/>
      <c r="D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c r="AL20" s="929"/>
      <c r="AM20" s="929"/>
      <c r="AN20" s="929"/>
    </row>
    <row r="21" spans="1:41" ht="9" customHeight="1"/>
    <row r="22" spans="1:41" ht="18" customHeight="1">
      <c r="A22" s="902" t="s">
        <v>3568</v>
      </c>
    </row>
    <row r="23" spans="1:41" ht="14.25" customHeight="1">
      <c r="B23" s="902" t="s">
        <v>3567</v>
      </c>
      <c r="L23" s="1851" t="str">
        <f ca="1">cst_ISSUE_NO_select</f>
        <v>第UHEC建確R070030号</v>
      </c>
      <c r="M23" s="1851"/>
      <c r="N23" s="1851"/>
      <c r="O23" s="1851"/>
      <c r="P23" s="1851"/>
      <c r="Q23" s="1851"/>
      <c r="R23" s="1851"/>
      <c r="S23" s="1851"/>
      <c r="T23" s="1851"/>
      <c r="U23" s="1851"/>
      <c r="V23" s="1851"/>
    </row>
    <row r="24" spans="1:41" ht="18" customHeight="1">
      <c r="B24" s="902" t="s">
        <v>3566</v>
      </c>
      <c r="L24" s="1854">
        <f ca="1">cst_ISSUE_DATE_select</f>
        <v>45922</v>
      </c>
      <c r="M24" s="1854"/>
      <c r="N24" s="1854"/>
      <c r="O24" s="1854"/>
      <c r="P24" s="1854"/>
      <c r="Q24" s="1854"/>
      <c r="R24" s="1854"/>
      <c r="S24" s="1854"/>
      <c r="T24" s="1854"/>
      <c r="U24" s="1854"/>
      <c r="V24" s="1854"/>
    </row>
    <row r="25" spans="1:41" ht="15.75" customHeight="1">
      <c r="B25" s="902" t="s">
        <v>3565</v>
      </c>
      <c r="L25" s="1871" t="str">
        <f>cst_wskakunin_LAST_ISSUE_NAME</f>
        <v>株式会社　都市居住評価センター 代表取締役社長　野崎　豊</v>
      </c>
      <c r="M25" s="1871"/>
      <c r="N25" s="1871"/>
      <c r="O25" s="1871"/>
      <c r="P25" s="1871"/>
      <c r="Q25" s="1871"/>
      <c r="R25" s="1871"/>
      <c r="S25" s="1871"/>
      <c r="T25" s="1871"/>
      <c r="U25" s="1871"/>
      <c r="V25" s="1871"/>
      <c r="W25" s="1871"/>
      <c r="X25" s="1871"/>
      <c r="Y25" s="1871"/>
      <c r="Z25" s="1871"/>
      <c r="AA25" s="1871"/>
      <c r="AB25" s="1871"/>
      <c r="AC25" s="1871"/>
      <c r="AD25" s="1871"/>
      <c r="AE25" s="1871"/>
      <c r="AF25" s="1871"/>
      <c r="AG25" s="1871"/>
      <c r="AH25" s="1871"/>
      <c r="AI25" s="1871"/>
      <c r="AJ25" s="1871"/>
      <c r="AK25" s="1871"/>
      <c r="AL25" s="1871"/>
      <c r="AM25" s="1871"/>
      <c r="AN25" s="1871"/>
      <c r="AO25" s="928"/>
    </row>
    <row r="27" spans="1:41" ht="15" customHeight="1">
      <c r="A27" s="902" t="s">
        <v>3564</v>
      </c>
    </row>
    <row r="28" spans="1:41" ht="15" customHeight="1">
      <c r="C28" s="1856" t="str">
        <f>cst_wskakunin_BUILD__address</f>
        <v>東京都港区虎ノ門１－１－１</v>
      </c>
      <c r="D28" s="1857"/>
      <c r="E28" s="1857"/>
      <c r="F28" s="1857"/>
      <c r="G28" s="1857"/>
      <c r="H28" s="1857"/>
      <c r="I28" s="1857"/>
      <c r="J28" s="1857"/>
      <c r="K28" s="1857"/>
      <c r="L28" s="1857"/>
      <c r="M28" s="1857"/>
      <c r="N28" s="1857"/>
      <c r="O28" s="1857"/>
      <c r="P28" s="1857"/>
      <c r="Q28" s="1857"/>
      <c r="R28" s="1857"/>
      <c r="S28" s="1857"/>
      <c r="T28" s="1857"/>
      <c r="U28" s="1857"/>
      <c r="V28" s="1857"/>
      <c r="W28" s="1857"/>
      <c r="X28" s="1857"/>
      <c r="Y28" s="1857"/>
      <c r="Z28" s="1857"/>
      <c r="AA28" s="1857"/>
      <c r="AB28" s="1857"/>
      <c r="AC28" s="1857"/>
      <c r="AD28" s="1857"/>
      <c r="AE28" s="1857"/>
      <c r="AF28" s="1857"/>
      <c r="AG28" s="1857"/>
      <c r="AH28" s="1857"/>
      <c r="AI28" s="1857"/>
      <c r="AJ28" s="1857"/>
      <c r="AK28" s="1857"/>
      <c r="AL28" s="1857"/>
      <c r="AM28" s="1857"/>
      <c r="AN28" s="1857"/>
    </row>
    <row r="30" spans="1:41" ht="15" customHeight="1">
      <c r="A30" s="1892" t="s">
        <v>3602</v>
      </c>
      <c r="B30" s="1892"/>
      <c r="C30" s="1892"/>
      <c r="D30" s="1892"/>
      <c r="E30" s="1892"/>
      <c r="F30" s="1892"/>
      <c r="G30" s="1892"/>
      <c r="H30" s="1892"/>
      <c r="I30" s="1892"/>
      <c r="J30" s="1892"/>
      <c r="K30" s="1892"/>
    </row>
    <row r="31" spans="1:41" ht="15" customHeight="1">
      <c r="B31" s="902" t="s">
        <v>3556</v>
      </c>
      <c r="L31" s="1856" t="str">
        <f>cst_wskakunin_sekou1_NAME</f>
        <v>代表取締役社長　野崎　豊</v>
      </c>
      <c r="M31" s="1857"/>
      <c r="N31" s="1857"/>
      <c r="O31" s="1857"/>
      <c r="P31" s="1857"/>
      <c r="Q31" s="1857"/>
      <c r="R31" s="1857"/>
      <c r="S31" s="1857"/>
      <c r="T31" s="1857"/>
      <c r="U31" s="1857"/>
      <c r="V31" s="1857"/>
      <c r="W31" s="1857"/>
      <c r="X31" s="1857"/>
      <c r="Y31" s="1857"/>
      <c r="Z31" s="1857"/>
      <c r="AA31" s="1857"/>
      <c r="AB31" s="1857"/>
      <c r="AC31" s="1857"/>
      <c r="AD31" s="1857"/>
      <c r="AE31" s="1857"/>
      <c r="AF31" s="1857"/>
      <c r="AG31" s="1857"/>
      <c r="AH31" s="1857"/>
      <c r="AI31" s="1857"/>
      <c r="AJ31" s="1857"/>
      <c r="AK31" s="1857"/>
      <c r="AL31" s="1857"/>
      <c r="AM31" s="1857"/>
      <c r="AN31" s="1857"/>
    </row>
    <row r="32" spans="1:41" ht="15" customHeight="1">
      <c r="B32" s="902" t="s">
        <v>3600</v>
      </c>
      <c r="L32" s="1879"/>
      <c r="M32" s="1879"/>
      <c r="N32" s="1879"/>
      <c r="O32" s="1879"/>
      <c r="P32" s="1879"/>
      <c r="Q32" s="1879"/>
      <c r="R32" s="1879"/>
      <c r="S32" s="946"/>
      <c r="T32" s="946" t="s">
        <v>2</v>
      </c>
      <c r="U32" s="1885" t="str">
        <f>cst_wskakunin_sekou1_SEKOU_SIKAKU</f>
        <v>国土交通大臣</v>
      </c>
      <c r="V32" s="1885"/>
      <c r="W32" s="1885"/>
      <c r="X32" s="1885"/>
      <c r="Y32" s="1885"/>
      <c r="Z32" s="905" t="s">
        <v>3</v>
      </c>
      <c r="AA32" s="905"/>
      <c r="AB32" s="902" t="s">
        <v>3065</v>
      </c>
      <c r="AC32" s="1885" t="str">
        <f>cst_wskakunin_sekou1_SEKOU_NO</f>
        <v>(特-7)1111</v>
      </c>
      <c r="AD32" s="1885"/>
      <c r="AE32" s="1885"/>
      <c r="AF32" s="1885"/>
      <c r="AG32" s="1885"/>
      <c r="AH32" s="1885"/>
      <c r="AI32" s="1885"/>
      <c r="AJ32" s="902" t="s">
        <v>381</v>
      </c>
    </row>
    <row r="33" spans="1:40" ht="15" customHeight="1">
      <c r="B33" s="902" t="s">
        <v>3599</v>
      </c>
      <c r="L33" s="1856" t="str">
        <f>cst_wskakunin_sekou1_JIMU_NAME</f>
        <v>株式会社UHEC</v>
      </c>
      <c r="M33" s="1857"/>
      <c r="N33" s="1857"/>
      <c r="O33" s="1857"/>
      <c r="P33" s="1857"/>
      <c r="Q33" s="1857"/>
      <c r="R33" s="1857"/>
      <c r="S33" s="1857"/>
      <c r="T33" s="1857"/>
      <c r="U33" s="1857"/>
      <c r="V33" s="1857"/>
      <c r="W33" s="1857"/>
      <c r="X33" s="1857"/>
      <c r="Y33" s="1857"/>
      <c r="Z33" s="1857"/>
      <c r="AA33" s="1857"/>
      <c r="AB33" s="1857"/>
      <c r="AC33" s="1857"/>
      <c r="AD33" s="1857"/>
      <c r="AE33" s="1857"/>
      <c r="AF33" s="1857"/>
      <c r="AG33" s="1857"/>
      <c r="AH33" s="1857"/>
      <c r="AI33" s="1857"/>
      <c r="AJ33" s="1857"/>
      <c r="AK33" s="1857"/>
      <c r="AL33" s="1857"/>
      <c r="AM33" s="1857"/>
      <c r="AN33" s="1857"/>
    </row>
    <row r="34" spans="1:40" ht="15" customHeight="1">
      <c r="B34" s="902" t="s">
        <v>3586</v>
      </c>
      <c r="L34" s="902" t="s">
        <v>3558</v>
      </c>
      <c r="M34" s="1851" t="str">
        <f>cst_wskakunin_sekou1_ZIP</f>
        <v>105-0001</v>
      </c>
      <c r="N34" s="1851"/>
      <c r="O34" s="1851"/>
      <c r="P34" s="1851"/>
      <c r="Q34" s="1851"/>
      <c r="S34" s="1856" t="str">
        <f>cst_wskakunin_sekou1__address</f>
        <v>東京都港区虎ノ門1-1-</v>
      </c>
      <c r="T34" s="1856"/>
      <c r="U34" s="1856"/>
      <c r="V34" s="1856"/>
      <c r="W34" s="1856"/>
      <c r="X34" s="1856"/>
      <c r="Y34" s="1856"/>
      <c r="Z34" s="1856"/>
      <c r="AA34" s="1856"/>
      <c r="AB34" s="1856"/>
      <c r="AC34" s="1856"/>
      <c r="AD34" s="1856"/>
      <c r="AE34" s="1856"/>
      <c r="AF34" s="1856"/>
      <c r="AG34" s="1856"/>
      <c r="AH34" s="1856"/>
      <c r="AI34" s="1856"/>
      <c r="AJ34" s="1856"/>
      <c r="AK34" s="1856"/>
      <c r="AL34" s="1856"/>
      <c r="AM34" s="1856"/>
      <c r="AN34" s="1856"/>
    </row>
    <row r="35" spans="1:40" ht="15" customHeight="1">
      <c r="B35" s="902" t="s">
        <v>3555</v>
      </c>
      <c r="L35" s="1851" t="str">
        <f>cst_wskakunin_sekou1_TEL</f>
        <v>03-3504-2386</v>
      </c>
      <c r="M35" s="1851"/>
      <c r="N35" s="1851"/>
      <c r="O35" s="1851"/>
      <c r="P35" s="1851"/>
      <c r="Q35" s="1851"/>
    </row>
    <row r="36" spans="1:40" ht="15" customHeight="1"/>
    <row r="37" spans="1:40" ht="15" customHeight="1">
      <c r="A37" s="1892" t="s">
        <v>3601</v>
      </c>
      <c r="B37" s="1892"/>
      <c r="C37" s="1892"/>
      <c r="D37" s="1892"/>
      <c r="E37" s="1892"/>
      <c r="F37" s="1892"/>
      <c r="G37" s="1892"/>
      <c r="H37" s="1892"/>
      <c r="I37" s="1892"/>
      <c r="J37" s="1892"/>
      <c r="K37" s="1892"/>
    </row>
    <row r="38" spans="1:40" ht="15" customHeight="1">
      <c r="B38" s="902" t="s">
        <v>3556</v>
      </c>
      <c r="L38" s="1876"/>
      <c r="M38" s="1878"/>
      <c r="N38" s="1878"/>
      <c r="O38" s="1878"/>
      <c r="P38" s="1878"/>
      <c r="Q38" s="1878"/>
      <c r="R38" s="1878"/>
      <c r="S38" s="1878"/>
      <c r="T38" s="1878"/>
      <c r="U38" s="1878"/>
      <c r="V38" s="1878"/>
      <c r="W38" s="1878"/>
      <c r="X38" s="1878"/>
      <c r="Y38" s="1878"/>
      <c r="Z38" s="1878"/>
      <c r="AA38" s="1878"/>
      <c r="AB38" s="1878"/>
      <c r="AC38" s="1878"/>
      <c r="AD38" s="1878"/>
      <c r="AE38" s="1878"/>
      <c r="AF38" s="1878"/>
      <c r="AG38" s="1878"/>
      <c r="AH38" s="1878"/>
      <c r="AI38" s="1878"/>
      <c r="AJ38" s="1878"/>
      <c r="AK38" s="1878"/>
      <c r="AL38" s="1878"/>
      <c r="AM38" s="1878"/>
      <c r="AN38" s="1878"/>
    </row>
    <row r="39" spans="1:40" ht="15" customHeight="1">
      <c r="B39" s="902" t="s">
        <v>3600</v>
      </c>
      <c r="L39" s="1879"/>
      <c r="M39" s="1879"/>
      <c r="N39" s="1879"/>
      <c r="O39" s="1879"/>
      <c r="P39" s="1879"/>
      <c r="Q39" s="1879"/>
      <c r="R39" s="1879"/>
      <c r="S39" s="946"/>
      <c r="T39" s="946" t="s">
        <v>2</v>
      </c>
      <c r="U39" s="1879"/>
      <c r="V39" s="1879"/>
      <c r="W39" s="1879"/>
      <c r="X39" s="1879"/>
      <c r="Y39" s="1879"/>
      <c r="Z39" s="905" t="s">
        <v>3</v>
      </c>
      <c r="AA39" s="905"/>
      <c r="AB39" s="902" t="s">
        <v>3065</v>
      </c>
      <c r="AC39" s="1879"/>
      <c r="AD39" s="1879"/>
      <c r="AE39" s="1879"/>
      <c r="AF39" s="1879"/>
      <c r="AG39" s="1879"/>
      <c r="AH39" s="1879"/>
      <c r="AI39" s="1879"/>
      <c r="AJ39" s="902" t="s">
        <v>381</v>
      </c>
    </row>
    <row r="40" spans="1:40" ht="15" customHeight="1">
      <c r="B40" s="902" t="s">
        <v>3599</v>
      </c>
      <c r="L40" s="1876"/>
      <c r="M40" s="1878"/>
      <c r="N40" s="1878"/>
      <c r="O40" s="1878"/>
      <c r="P40" s="1878"/>
      <c r="Q40" s="1878"/>
      <c r="R40" s="1878"/>
      <c r="S40" s="1878"/>
      <c r="T40" s="1878"/>
      <c r="U40" s="1878"/>
      <c r="V40" s="1878"/>
      <c r="W40" s="1878"/>
      <c r="X40" s="1878"/>
      <c r="Y40" s="1878"/>
      <c r="Z40" s="1878"/>
      <c r="AA40" s="1878"/>
      <c r="AB40" s="1878"/>
      <c r="AC40" s="1878"/>
      <c r="AD40" s="1878"/>
      <c r="AE40" s="1878"/>
      <c r="AF40" s="1878"/>
      <c r="AG40" s="1878"/>
      <c r="AH40" s="1878"/>
      <c r="AI40" s="1878"/>
      <c r="AJ40" s="1878"/>
      <c r="AK40" s="1878"/>
      <c r="AL40" s="1878"/>
      <c r="AM40" s="1878"/>
      <c r="AN40" s="1878"/>
    </row>
    <row r="41" spans="1:40" ht="15" customHeight="1">
      <c r="B41" s="902" t="s">
        <v>3586</v>
      </c>
      <c r="L41" s="902" t="s">
        <v>3558</v>
      </c>
      <c r="M41" s="1859"/>
      <c r="N41" s="1859"/>
      <c r="O41" s="1859"/>
      <c r="P41" s="1859"/>
      <c r="Q41" s="1859"/>
      <c r="S41" s="1876"/>
      <c r="T41" s="1876"/>
      <c r="U41" s="1876"/>
      <c r="V41" s="1876"/>
      <c r="W41" s="1876"/>
      <c r="X41" s="1876"/>
      <c r="Y41" s="1876"/>
      <c r="Z41" s="1876"/>
      <c r="AA41" s="1876"/>
      <c r="AB41" s="1876"/>
      <c r="AC41" s="1876"/>
      <c r="AD41" s="1876"/>
      <c r="AE41" s="1876"/>
      <c r="AF41" s="1876"/>
      <c r="AG41" s="1876"/>
      <c r="AH41" s="1876"/>
      <c r="AI41" s="1876"/>
      <c r="AJ41" s="1876"/>
      <c r="AK41" s="1876"/>
      <c r="AL41" s="1876"/>
      <c r="AM41" s="1876"/>
      <c r="AN41" s="1876"/>
    </row>
    <row r="42" spans="1:40" ht="15" customHeight="1">
      <c r="B42" s="902" t="s">
        <v>3555</v>
      </c>
      <c r="L42" s="1859"/>
      <c r="M42" s="1859"/>
      <c r="N42" s="1859"/>
      <c r="O42" s="1859"/>
      <c r="P42" s="1859"/>
      <c r="Q42" s="1859"/>
    </row>
    <row r="43" spans="1:40" ht="15" customHeight="1">
      <c r="A43" s="902" t="s">
        <v>3301</v>
      </c>
      <c r="L43" s="1898" t="s">
        <v>2675</v>
      </c>
      <c r="M43" s="1898"/>
      <c r="N43" s="1900"/>
      <c r="O43" s="1901"/>
      <c r="P43" s="902" t="s">
        <v>380</v>
      </c>
      <c r="Q43" s="1900"/>
      <c r="R43" s="1901"/>
      <c r="S43" s="902" t="s">
        <v>0</v>
      </c>
      <c r="T43" s="1900"/>
      <c r="U43" s="1901"/>
      <c r="V43" s="902" t="s">
        <v>3057</v>
      </c>
    </row>
    <row r="44" spans="1:40" ht="15" customHeight="1">
      <c r="L44" s="1876"/>
      <c r="M44" s="1876"/>
      <c r="N44" s="1876"/>
      <c r="O44" s="1876"/>
      <c r="P44" s="1876"/>
      <c r="Q44" s="1876"/>
      <c r="R44" s="1876"/>
      <c r="S44" s="1876"/>
      <c r="T44" s="1876"/>
      <c r="U44" s="1876"/>
      <c r="V44" s="1876"/>
      <c r="W44" s="1876"/>
      <c r="X44" s="1876"/>
      <c r="Y44" s="1876"/>
      <c r="Z44" s="1876"/>
      <c r="AA44" s="1876"/>
      <c r="AB44" s="1876"/>
      <c r="AC44" s="1876"/>
      <c r="AD44" s="1876"/>
      <c r="AE44" s="1876"/>
      <c r="AF44" s="1876"/>
      <c r="AG44" s="1876"/>
      <c r="AH44" s="1876"/>
      <c r="AI44" s="1876"/>
      <c r="AJ44" s="1876"/>
      <c r="AK44" s="1876"/>
      <c r="AL44" s="1876"/>
      <c r="AM44" s="1876"/>
      <c r="AN44" s="1876"/>
    </row>
    <row r="45" spans="1:40" ht="15" customHeight="1"/>
    <row r="46" spans="1:40" ht="15" customHeight="1">
      <c r="A46" s="925" t="s">
        <v>3258</v>
      </c>
      <c r="B46" s="924"/>
      <c r="C46" s="924"/>
      <c r="D46" s="924"/>
      <c r="E46" s="924"/>
      <c r="F46" s="924"/>
      <c r="G46" s="924"/>
      <c r="H46" s="924"/>
      <c r="I46" s="924"/>
      <c r="J46" s="924"/>
      <c r="K46" s="924"/>
      <c r="L46" s="924"/>
      <c r="M46" s="923"/>
      <c r="N46" s="925" t="s">
        <v>3449</v>
      </c>
      <c r="O46" s="924"/>
      <c r="P46" s="924"/>
      <c r="Q46" s="924"/>
      <c r="R46" s="924"/>
      <c r="S46" s="924"/>
      <c r="T46" s="924"/>
      <c r="U46" s="924"/>
      <c r="V46" s="924"/>
      <c r="W46" s="924"/>
      <c r="X46" s="924"/>
      <c r="Y46" s="924"/>
      <c r="Z46" s="924"/>
      <c r="AA46" s="923"/>
      <c r="AB46" s="925" t="s">
        <v>3554</v>
      </c>
      <c r="AC46" s="924"/>
      <c r="AD46" s="924"/>
      <c r="AE46" s="924"/>
      <c r="AF46" s="924"/>
      <c r="AG46" s="924"/>
      <c r="AH46" s="924"/>
      <c r="AI46" s="924"/>
      <c r="AJ46" s="924"/>
      <c r="AK46" s="924"/>
      <c r="AL46" s="924"/>
      <c r="AM46" s="924"/>
      <c r="AN46" s="923"/>
    </row>
    <row r="47" spans="1:40" ht="18" customHeight="1">
      <c r="A47" s="919" t="s">
        <v>3553</v>
      </c>
      <c r="B47" s="918"/>
      <c r="C47" s="918"/>
      <c r="D47" s="918"/>
      <c r="E47" s="918"/>
      <c r="F47" s="918"/>
      <c r="G47" s="918"/>
      <c r="H47" s="918"/>
      <c r="I47" s="918"/>
      <c r="J47" s="918"/>
      <c r="K47" s="918"/>
      <c r="L47" s="918"/>
      <c r="M47" s="917"/>
      <c r="N47" s="922"/>
      <c r="O47" s="921"/>
      <c r="P47" s="921"/>
      <c r="Q47" s="921"/>
      <c r="R47" s="921"/>
      <c r="S47" s="921"/>
      <c r="T47" s="921"/>
      <c r="U47" s="921"/>
      <c r="V47" s="921"/>
      <c r="W47" s="921"/>
      <c r="X47" s="921"/>
      <c r="Y47" s="921"/>
      <c r="Z47" s="921"/>
      <c r="AA47" s="920"/>
      <c r="AB47" s="919" t="s">
        <v>3553</v>
      </c>
      <c r="AC47" s="918"/>
      <c r="AD47" s="918"/>
      <c r="AE47" s="918"/>
      <c r="AF47" s="918"/>
      <c r="AG47" s="918"/>
      <c r="AH47" s="918"/>
      <c r="AI47" s="918"/>
      <c r="AJ47" s="918"/>
      <c r="AK47" s="918"/>
      <c r="AL47" s="918"/>
      <c r="AM47" s="918"/>
      <c r="AN47" s="917"/>
    </row>
    <row r="48" spans="1:40" ht="18" customHeight="1">
      <c r="A48" s="914" t="s">
        <v>3598</v>
      </c>
      <c r="B48" s="913"/>
      <c r="C48" s="913"/>
      <c r="D48" s="913"/>
      <c r="E48" s="913"/>
      <c r="F48" s="913"/>
      <c r="G48" s="913"/>
      <c r="H48" s="913"/>
      <c r="I48" s="913"/>
      <c r="J48" s="913"/>
      <c r="K48" s="913"/>
      <c r="L48" s="913"/>
      <c r="M48" s="912"/>
      <c r="N48" s="916"/>
      <c r="AA48" s="915"/>
      <c r="AB48" s="914" t="s">
        <v>3597</v>
      </c>
      <c r="AC48" s="913"/>
      <c r="AD48" s="913"/>
      <c r="AE48" s="913"/>
      <c r="AF48" s="913"/>
      <c r="AG48" s="913"/>
      <c r="AH48" s="913"/>
      <c r="AI48" s="913"/>
      <c r="AJ48" s="913"/>
      <c r="AK48" s="913"/>
      <c r="AL48" s="913"/>
      <c r="AM48" s="913"/>
      <c r="AN48" s="912"/>
    </row>
    <row r="49" spans="1:40" ht="18" customHeight="1">
      <c r="A49" s="908" t="s">
        <v>3254</v>
      </c>
      <c r="B49" s="907"/>
      <c r="C49" s="907"/>
      <c r="D49" s="907"/>
      <c r="E49" s="907"/>
      <c r="F49" s="907"/>
      <c r="G49" s="907"/>
      <c r="H49" s="907"/>
      <c r="I49" s="907"/>
      <c r="J49" s="907"/>
      <c r="K49" s="907"/>
      <c r="L49" s="907"/>
      <c r="M49" s="906"/>
      <c r="N49" s="911"/>
      <c r="O49" s="910"/>
      <c r="P49" s="910"/>
      <c r="Q49" s="910"/>
      <c r="R49" s="910"/>
      <c r="S49" s="910"/>
      <c r="T49" s="910"/>
      <c r="U49" s="910"/>
      <c r="V49" s="910"/>
      <c r="W49" s="910"/>
      <c r="X49" s="910"/>
      <c r="Y49" s="910"/>
      <c r="Z49" s="910"/>
      <c r="AA49" s="909"/>
      <c r="AB49" s="908" t="s">
        <v>3254</v>
      </c>
      <c r="AC49" s="907"/>
      <c r="AD49" s="907"/>
      <c r="AE49" s="907"/>
      <c r="AF49" s="907"/>
      <c r="AG49" s="907"/>
      <c r="AH49" s="907"/>
      <c r="AI49" s="907"/>
      <c r="AJ49" s="907"/>
      <c r="AK49" s="907"/>
      <c r="AL49" s="907"/>
      <c r="AM49" s="907"/>
      <c r="AN49" s="906"/>
    </row>
    <row r="50" spans="1:40" ht="18" customHeight="1">
      <c r="A50" s="904" t="s">
        <v>2676</v>
      </c>
      <c r="B50" s="904"/>
      <c r="D50" s="904" t="s">
        <v>3551</v>
      </c>
    </row>
    <row r="51" spans="1:40" ht="18" customHeight="1">
      <c r="B51" s="904"/>
      <c r="D51" s="904" t="s">
        <v>3550</v>
      </c>
    </row>
    <row r="52" spans="1:40" ht="18" customHeight="1">
      <c r="B52" s="904"/>
      <c r="D52" s="904" t="s">
        <v>3549</v>
      </c>
    </row>
    <row r="53" spans="1:40" ht="18" customHeight="1">
      <c r="B53" s="904"/>
      <c r="D53" s="1899" t="s">
        <v>3548</v>
      </c>
      <c r="E53" s="1899"/>
      <c r="F53" s="1899"/>
      <c r="G53" s="1899"/>
      <c r="H53" s="1899"/>
      <c r="I53" s="1899"/>
      <c r="J53" s="1899"/>
      <c r="K53" s="1899"/>
      <c r="L53" s="1899"/>
      <c r="M53" s="1899"/>
      <c r="N53" s="1899"/>
      <c r="O53" s="1899"/>
      <c r="P53" s="1899"/>
      <c r="Q53" s="1899"/>
      <c r="R53" s="1899"/>
      <c r="S53" s="1899"/>
      <c r="T53" s="1899"/>
      <c r="U53" s="1899"/>
      <c r="V53" s="1899"/>
      <c r="W53" s="1899"/>
      <c r="X53" s="1899"/>
      <c r="Y53" s="1899"/>
      <c r="Z53" s="1899"/>
      <c r="AA53" s="1899"/>
      <c r="AB53" s="1899"/>
      <c r="AC53" s="1899"/>
      <c r="AD53" s="1899"/>
      <c r="AE53" s="1899"/>
      <c r="AF53" s="1899"/>
      <c r="AG53" s="1899"/>
      <c r="AH53" s="1899"/>
      <c r="AI53" s="1899"/>
      <c r="AJ53" s="1899"/>
      <c r="AK53" s="1899"/>
      <c r="AL53" s="1899"/>
      <c r="AM53" s="1899"/>
      <c r="AN53" s="1899"/>
    </row>
    <row r="54" spans="1:40" ht="18" customHeight="1">
      <c r="A54" s="903" t="s">
        <v>3547</v>
      </c>
      <c r="B54" s="904"/>
    </row>
  </sheetData>
  <mergeCells count="41">
    <mergeCell ref="D53:AN53"/>
    <mergeCell ref="N18:T18"/>
    <mergeCell ref="V18:AM18"/>
    <mergeCell ref="L43:M43"/>
    <mergeCell ref="T43:U43"/>
    <mergeCell ref="L44:AN44"/>
    <mergeCell ref="S34:AN34"/>
    <mergeCell ref="M34:Q34"/>
    <mergeCell ref="L35:Q35"/>
    <mergeCell ref="M41:Q41"/>
    <mergeCell ref="S41:AN41"/>
    <mergeCell ref="L42:Q42"/>
    <mergeCell ref="Q43:R43"/>
    <mergeCell ref="N43:O43"/>
    <mergeCell ref="L40:AN40"/>
    <mergeCell ref="L38:AN38"/>
    <mergeCell ref="L39:R39"/>
    <mergeCell ref="U39:Y39"/>
    <mergeCell ref="AC39:AI39"/>
    <mergeCell ref="AD9:AN9"/>
    <mergeCell ref="N11:T11"/>
    <mergeCell ref="C28:AN28"/>
    <mergeCell ref="L25:AN25"/>
    <mergeCell ref="L23:V23"/>
    <mergeCell ref="L24:V24"/>
    <mergeCell ref="N16:T16"/>
    <mergeCell ref="V16:AN16"/>
    <mergeCell ref="V17:AN17"/>
    <mergeCell ref="V11:AN11"/>
    <mergeCell ref="V12:AN12"/>
    <mergeCell ref="N13:T13"/>
    <mergeCell ref="V13:AM13"/>
    <mergeCell ref="N14:T14"/>
    <mergeCell ref="V14:AM14"/>
    <mergeCell ref="A30:K30"/>
    <mergeCell ref="A37:K37"/>
    <mergeCell ref="L32:R32"/>
    <mergeCell ref="U32:Y32"/>
    <mergeCell ref="AC32:AI32"/>
    <mergeCell ref="L33:AN33"/>
    <mergeCell ref="L31:AN31"/>
  </mergeCells>
  <phoneticPr fontId="122"/>
  <dataValidations disablePrompts="1" count="5">
    <dataValidation type="list" allowBlank="1" showInputMessage="1" showErrorMessage="1" sqref="AO25" xr:uid="{00000000-0002-0000-2200-000000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 type="list" allowBlank="1" showInputMessage="1" sqref="L43:M43" xr:uid="{00000000-0002-0000-2200-000001000000}">
      <formula1>"令和,平成,　"</formula1>
    </dataValidation>
    <dataValidation type="list" allowBlank="1" showInputMessage="1" showErrorMessage="1" sqref="A30:K30" xr:uid="{00000000-0002-0000-2200-000002000000}">
      <formula1>"【選任した工事施工者】,【変更前工事施工者】"</formula1>
    </dataValidation>
    <dataValidation type="list" allowBlank="1" showInputMessage="1" showErrorMessage="1" sqref="A37:K37" xr:uid="{00000000-0002-0000-2200-000003000000}">
      <formula1>"【選任した工事施工者】,【変更後工事施工者】"</formula1>
    </dataValidation>
    <dataValidation type="list" allowBlank="1" showInputMessage="1" sqref="L25:AN25" xr:uid="{00000000-0002-0000-2200-000004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s>
  <pageMargins left="0.78740157480314965" right="0.59055118110236227" top="0.39370078740157483" bottom="0.39370078740157483" header="0.51181102362204722" footer="0.51181102362204722"/>
  <pageSetup paperSize="9" orientation="portrait" blackAndWhite="1"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Q49"/>
  <sheetViews>
    <sheetView zoomScaleNormal="100" zoomScaleSheetLayoutView="100" workbookViewId="0">
      <selection activeCell="AO1" sqref="AO1"/>
    </sheetView>
  </sheetViews>
  <sheetFormatPr defaultColWidth="2.109375" defaultRowHeight="21" customHeight="1"/>
  <cols>
    <col min="1" max="1" width="2.109375" style="902" customWidth="1"/>
    <col min="2" max="16384" width="2.109375" style="902"/>
  </cols>
  <sheetData>
    <row r="1" spans="1:43" ht="21" customHeight="1">
      <c r="A1" s="902" t="s">
        <v>3630</v>
      </c>
    </row>
    <row r="2" spans="1:43" ht="21" customHeight="1">
      <c r="A2" s="949" t="s">
        <v>3629</v>
      </c>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row>
    <row r="3" spans="1:43" ht="21" customHeight="1">
      <c r="AD3" s="1889" t="s">
        <v>3329</v>
      </c>
      <c r="AE3" s="1889"/>
      <c r="AF3" s="1889"/>
      <c r="AG3" s="1889"/>
      <c r="AH3" s="1889"/>
      <c r="AI3" s="1889"/>
      <c r="AJ3" s="1889"/>
      <c r="AK3" s="1889"/>
      <c r="AL3" s="1889"/>
      <c r="AM3" s="1889"/>
      <c r="AN3" s="1889"/>
      <c r="AQ3" s="932"/>
    </row>
    <row r="4" spans="1:43" ht="12" customHeight="1"/>
    <row r="5" spans="1:43" ht="21" customHeight="1">
      <c r="A5" s="902" t="s">
        <v>3267</v>
      </c>
    </row>
    <row r="6" spans="1:43" ht="12" customHeight="1"/>
    <row r="7" spans="1:43" ht="21" customHeight="1">
      <c r="I7" s="948"/>
      <c r="J7" s="948"/>
      <c r="K7" s="948"/>
      <c r="L7" s="948"/>
      <c r="M7" s="948"/>
      <c r="N7" s="948"/>
      <c r="O7" s="948"/>
      <c r="P7" s="948"/>
      <c r="Q7" s="948"/>
      <c r="R7" s="948"/>
      <c r="S7" s="947" t="s">
        <v>3628</v>
      </c>
      <c r="U7" s="1856" t="str">
        <f>cst_wskakunin_owner1__address</f>
        <v>東京都港区虎ノ門1-1-21</v>
      </c>
      <c r="V7" s="1857"/>
      <c r="W7" s="1857"/>
      <c r="X7" s="1857"/>
      <c r="Y7" s="1857"/>
      <c r="Z7" s="1857"/>
      <c r="AA7" s="1857"/>
      <c r="AB7" s="1857"/>
      <c r="AC7" s="1857"/>
      <c r="AD7" s="1857"/>
      <c r="AE7" s="1857"/>
      <c r="AF7" s="1857"/>
      <c r="AG7" s="1857"/>
      <c r="AH7" s="1857"/>
      <c r="AI7" s="1857"/>
      <c r="AJ7" s="1857"/>
      <c r="AK7" s="1857"/>
      <c r="AL7" s="1857"/>
      <c r="AM7" s="1857"/>
      <c r="AN7" s="1857"/>
    </row>
    <row r="8" spans="1:43" ht="21" customHeight="1">
      <c r="I8" s="948"/>
      <c r="J8" s="948"/>
      <c r="K8" s="948"/>
      <c r="L8" s="948"/>
      <c r="M8" s="948"/>
      <c r="N8" s="948"/>
      <c r="O8" s="948"/>
      <c r="P8" s="948"/>
      <c r="Q8" s="948"/>
      <c r="R8" s="948"/>
      <c r="S8" s="948"/>
      <c r="U8" s="1856" t="str">
        <f>cst_wskakunin_owner1_JIMU_NAME</f>
        <v>株式会社ユーイック不動産</v>
      </c>
      <c r="V8" s="1857"/>
      <c r="W8" s="1857"/>
      <c r="X8" s="1857"/>
      <c r="Y8" s="1857"/>
      <c r="Z8" s="1857"/>
      <c r="AA8" s="1857"/>
      <c r="AB8" s="1857"/>
      <c r="AC8" s="1857"/>
      <c r="AD8" s="1857"/>
      <c r="AE8" s="1857"/>
      <c r="AF8" s="1857"/>
      <c r="AG8" s="1857"/>
      <c r="AH8" s="1857"/>
      <c r="AI8" s="1857"/>
      <c r="AJ8" s="1857"/>
      <c r="AK8" s="1857"/>
      <c r="AL8" s="1857"/>
      <c r="AM8" s="1857"/>
      <c r="AN8" s="1857"/>
    </row>
    <row r="9" spans="1:43" ht="21" customHeight="1">
      <c r="I9" s="948"/>
      <c r="J9" s="948"/>
      <c r="K9" s="948"/>
      <c r="L9" s="948"/>
      <c r="M9" s="948"/>
      <c r="N9" s="948"/>
      <c r="O9" s="948"/>
      <c r="P9" s="948"/>
      <c r="Q9" s="948"/>
      <c r="R9" s="948"/>
      <c r="S9" s="947"/>
      <c r="U9" s="1856" t="str">
        <f>cst_wskakunin_owner1_POST</f>
        <v>代表取締役社長</v>
      </c>
      <c r="V9" s="1857"/>
      <c r="W9" s="1857"/>
      <c r="X9" s="1857"/>
      <c r="Y9" s="1857"/>
      <c r="Z9" s="1857"/>
      <c r="AA9" s="1857"/>
      <c r="AB9" s="1857"/>
      <c r="AC9" s="1857"/>
      <c r="AD9" s="1857"/>
      <c r="AE9" s="1857"/>
      <c r="AF9" s="1857"/>
      <c r="AG9" s="1857"/>
      <c r="AH9" s="1857"/>
      <c r="AI9" s="1857"/>
      <c r="AJ9" s="1857"/>
      <c r="AK9" s="1857"/>
      <c r="AL9" s="1857"/>
      <c r="AM9" s="1857"/>
      <c r="AN9" s="1857"/>
    </row>
    <row r="10" spans="1:43" ht="21" customHeight="1">
      <c r="I10" s="948"/>
      <c r="J10" s="948"/>
      <c r="K10" s="948"/>
      <c r="L10" s="948"/>
      <c r="M10" s="948"/>
      <c r="N10" s="948"/>
      <c r="O10" s="948"/>
      <c r="P10" s="948"/>
      <c r="Q10" s="948"/>
      <c r="R10" s="948"/>
      <c r="S10" s="947" t="s">
        <v>7</v>
      </c>
      <c r="U10" s="1858" t="str">
        <f>cst_wskakunin_owner1_NAME</f>
        <v>野崎　豊</v>
      </c>
      <c r="V10" s="1858"/>
      <c r="W10" s="1858"/>
      <c r="X10" s="1858"/>
      <c r="Y10" s="1858"/>
      <c r="Z10" s="1858"/>
      <c r="AA10" s="1858"/>
      <c r="AB10" s="1858"/>
      <c r="AC10" s="1858"/>
      <c r="AD10" s="1858"/>
      <c r="AE10" s="1858"/>
      <c r="AF10" s="1858"/>
      <c r="AG10" s="1858"/>
      <c r="AH10" s="1858"/>
      <c r="AI10" s="1858"/>
      <c r="AJ10" s="1858"/>
      <c r="AK10" s="1858"/>
      <c r="AL10" s="1858"/>
      <c r="AM10" s="1858"/>
      <c r="AN10" s="1858"/>
    </row>
    <row r="11" spans="1:43" ht="9.6" customHeight="1">
      <c r="I11" s="948"/>
      <c r="J11" s="948"/>
      <c r="K11" s="948"/>
      <c r="L11" s="948"/>
      <c r="M11" s="948"/>
      <c r="N11" s="948"/>
      <c r="O11" s="948"/>
      <c r="P11" s="948"/>
      <c r="Q11" s="948"/>
      <c r="R11" s="948"/>
      <c r="S11" s="948"/>
    </row>
    <row r="12" spans="1:43" ht="21" customHeight="1">
      <c r="I12" s="948"/>
      <c r="J12" s="948"/>
      <c r="K12" s="948"/>
      <c r="L12" s="948"/>
      <c r="M12" s="948"/>
      <c r="N12" s="948"/>
      <c r="O12" s="948"/>
      <c r="P12" s="948"/>
      <c r="Q12" s="948"/>
      <c r="R12" s="948"/>
      <c r="S12" s="947" t="s">
        <v>3627</v>
      </c>
      <c r="U12" s="1856" t="str">
        <f>cst_wskakunin_dairi1__address</f>
        <v>東京都港区虎ノ門1-1-21</v>
      </c>
      <c r="V12" s="1857"/>
      <c r="W12" s="1857"/>
      <c r="X12" s="1857"/>
      <c r="Y12" s="1857"/>
      <c r="Z12" s="1857"/>
      <c r="AA12" s="1857"/>
      <c r="AB12" s="1857"/>
      <c r="AC12" s="1857"/>
      <c r="AD12" s="1857"/>
      <c r="AE12" s="1857"/>
      <c r="AF12" s="1857"/>
      <c r="AG12" s="1857"/>
      <c r="AH12" s="1857"/>
      <c r="AI12" s="1857"/>
      <c r="AJ12" s="1857"/>
      <c r="AK12" s="1857"/>
      <c r="AL12" s="1857"/>
      <c r="AM12" s="1857"/>
      <c r="AN12" s="1857"/>
    </row>
    <row r="13" spans="1:43" ht="21" customHeight="1">
      <c r="I13" s="948"/>
      <c r="J13" s="948"/>
      <c r="K13" s="948"/>
      <c r="L13" s="948"/>
      <c r="M13" s="948"/>
      <c r="N13" s="948"/>
      <c r="O13" s="948"/>
      <c r="P13" s="948"/>
      <c r="Q13" s="948"/>
      <c r="R13" s="948"/>
      <c r="S13" s="948"/>
      <c r="U13" s="1856" t="str">
        <f>cst_wskakunin_dairi1_JIMU_NAME</f>
        <v>一級建築士事務所　UHEC</v>
      </c>
      <c r="V13" s="1857"/>
      <c r="W13" s="1857"/>
      <c r="X13" s="1857"/>
      <c r="Y13" s="1857"/>
      <c r="Z13" s="1857"/>
      <c r="AA13" s="1857"/>
      <c r="AB13" s="1857"/>
      <c r="AC13" s="1857"/>
      <c r="AD13" s="1857"/>
      <c r="AE13" s="1857"/>
      <c r="AF13" s="1857"/>
      <c r="AG13" s="1857"/>
      <c r="AH13" s="1857"/>
      <c r="AI13" s="1857"/>
      <c r="AJ13" s="1857"/>
      <c r="AK13" s="1857"/>
      <c r="AL13" s="1857"/>
      <c r="AM13" s="1857"/>
      <c r="AN13" s="1857"/>
    </row>
    <row r="14" spans="1:43" ht="21" customHeight="1">
      <c r="I14" s="948"/>
      <c r="J14" s="948"/>
      <c r="K14" s="948"/>
      <c r="L14" s="948"/>
      <c r="M14" s="948"/>
      <c r="N14" s="948"/>
      <c r="O14" s="948"/>
      <c r="P14" s="948"/>
      <c r="Q14" s="948"/>
      <c r="R14" s="948"/>
      <c r="S14" s="947" t="s">
        <v>7</v>
      </c>
      <c r="U14" s="1858" t="str">
        <f>cst_wskakunin_dairi1_NAME</f>
        <v>藤田　ゆき子</v>
      </c>
      <c r="V14" s="1858"/>
      <c r="W14" s="1858"/>
      <c r="X14" s="1858"/>
      <c r="Y14" s="1858"/>
      <c r="Z14" s="1858"/>
      <c r="AA14" s="1858"/>
      <c r="AB14" s="1858"/>
      <c r="AC14" s="1858"/>
      <c r="AD14" s="1858"/>
      <c r="AE14" s="1858"/>
      <c r="AF14" s="1858"/>
      <c r="AG14" s="1858"/>
      <c r="AH14" s="1858"/>
      <c r="AI14" s="1858"/>
      <c r="AJ14" s="1858"/>
      <c r="AK14" s="1858"/>
      <c r="AL14" s="1858"/>
      <c r="AM14" s="1858"/>
      <c r="AN14" s="1858"/>
    </row>
    <row r="15" spans="1:43" ht="18" customHeight="1"/>
    <row r="16" spans="1:43" ht="26.4" customHeight="1">
      <c r="A16" s="1903" t="s">
        <v>3626</v>
      </c>
      <c r="B16" s="1903"/>
      <c r="C16" s="1903"/>
      <c r="D16" s="1903"/>
      <c r="E16" s="1903"/>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3"/>
      <c r="AK16" s="1903"/>
      <c r="AL16" s="1903"/>
      <c r="AM16" s="1903"/>
      <c r="AN16" s="1903"/>
    </row>
    <row r="17" spans="1:40" ht="12" customHeight="1"/>
    <row r="18" spans="1:40" ht="21" customHeight="1">
      <c r="A18" s="929" t="s">
        <v>3287</v>
      </c>
      <c r="B18" s="929"/>
      <c r="C18" s="929"/>
      <c r="D18" s="929"/>
      <c r="E18" s="929"/>
      <c r="F18" s="929"/>
      <c r="G18" s="929"/>
      <c r="H18" s="929"/>
      <c r="I18" s="929"/>
      <c r="J18" s="929"/>
      <c r="K18" s="929"/>
      <c r="L18" s="929"/>
      <c r="M18" s="929"/>
      <c r="N18" s="929"/>
      <c r="O18" s="929"/>
      <c r="P18" s="929"/>
      <c r="Q18" s="929"/>
      <c r="R18" s="929"/>
      <c r="S18" s="929"/>
      <c r="T18" s="929"/>
      <c r="U18" s="929"/>
      <c r="V18" s="929"/>
      <c r="W18" s="929"/>
      <c r="X18" s="929"/>
      <c r="Y18" s="929"/>
      <c r="Z18" s="929"/>
      <c r="AA18" s="929"/>
      <c r="AB18" s="929"/>
      <c r="AC18" s="929"/>
      <c r="AD18" s="929"/>
      <c r="AE18" s="929"/>
      <c r="AF18" s="929"/>
      <c r="AG18" s="929"/>
      <c r="AH18" s="929"/>
      <c r="AI18" s="929"/>
      <c r="AJ18" s="929"/>
      <c r="AK18" s="929"/>
      <c r="AL18" s="929"/>
      <c r="AM18" s="929"/>
      <c r="AN18" s="929"/>
    </row>
    <row r="19" spans="1:40" ht="12" customHeight="1"/>
    <row r="20" spans="1:40" ht="16.95" customHeight="1">
      <c r="A20" s="902" t="s">
        <v>3625</v>
      </c>
      <c r="M20" s="1870" t="str">
        <f>cst_shinsei_HIKIUKE_DATE</f>
        <v/>
      </c>
      <c r="N20" s="1870"/>
      <c r="O20" s="1870"/>
      <c r="P20" s="1870"/>
      <c r="Q20" s="1870"/>
      <c r="R20" s="1870"/>
      <c r="S20" s="1870"/>
      <c r="T20" s="1870"/>
      <c r="U20" s="1870"/>
      <c r="V20" s="1870"/>
      <c r="W20" s="946"/>
      <c r="X20" s="946"/>
      <c r="Y20" s="1859" t="str">
        <f>cst_shinsei_UKETUKE_NO</f>
        <v/>
      </c>
      <c r="Z20" s="1859"/>
      <c r="AA20" s="1859"/>
      <c r="AB20" s="1859"/>
      <c r="AC20" s="1859"/>
      <c r="AD20" s="1859"/>
      <c r="AE20" s="1859"/>
      <c r="AF20" s="1859"/>
      <c r="AG20" s="1859"/>
      <c r="AH20" s="1859"/>
      <c r="AI20" s="1859"/>
      <c r="AJ20" s="946"/>
    </row>
    <row r="21" spans="1:40" ht="12" customHeight="1"/>
    <row r="22" spans="1:40" ht="16.95" customHeight="1">
      <c r="A22" s="902" t="s">
        <v>3624</v>
      </c>
    </row>
    <row r="23" spans="1:40" ht="16.95" customHeight="1">
      <c r="D23" s="1014" t="str">
        <f>IF(wsjob_JOB_KIND=101,"■","□")</f>
        <v>□</v>
      </c>
      <c r="E23" s="1902" t="s">
        <v>3623</v>
      </c>
      <c r="F23" s="1902"/>
      <c r="G23" s="1902"/>
      <c r="H23" s="1902"/>
      <c r="I23" s="1902"/>
      <c r="J23" s="1902"/>
      <c r="K23" s="1902"/>
      <c r="L23" s="1902"/>
      <c r="M23" s="1902"/>
      <c r="N23" s="1902"/>
      <c r="O23" s="1902"/>
      <c r="P23" s="1902"/>
      <c r="Q23" s="1902"/>
      <c r="R23" s="1902"/>
      <c r="S23" s="1902"/>
      <c r="T23" s="1902"/>
      <c r="U23" s="1902"/>
      <c r="V23" s="1902"/>
      <c r="W23" s="1902"/>
      <c r="X23" s="1902"/>
      <c r="Y23" s="1902"/>
      <c r="Z23" s="1902"/>
      <c r="AA23" s="1902"/>
      <c r="AB23" s="1902"/>
      <c r="AC23" s="1902"/>
      <c r="AD23" s="1902"/>
      <c r="AE23" s="1902"/>
    </row>
    <row r="24" spans="1:40" ht="16.95" customHeight="1">
      <c r="D24" s="1014" t="str">
        <f>IF(wsjob_JOB_KIND=102,"■","□")</f>
        <v>□</v>
      </c>
      <c r="E24" s="1902" t="s">
        <v>3622</v>
      </c>
      <c r="F24" s="1902"/>
      <c r="G24" s="1902"/>
      <c r="H24" s="1902"/>
      <c r="I24" s="1902"/>
      <c r="J24" s="1902"/>
      <c r="K24" s="1902"/>
      <c r="L24" s="1902"/>
      <c r="M24" s="1902"/>
      <c r="N24" s="1902"/>
      <c r="O24" s="1902"/>
      <c r="P24" s="1902"/>
      <c r="Q24" s="1902"/>
      <c r="R24" s="1902"/>
      <c r="S24" s="1902"/>
      <c r="T24" s="1902"/>
      <c r="U24" s="1902"/>
      <c r="V24" s="1902"/>
      <c r="W24" s="1902"/>
      <c r="X24" s="1902"/>
      <c r="Y24" s="1902"/>
      <c r="Z24" s="1902"/>
      <c r="AA24" s="1902"/>
      <c r="AB24" s="1902"/>
      <c r="AC24" s="1902"/>
      <c r="AD24" s="1902"/>
      <c r="AE24" s="1902"/>
    </row>
    <row r="25" spans="1:40" ht="16.95" customHeight="1">
      <c r="D25" s="1014" t="str">
        <f>IF(wsjob_JOB_KIND=103,"■","□")</f>
        <v>□</v>
      </c>
      <c r="E25" s="1902" t="s">
        <v>3621</v>
      </c>
      <c r="F25" s="1902"/>
      <c r="G25" s="1902"/>
      <c r="H25" s="1902"/>
      <c r="I25" s="1902"/>
      <c r="J25" s="1902"/>
      <c r="K25" s="1902"/>
      <c r="L25" s="1902"/>
      <c r="M25" s="1902"/>
      <c r="N25" s="1902"/>
      <c r="O25" s="1902"/>
      <c r="P25" s="1902"/>
      <c r="Q25" s="1902"/>
      <c r="R25" s="1902"/>
      <c r="S25" s="1902"/>
      <c r="T25" s="1902"/>
      <c r="U25" s="1902"/>
      <c r="V25" s="1902"/>
      <c r="W25" s="1902"/>
      <c r="X25" s="1902"/>
      <c r="Y25" s="1902"/>
      <c r="Z25" s="1902"/>
      <c r="AA25" s="1902"/>
      <c r="AB25" s="1902"/>
      <c r="AC25" s="1902"/>
      <c r="AD25" s="1902"/>
      <c r="AE25" s="1902"/>
    </row>
    <row r="26" spans="1:40" ht="16.95" customHeight="1">
      <c r="D26" s="1014" t="str">
        <f>IF(wsjob_JOB_KIND=104,"■","□")</f>
        <v>■</v>
      </c>
      <c r="E26" s="1902" t="s">
        <v>3620</v>
      </c>
      <c r="F26" s="1902"/>
      <c r="G26" s="1902"/>
      <c r="H26" s="1902"/>
      <c r="I26" s="1902"/>
      <c r="J26" s="1902"/>
      <c r="K26" s="1902"/>
      <c r="L26" s="1902"/>
      <c r="M26" s="1902"/>
      <c r="N26" s="1902"/>
      <c r="O26" s="1902"/>
      <c r="P26" s="1902"/>
      <c r="Q26" s="1902"/>
      <c r="R26" s="1902"/>
      <c r="S26" s="1902"/>
      <c r="T26" s="1902"/>
      <c r="U26" s="1902"/>
      <c r="V26" s="1902"/>
      <c r="W26" s="1902"/>
      <c r="X26" s="1902"/>
      <c r="Y26" s="1902"/>
      <c r="Z26" s="1902"/>
      <c r="AA26" s="1902"/>
      <c r="AB26" s="1902"/>
      <c r="AC26" s="1902"/>
      <c r="AD26" s="1902"/>
      <c r="AE26" s="1902"/>
    </row>
    <row r="27" spans="1:40" ht="16.95" customHeight="1">
      <c r="D27" s="1016" t="s">
        <v>40</v>
      </c>
      <c r="E27" s="1902" t="s">
        <v>3619</v>
      </c>
      <c r="F27" s="1902"/>
      <c r="G27" s="1902"/>
      <c r="H27" s="1902"/>
      <c r="I27" s="1902"/>
      <c r="J27" s="1902"/>
      <c r="K27" s="1902"/>
      <c r="L27" s="1902"/>
      <c r="M27" s="1902"/>
      <c r="N27" s="1902"/>
      <c r="O27" s="1902"/>
      <c r="P27" s="1902"/>
      <c r="Q27" s="1902"/>
      <c r="R27" s="1902"/>
      <c r="S27" s="1902"/>
      <c r="T27" s="1902"/>
      <c r="U27" s="1902"/>
      <c r="V27" s="1902"/>
      <c r="W27" s="1902"/>
      <c r="X27" s="1902"/>
      <c r="Y27" s="1902"/>
      <c r="Z27" s="1902"/>
      <c r="AA27" s="1902"/>
      <c r="AB27" s="1902"/>
      <c r="AC27" s="1902"/>
      <c r="AD27" s="1902"/>
      <c r="AE27" s="1902"/>
    </row>
    <row r="28" spans="1:40" ht="16.95" customHeight="1">
      <c r="D28" s="1014" t="str">
        <f>IF(wsjob_JOB_KIND=111,"■","□")</f>
        <v>□</v>
      </c>
      <c r="E28" s="1902" t="s">
        <v>3618</v>
      </c>
      <c r="F28" s="1902"/>
      <c r="G28" s="1902"/>
      <c r="H28" s="1902"/>
      <c r="I28" s="1902"/>
      <c r="J28" s="1902"/>
      <c r="K28" s="1902"/>
      <c r="L28" s="1902"/>
      <c r="M28" s="1902"/>
      <c r="N28" s="1902"/>
      <c r="O28" s="1902"/>
      <c r="P28" s="1902"/>
      <c r="Q28" s="1902"/>
      <c r="R28" s="1902"/>
      <c r="S28" s="1902"/>
      <c r="T28" s="1902"/>
      <c r="U28" s="1902"/>
      <c r="V28" s="1902"/>
      <c r="W28" s="1902"/>
      <c r="X28" s="1902"/>
      <c r="Y28" s="1902"/>
      <c r="Z28" s="1902"/>
      <c r="AA28" s="1902"/>
      <c r="AB28" s="1902"/>
      <c r="AC28" s="1902"/>
      <c r="AD28" s="1902"/>
      <c r="AE28" s="1902"/>
      <c r="AF28" s="1902"/>
    </row>
    <row r="29" spans="1:40" ht="16.95" customHeight="1">
      <c r="D29" s="1014" t="str">
        <f>IF(wsjob_JOB_KIND=112,"■","□")</f>
        <v>□</v>
      </c>
      <c r="E29" s="1902" t="s">
        <v>3617</v>
      </c>
      <c r="F29" s="1902"/>
      <c r="G29" s="1902"/>
      <c r="H29" s="1902"/>
      <c r="I29" s="1902"/>
      <c r="J29" s="1902"/>
      <c r="K29" s="1902"/>
      <c r="L29" s="1902"/>
      <c r="M29" s="1902"/>
      <c r="N29" s="1902"/>
      <c r="O29" s="1902"/>
      <c r="P29" s="1902"/>
      <c r="Q29" s="1902"/>
      <c r="R29" s="1902"/>
      <c r="S29" s="1902"/>
      <c r="T29" s="1902"/>
      <c r="U29" s="1902"/>
      <c r="V29" s="1902"/>
      <c r="W29" s="1902"/>
      <c r="X29" s="1902"/>
      <c r="Y29" s="1902"/>
      <c r="Z29" s="1902"/>
      <c r="AA29" s="1902"/>
      <c r="AB29" s="1902"/>
      <c r="AC29" s="1902"/>
      <c r="AD29" s="1902"/>
      <c r="AE29" s="1902"/>
      <c r="AF29" s="1902"/>
    </row>
    <row r="30" spans="1:40" ht="16.95" customHeight="1">
      <c r="D30" s="1014" t="str">
        <f>IF(wsjob_JOB_KIND=113,"■","□")</f>
        <v>□</v>
      </c>
      <c r="E30" s="1902" t="s">
        <v>3616</v>
      </c>
      <c r="F30" s="1902"/>
      <c r="G30" s="1902"/>
      <c r="H30" s="1902"/>
      <c r="I30" s="1902"/>
      <c r="J30" s="1902"/>
      <c r="K30" s="1902"/>
      <c r="L30" s="1902"/>
      <c r="M30" s="1902"/>
      <c r="N30" s="1902"/>
      <c r="O30" s="1902"/>
      <c r="P30" s="1902"/>
      <c r="Q30" s="1902"/>
      <c r="R30" s="1902"/>
      <c r="S30" s="1902"/>
      <c r="T30" s="1902"/>
      <c r="U30" s="1902"/>
      <c r="V30" s="1902"/>
      <c r="W30" s="1902"/>
      <c r="X30" s="1902"/>
      <c r="Y30" s="1902"/>
      <c r="Z30" s="1902"/>
      <c r="AA30" s="1902"/>
      <c r="AB30" s="1902"/>
      <c r="AC30" s="1902"/>
      <c r="AD30" s="1902"/>
      <c r="AE30" s="1902"/>
      <c r="AF30" s="1902"/>
    </row>
    <row r="31" spans="1:40" ht="16.95" customHeight="1">
      <c r="D31" s="1014" t="str">
        <f>IF(wsjob_JOB_KIND=114,"■","□")</f>
        <v>□</v>
      </c>
      <c r="E31" s="1902" t="s">
        <v>3615</v>
      </c>
      <c r="F31" s="1902"/>
      <c r="G31" s="1902"/>
      <c r="H31" s="1902"/>
      <c r="I31" s="1902"/>
      <c r="J31" s="1902"/>
      <c r="K31" s="1902"/>
      <c r="L31" s="1902"/>
      <c r="M31" s="1902"/>
      <c r="N31" s="1902"/>
      <c r="O31" s="1902"/>
      <c r="P31" s="1902"/>
      <c r="Q31" s="1902"/>
      <c r="R31" s="1902"/>
      <c r="S31" s="1902"/>
      <c r="T31" s="1902"/>
      <c r="U31" s="1902"/>
      <c r="V31" s="1902"/>
      <c r="W31" s="1902"/>
      <c r="X31" s="1902"/>
      <c r="Y31" s="1902"/>
      <c r="Z31" s="1902"/>
      <c r="AA31" s="1902"/>
      <c r="AB31" s="1902"/>
      <c r="AC31" s="1902"/>
      <c r="AD31" s="1902"/>
      <c r="AE31" s="1902"/>
      <c r="AF31" s="1902"/>
    </row>
    <row r="32" spans="1:40" ht="16.95" customHeight="1">
      <c r="D32" s="1016" t="s">
        <v>40</v>
      </c>
      <c r="E32" s="1902" t="s">
        <v>3614</v>
      </c>
      <c r="F32" s="1902"/>
      <c r="G32" s="1902"/>
      <c r="H32" s="1902"/>
      <c r="I32" s="1902"/>
      <c r="J32" s="1902"/>
      <c r="K32" s="1902"/>
      <c r="L32" s="1902"/>
      <c r="M32" s="1902"/>
      <c r="N32" s="1902"/>
      <c r="O32" s="1902"/>
      <c r="P32" s="1902"/>
      <c r="Q32" s="1902"/>
      <c r="R32" s="1902"/>
      <c r="S32" s="1902"/>
      <c r="T32" s="1902"/>
      <c r="U32" s="1902"/>
      <c r="V32" s="1902"/>
      <c r="W32" s="1902"/>
      <c r="X32" s="1902"/>
      <c r="Y32" s="1902"/>
      <c r="Z32" s="1902"/>
      <c r="AA32" s="1902"/>
      <c r="AB32" s="1902"/>
      <c r="AC32" s="1902"/>
      <c r="AD32" s="1902"/>
      <c r="AE32" s="1902"/>
      <c r="AF32" s="1902"/>
    </row>
    <row r="33" spans="1:40" ht="12" customHeight="1"/>
    <row r="34" spans="1:40" ht="16.95" customHeight="1">
      <c r="A34" s="902" t="s">
        <v>3613</v>
      </c>
    </row>
    <row r="35" spans="1:40" ht="16.95" customHeight="1">
      <c r="C35" s="902" t="s">
        <v>3612</v>
      </c>
    </row>
    <row r="36" spans="1:40" ht="16.95" customHeight="1">
      <c r="D36" s="1014" t="str">
        <f ca="1">IF(cst_wsjob_TARGET_KIND=1,"■","□")</f>
        <v>□</v>
      </c>
      <c r="E36" s="902" t="s">
        <v>1215</v>
      </c>
      <c r="O36" s="1014" t="str">
        <f ca="1">IF(cst_wsjob_TARGET_KIND=2,"■","□")</f>
        <v>□</v>
      </c>
      <c r="P36" s="902" t="s">
        <v>3534</v>
      </c>
      <c r="Y36" s="1014" t="str">
        <f ca="1">IF(cst_wsjob_TARGET_KIND=3,"■","□")</f>
        <v>□</v>
      </c>
      <c r="Z36" s="902" t="s">
        <v>3532</v>
      </c>
    </row>
    <row r="37" spans="1:40" ht="16.95" customHeight="1">
      <c r="D37" s="1014" t="str">
        <f ca="1">IF(cst_wsjob_TARGET_KIND=4,"■","□")</f>
        <v>□</v>
      </c>
      <c r="E37" s="902" t="s">
        <v>3530</v>
      </c>
      <c r="S37" s="1014" t="str">
        <f ca="1">IF(cst_wsjob_TARGET_KIND=5,"■","□")</f>
        <v>□</v>
      </c>
      <c r="T37" s="902" t="s">
        <v>3528</v>
      </c>
    </row>
    <row r="38" spans="1:40" ht="16.95" customHeight="1">
      <c r="C38" s="902" t="s">
        <v>3611</v>
      </c>
    </row>
    <row r="39" spans="1:40" ht="16.95" customHeight="1">
      <c r="D39" s="1856" t="str">
        <f>cst_wskakunin_BUILD__address</f>
        <v>東京都港区虎ノ門１－１－１</v>
      </c>
      <c r="E39" s="1856"/>
      <c r="F39" s="1856"/>
      <c r="G39" s="1856"/>
      <c r="H39" s="1856"/>
      <c r="I39" s="1856"/>
      <c r="J39" s="1856"/>
      <c r="K39" s="1856"/>
      <c r="L39" s="1856"/>
      <c r="M39" s="1856"/>
      <c r="N39" s="1856"/>
      <c r="O39" s="1856"/>
      <c r="P39" s="1856"/>
      <c r="Q39" s="1856"/>
      <c r="R39" s="1856"/>
      <c r="S39" s="1856"/>
      <c r="T39" s="1856"/>
      <c r="U39" s="1856"/>
      <c r="V39" s="1856"/>
      <c r="W39" s="1856"/>
      <c r="X39" s="1856"/>
      <c r="Y39" s="1856"/>
      <c r="Z39" s="1856"/>
      <c r="AA39" s="1856"/>
      <c r="AB39" s="1856"/>
      <c r="AC39" s="1856"/>
      <c r="AD39" s="1856"/>
      <c r="AE39" s="1856"/>
      <c r="AF39" s="1856"/>
      <c r="AG39" s="1856"/>
      <c r="AH39" s="1856"/>
      <c r="AI39" s="1856"/>
      <c r="AJ39" s="1856"/>
      <c r="AK39" s="1856"/>
      <c r="AL39" s="1856"/>
      <c r="AM39" s="1856"/>
      <c r="AN39" s="1856"/>
    </row>
    <row r="40" spans="1:40" ht="12" customHeight="1"/>
    <row r="41" spans="1:40" ht="16.95" customHeight="1">
      <c r="A41" s="902" t="s">
        <v>3610</v>
      </c>
    </row>
    <row r="42" spans="1:40" ht="16.95" customHeight="1">
      <c r="D42" s="1876"/>
      <c r="E42" s="1876"/>
      <c r="F42" s="1876"/>
      <c r="G42" s="1876"/>
      <c r="H42" s="1876"/>
      <c r="I42" s="1876"/>
      <c r="J42" s="1876"/>
      <c r="K42" s="1876"/>
      <c r="L42" s="1876"/>
      <c r="M42" s="1876"/>
      <c r="N42" s="1876"/>
      <c r="O42" s="1876"/>
      <c r="P42" s="1876"/>
      <c r="Q42" s="1876"/>
      <c r="R42" s="1876"/>
      <c r="S42" s="1876"/>
      <c r="T42" s="1876"/>
      <c r="U42" s="1876"/>
      <c r="V42" s="1876"/>
      <c r="W42" s="1876"/>
      <c r="X42" s="1876"/>
      <c r="Y42" s="1876"/>
      <c r="Z42" s="1876"/>
      <c r="AA42" s="1876"/>
      <c r="AB42" s="1876"/>
      <c r="AC42" s="1876"/>
      <c r="AD42" s="1876"/>
      <c r="AE42" s="1876"/>
      <c r="AF42" s="1876"/>
      <c r="AG42" s="1876"/>
      <c r="AH42" s="1876"/>
      <c r="AI42" s="1876"/>
      <c r="AJ42" s="1876"/>
      <c r="AK42" s="1876"/>
      <c r="AL42" s="1876"/>
      <c r="AM42" s="1876"/>
      <c r="AN42" s="1876"/>
    </row>
    <row r="43" spans="1:40" ht="12" customHeight="1"/>
    <row r="44" spans="1:40" ht="21" customHeight="1">
      <c r="A44" s="925" t="s">
        <v>3258</v>
      </c>
      <c r="B44" s="924"/>
      <c r="C44" s="924"/>
      <c r="D44" s="924"/>
      <c r="E44" s="924"/>
      <c r="F44" s="924"/>
      <c r="G44" s="924"/>
      <c r="H44" s="924"/>
      <c r="I44" s="924"/>
      <c r="J44" s="924"/>
      <c r="K44" s="924"/>
      <c r="L44" s="924"/>
      <c r="M44" s="923"/>
      <c r="N44" s="925" t="s">
        <v>3609</v>
      </c>
      <c r="O44" s="924"/>
      <c r="P44" s="924"/>
      <c r="Q44" s="924"/>
      <c r="R44" s="924"/>
      <c r="S44" s="924"/>
      <c r="T44" s="924"/>
      <c r="U44" s="924"/>
      <c r="V44" s="924"/>
      <c r="W44" s="924"/>
      <c r="X44" s="924"/>
      <c r="Y44" s="924"/>
      <c r="Z44" s="924"/>
      <c r="AA44" s="923"/>
      <c r="AB44" s="925" t="s">
        <v>3554</v>
      </c>
      <c r="AC44" s="924"/>
      <c r="AD44" s="924"/>
      <c r="AE44" s="924"/>
      <c r="AF44" s="924"/>
      <c r="AG44" s="924"/>
      <c r="AH44" s="924"/>
      <c r="AI44" s="924"/>
      <c r="AJ44" s="924"/>
      <c r="AK44" s="924"/>
      <c r="AL44" s="924"/>
      <c r="AM44" s="924"/>
      <c r="AN44" s="923"/>
    </row>
    <row r="45" spans="1:40" ht="21" customHeight="1">
      <c r="A45" s="919" t="s">
        <v>3608</v>
      </c>
      <c r="B45" s="918"/>
      <c r="C45" s="918"/>
      <c r="D45" s="918"/>
      <c r="E45" s="918"/>
      <c r="F45" s="918"/>
      <c r="G45" s="918"/>
      <c r="H45" s="918"/>
      <c r="I45" s="918"/>
      <c r="J45" s="918"/>
      <c r="K45" s="918"/>
      <c r="L45" s="918"/>
      <c r="M45" s="917"/>
      <c r="N45" s="922"/>
      <c r="O45" s="921"/>
      <c r="P45" s="921"/>
      <c r="Q45" s="921"/>
      <c r="R45" s="921"/>
      <c r="S45" s="921"/>
      <c r="T45" s="921"/>
      <c r="U45" s="921"/>
      <c r="V45" s="921"/>
      <c r="W45" s="921"/>
      <c r="X45" s="921"/>
      <c r="Y45" s="921"/>
      <c r="Z45" s="921"/>
      <c r="AA45" s="920"/>
      <c r="AB45" s="919" t="s">
        <v>3608</v>
      </c>
      <c r="AC45" s="918"/>
      <c r="AD45" s="918"/>
      <c r="AE45" s="918"/>
      <c r="AF45" s="918"/>
      <c r="AG45" s="918"/>
      <c r="AH45" s="918"/>
      <c r="AI45" s="918"/>
      <c r="AJ45" s="918"/>
      <c r="AK45" s="918"/>
      <c r="AL45" s="918"/>
      <c r="AM45" s="918"/>
      <c r="AN45" s="917"/>
    </row>
    <row r="46" spans="1:40" ht="21" customHeight="1">
      <c r="A46" s="914" t="s">
        <v>3607</v>
      </c>
      <c r="B46" s="913"/>
      <c r="C46" s="913"/>
      <c r="D46" s="913"/>
      <c r="E46" s="913"/>
      <c r="F46" s="913"/>
      <c r="G46" s="913"/>
      <c r="H46" s="913"/>
      <c r="I46" s="913"/>
      <c r="J46" s="913"/>
      <c r="K46" s="913"/>
      <c r="L46" s="913"/>
      <c r="M46" s="912"/>
      <c r="N46" s="916"/>
      <c r="AA46" s="915"/>
      <c r="AB46" s="914" t="s">
        <v>3607</v>
      </c>
      <c r="AC46" s="913"/>
      <c r="AD46" s="913"/>
      <c r="AE46" s="913"/>
      <c r="AF46" s="913"/>
      <c r="AG46" s="913"/>
      <c r="AH46" s="913"/>
      <c r="AI46" s="913"/>
      <c r="AJ46" s="913"/>
      <c r="AK46" s="913"/>
      <c r="AL46" s="913"/>
      <c r="AM46" s="913"/>
      <c r="AN46" s="912"/>
    </row>
    <row r="47" spans="1:40" ht="21" customHeight="1">
      <c r="A47" s="908" t="s">
        <v>3298</v>
      </c>
      <c r="B47" s="907"/>
      <c r="C47" s="907"/>
      <c r="D47" s="907"/>
      <c r="E47" s="907"/>
      <c r="F47" s="907"/>
      <c r="G47" s="907"/>
      <c r="H47" s="907"/>
      <c r="I47" s="907"/>
      <c r="J47" s="907"/>
      <c r="K47" s="907"/>
      <c r="L47" s="907"/>
      <c r="M47" s="906"/>
      <c r="N47" s="911"/>
      <c r="O47" s="910"/>
      <c r="P47" s="910"/>
      <c r="Q47" s="910"/>
      <c r="R47" s="910"/>
      <c r="S47" s="910"/>
      <c r="T47" s="910"/>
      <c r="U47" s="910"/>
      <c r="V47" s="910"/>
      <c r="W47" s="910"/>
      <c r="X47" s="910"/>
      <c r="Y47" s="910"/>
      <c r="Z47" s="910"/>
      <c r="AA47" s="909"/>
      <c r="AB47" s="908" t="s">
        <v>3298</v>
      </c>
      <c r="AC47" s="907"/>
      <c r="AD47" s="907"/>
      <c r="AE47" s="907"/>
      <c r="AF47" s="907"/>
      <c r="AG47" s="907"/>
      <c r="AH47" s="907"/>
      <c r="AI47" s="907"/>
      <c r="AJ47" s="907"/>
      <c r="AK47" s="907"/>
      <c r="AL47" s="907"/>
      <c r="AM47" s="907"/>
      <c r="AN47" s="906"/>
    </row>
    <row r="48" spans="1:40" ht="21" customHeight="1">
      <c r="A48" s="904" t="s">
        <v>2676</v>
      </c>
      <c r="B48" s="904"/>
      <c r="C48" s="904"/>
      <c r="D48" s="904" t="s">
        <v>3551</v>
      </c>
    </row>
    <row r="49" spans="1:1" ht="21" customHeight="1">
      <c r="A49" s="903" t="s">
        <v>3547</v>
      </c>
    </row>
  </sheetData>
  <mergeCells count="23">
    <mergeCell ref="E32:AF32"/>
    <mergeCell ref="D42:AN42"/>
    <mergeCell ref="D39:AN39"/>
    <mergeCell ref="U7:AN7"/>
    <mergeCell ref="U8:AN8"/>
    <mergeCell ref="E28:AF28"/>
    <mergeCell ref="E29:AF29"/>
    <mergeCell ref="E30:AF30"/>
    <mergeCell ref="A16:AN16"/>
    <mergeCell ref="E23:AE23"/>
    <mergeCell ref="E31:AF31"/>
    <mergeCell ref="E24:AE24"/>
    <mergeCell ref="E25:AE25"/>
    <mergeCell ref="E26:AE26"/>
    <mergeCell ref="E27:AE27"/>
    <mergeCell ref="AD3:AN3"/>
    <mergeCell ref="U10:AN10"/>
    <mergeCell ref="U9:AN9"/>
    <mergeCell ref="U14:AN14"/>
    <mergeCell ref="M20:V20"/>
    <mergeCell ref="Y20:AI20"/>
    <mergeCell ref="U12:AN12"/>
    <mergeCell ref="U13:AN13"/>
  </mergeCells>
  <phoneticPr fontId="122"/>
  <dataValidations count="1">
    <dataValidation type="list" allowBlank="1" showInputMessage="1" sqref="D23:D32 D36:D37 O36 S37 Y36" xr:uid="{00000000-0002-0000-2300-000000000000}">
      <formula1>"□,■"</formula1>
    </dataValidation>
  </dataValidations>
  <pageMargins left="0.78740157480314965" right="0.59055118110236227" top="0.59055118110236227" bottom="0.39370078740157483" header="0.51181102362204722" footer="0.51181102362204722"/>
  <pageSetup paperSize="9" orientation="portrait" blackAndWhite="1"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R58"/>
  <sheetViews>
    <sheetView zoomScaleNormal="100" zoomScaleSheetLayoutView="100" workbookViewId="0">
      <selection activeCell="AO1" sqref="AO1"/>
    </sheetView>
  </sheetViews>
  <sheetFormatPr defaultColWidth="2.109375" defaultRowHeight="18" customHeight="1"/>
  <cols>
    <col min="1" max="1" width="2.109375" style="606" customWidth="1"/>
    <col min="2" max="16384" width="2.109375" style="606"/>
  </cols>
  <sheetData>
    <row r="1" spans="1:44" ht="18" customHeight="1">
      <c r="A1" s="606" t="s">
        <v>3639</v>
      </c>
    </row>
    <row r="2" spans="1:44" ht="15" customHeight="1"/>
    <row r="3" spans="1:44" ht="18" customHeight="1">
      <c r="A3" s="653" t="s">
        <v>3317</v>
      </c>
      <c r="B3" s="650"/>
      <c r="C3" s="650"/>
      <c r="D3" s="650"/>
      <c r="E3" s="650"/>
      <c r="F3" s="650"/>
      <c r="G3" s="650"/>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650"/>
      <c r="AI3" s="650"/>
      <c r="AJ3" s="650"/>
      <c r="AK3" s="650"/>
      <c r="AL3" s="650"/>
      <c r="AM3" s="650"/>
      <c r="AN3" s="650"/>
    </row>
    <row r="4" spans="1:44" ht="15" customHeight="1"/>
    <row r="5" spans="1:44" ht="18" customHeight="1">
      <c r="A5" s="606" t="s">
        <v>3638</v>
      </c>
      <c r="AR5" s="652"/>
    </row>
    <row r="6" spans="1:44" ht="15" customHeight="1">
      <c r="AR6" s="652"/>
    </row>
    <row r="7" spans="1:44" ht="18" customHeight="1">
      <c r="A7" s="606" t="s">
        <v>3603</v>
      </c>
      <c r="AR7" s="652"/>
    </row>
    <row r="8" spans="1:44" ht="18" customHeight="1">
      <c r="AR8" s="652"/>
    </row>
    <row r="9" spans="1:44" ht="15" customHeight="1"/>
    <row r="10" spans="1:44" ht="18" customHeight="1">
      <c r="AD10" s="1855" t="s">
        <v>3276</v>
      </c>
      <c r="AE10" s="1855"/>
      <c r="AF10" s="1855"/>
      <c r="AG10" s="1855"/>
      <c r="AH10" s="1855"/>
      <c r="AI10" s="1855"/>
      <c r="AJ10" s="1855"/>
      <c r="AK10" s="1855"/>
      <c r="AL10" s="1855"/>
      <c r="AM10" s="1855"/>
      <c r="AN10" s="1855"/>
    </row>
    <row r="12" spans="1:44" ht="18" customHeight="1">
      <c r="N12" s="1891" t="s">
        <v>3570</v>
      </c>
      <c r="O12" s="1891"/>
      <c r="P12" s="1891"/>
      <c r="Q12" s="1891"/>
      <c r="R12" s="1891"/>
      <c r="S12" s="1891"/>
      <c r="T12" s="1891"/>
      <c r="V12" s="1890" t="str">
        <f>cst_wskakunin_owner1__address</f>
        <v>東京都港区虎ノ門1-1-21</v>
      </c>
      <c r="W12" s="1857"/>
      <c r="X12" s="1857"/>
      <c r="Y12" s="1857"/>
      <c r="Z12" s="1857"/>
      <c r="AA12" s="1857"/>
      <c r="AB12" s="1857"/>
      <c r="AC12" s="1857"/>
      <c r="AD12" s="1857"/>
      <c r="AE12" s="1857"/>
      <c r="AF12" s="1857"/>
      <c r="AG12" s="1857"/>
      <c r="AH12" s="1857"/>
      <c r="AI12" s="1857"/>
      <c r="AJ12" s="1857"/>
      <c r="AK12" s="1857"/>
      <c r="AL12" s="1857"/>
      <c r="AM12" s="1857"/>
      <c r="AN12" s="1857"/>
    </row>
    <row r="13" spans="1:44" ht="18" customHeight="1">
      <c r="V13" s="1890" t="str">
        <f>cst_wskakunin_owner1_JIMU_NAME</f>
        <v>株式会社ユーイック不動産</v>
      </c>
      <c r="W13" s="1857"/>
      <c r="X13" s="1857"/>
      <c r="Y13" s="1857"/>
      <c r="Z13" s="1857"/>
      <c r="AA13" s="1857"/>
      <c r="AB13" s="1857"/>
      <c r="AC13" s="1857"/>
      <c r="AD13" s="1857"/>
      <c r="AE13" s="1857"/>
      <c r="AF13" s="1857"/>
      <c r="AG13" s="1857"/>
      <c r="AH13" s="1857"/>
      <c r="AI13" s="1857"/>
      <c r="AJ13" s="1857"/>
      <c r="AK13" s="1857"/>
      <c r="AL13" s="1857"/>
      <c r="AM13" s="1857"/>
      <c r="AN13" s="1857"/>
    </row>
    <row r="14" spans="1:44" ht="18" customHeight="1">
      <c r="N14" s="1891"/>
      <c r="O14" s="1891"/>
      <c r="P14" s="1891"/>
      <c r="Q14" s="1891"/>
      <c r="R14" s="1891"/>
      <c r="S14" s="1891"/>
      <c r="T14" s="1891"/>
      <c r="V14" s="1890" t="str">
        <f>cst_wskakunin_owner1_POST</f>
        <v>代表取締役社長</v>
      </c>
      <c r="W14" s="1890"/>
      <c r="X14" s="1890"/>
      <c r="Y14" s="1890"/>
      <c r="Z14" s="1890"/>
      <c r="AA14" s="1890"/>
      <c r="AB14" s="1890"/>
      <c r="AC14" s="1890"/>
      <c r="AD14" s="1890"/>
      <c r="AE14" s="1890"/>
      <c r="AF14" s="1890"/>
      <c r="AG14" s="1890"/>
      <c r="AH14" s="1890"/>
      <c r="AI14" s="1890"/>
      <c r="AJ14" s="1890"/>
      <c r="AK14" s="1890"/>
      <c r="AL14" s="1890"/>
      <c r="AM14" s="1890"/>
      <c r="AN14" s="945"/>
    </row>
    <row r="15" spans="1:44" ht="18" customHeight="1">
      <c r="N15" s="1891" t="s">
        <v>7</v>
      </c>
      <c r="O15" s="1891"/>
      <c r="P15" s="1891"/>
      <c r="Q15" s="1891"/>
      <c r="R15" s="1891"/>
      <c r="S15" s="1891"/>
      <c r="T15" s="1891"/>
      <c r="V15" s="1890" t="str">
        <f>cst_wskakunin_owner1_NAME</f>
        <v>野崎　豊</v>
      </c>
      <c r="W15" s="1890"/>
      <c r="X15" s="1890"/>
      <c r="Y15" s="1890"/>
      <c r="Z15" s="1890"/>
      <c r="AA15" s="1890"/>
      <c r="AB15" s="1890"/>
      <c r="AC15" s="1890"/>
      <c r="AD15" s="1890"/>
      <c r="AE15" s="1890"/>
      <c r="AF15" s="1890"/>
      <c r="AG15" s="1890"/>
      <c r="AH15" s="1890"/>
      <c r="AI15" s="1890"/>
      <c r="AJ15" s="1890"/>
      <c r="AK15" s="1890"/>
      <c r="AL15" s="1890"/>
      <c r="AM15" s="1890"/>
      <c r="AN15" s="945"/>
    </row>
    <row r="16" spans="1:44" ht="9" customHeight="1"/>
    <row r="17" spans="1:40" ht="18" customHeight="1">
      <c r="N17" s="1891" t="s">
        <v>3569</v>
      </c>
      <c r="O17" s="1891"/>
      <c r="P17" s="1891"/>
      <c r="Q17" s="1891"/>
      <c r="R17" s="1891"/>
      <c r="S17" s="1891"/>
      <c r="T17" s="1891"/>
      <c r="V17" s="1890" t="str">
        <f>cst_wskakunin_dairi1__address</f>
        <v>東京都港区虎ノ門1-1-21</v>
      </c>
      <c r="W17" s="1857"/>
      <c r="X17" s="1857"/>
      <c r="Y17" s="1857"/>
      <c r="Z17" s="1857"/>
      <c r="AA17" s="1857"/>
      <c r="AB17" s="1857"/>
      <c r="AC17" s="1857"/>
      <c r="AD17" s="1857"/>
      <c r="AE17" s="1857"/>
      <c r="AF17" s="1857"/>
      <c r="AG17" s="1857"/>
      <c r="AH17" s="1857"/>
      <c r="AI17" s="1857"/>
      <c r="AJ17" s="1857"/>
      <c r="AK17" s="1857"/>
      <c r="AL17" s="1857"/>
      <c r="AM17" s="1857"/>
      <c r="AN17" s="1857"/>
    </row>
    <row r="18" spans="1:40" ht="18" customHeight="1">
      <c r="V18" s="1890" t="str">
        <f>cst_wskakunin_dairi1_JIMU_NAME</f>
        <v>一級建築士事務所　UHEC</v>
      </c>
      <c r="W18" s="1857"/>
      <c r="X18" s="1857"/>
      <c r="Y18" s="1857"/>
      <c r="Z18" s="1857"/>
      <c r="AA18" s="1857"/>
      <c r="AB18" s="1857"/>
      <c r="AC18" s="1857"/>
      <c r="AD18" s="1857"/>
      <c r="AE18" s="1857"/>
      <c r="AF18" s="1857"/>
      <c r="AG18" s="1857"/>
      <c r="AH18" s="1857"/>
      <c r="AI18" s="1857"/>
      <c r="AJ18" s="1857"/>
      <c r="AK18" s="1857"/>
      <c r="AL18" s="1857"/>
      <c r="AM18" s="1857"/>
      <c r="AN18" s="1857"/>
    </row>
    <row r="19" spans="1:40" ht="18" customHeight="1">
      <c r="N19" s="1891" t="s">
        <v>7</v>
      </c>
      <c r="O19" s="1891"/>
      <c r="P19" s="1891"/>
      <c r="Q19" s="1891"/>
      <c r="R19" s="1891"/>
      <c r="S19" s="1891"/>
      <c r="T19" s="1891"/>
      <c r="V19" s="1890" t="str">
        <f>cst_wskakunin_dairi1_NAME</f>
        <v>藤田　ゆき子</v>
      </c>
      <c r="W19" s="1890"/>
      <c r="X19" s="1890"/>
      <c r="Y19" s="1890"/>
      <c r="Z19" s="1890"/>
      <c r="AA19" s="1890"/>
      <c r="AB19" s="1890"/>
      <c r="AC19" s="1890"/>
      <c r="AD19" s="1890"/>
      <c r="AE19" s="1890"/>
      <c r="AF19" s="1890"/>
      <c r="AG19" s="1890"/>
      <c r="AH19" s="1890"/>
      <c r="AI19" s="1890"/>
      <c r="AJ19" s="1890"/>
      <c r="AK19" s="1890"/>
      <c r="AL19" s="1890"/>
      <c r="AM19" s="1890"/>
      <c r="AN19" s="945"/>
    </row>
    <row r="20" spans="1:40" ht="15" customHeight="1"/>
    <row r="21" spans="1:40" ht="18" customHeight="1">
      <c r="A21" s="650" t="s">
        <v>3287</v>
      </c>
      <c r="B21" s="650"/>
      <c r="C21" s="650"/>
      <c r="D21" s="650"/>
      <c r="E21" s="650"/>
      <c r="F21" s="650"/>
      <c r="G21" s="650"/>
      <c r="H21" s="650"/>
      <c r="I21" s="650"/>
      <c r="J21" s="650"/>
      <c r="K21" s="650"/>
      <c r="L21" s="650"/>
      <c r="M21" s="650"/>
      <c r="N21" s="650"/>
      <c r="O21" s="650"/>
      <c r="P21" s="650"/>
      <c r="Q21" s="650"/>
      <c r="R21" s="650"/>
      <c r="S21" s="650"/>
      <c r="T21" s="650"/>
      <c r="U21" s="650"/>
      <c r="V21" s="650"/>
      <c r="W21" s="650"/>
      <c r="X21" s="650"/>
      <c r="Y21" s="650"/>
      <c r="Z21" s="650"/>
      <c r="AA21" s="650"/>
      <c r="AB21" s="650"/>
      <c r="AC21" s="650"/>
      <c r="AD21" s="650"/>
      <c r="AE21" s="650"/>
      <c r="AF21" s="650"/>
      <c r="AG21" s="650"/>
      <c r="AH21" s="650"/>
      <c r="AI21" s="650"/>
      <c r="AJ21" s="650"/>
      <c r="AK21" s="650"/>
      <c r="AL21" s="650"/>
      <c r="AM21" s="650"/>
      <c r="AN21" s="650"/>
    </row>
    <row r="22" spans="1:40" ht="15" customHeight="1"/>
    <row r="23" spans="1:40" ht="18" customHeight="1">
      <c r="A23" s="606" t="s">
        <v>3568</v>
      </c>
    </row>
    <row r="24" spans="1:40" ht="18" customHeight="1">
      <c r="B24" s="606" t="s">
        <v>3567</v>
      </c>
      <c r="L24" s="1871" t="str">
        <f ca="1">cst_ISSUE_NO_select</f>
        <v>第UHEC建確R070030号</v>
      </c>
      <c r="M24" s="1871"/>
      <c r="N24" s="1871"/>
      <c r="O24" s="1871"/>
      <c r="P24" s="1871"/>
      <c r="Q24" s="1871"/>
      <c r="R24" s="1871"/>
      <c r="S24" s="1871"/>
      <c r="T24" s="1871"/>
      <c r="U24" s="1871"/>
      <c r="V24" s="1871"/>
      <c r="W24" s="1871"/>
    </row>
    <row r="25" spans="1:40" ht="18" customHeight="1">
      <c r="B25" s="606" t="s">
        <v>3566</v>
      </c>
      <c r="L25" s="1913">
        <f ca="1">cst_ISSUE_DATE_select</f>
        <v>45922</v>
      </c>
      <c r="M25" s="1913"/>
      <c r="N25" s="1913"/>
      <c r="O25" s="1913"/>
      <c r="P25" s="1913"/>
      <c r="Q25" s="1913"/>
      <c r="R25" s="1913"/>
      <c r="S25" s="1913"/>
      <c r="T25" s="1913"/>
      <c r="U25" s="1913"/>
      <c r="V25" s="1913"/>
      <c r="W25" s="1913"/>
    </row>
    <row r="26" spans="1:40" ht="18" customHeight="1">
      <c r="B26" s="606" t="s">
        <v>3565</v>
      </c>
      <c r="L26" s="1871" t="str">
        <f>cst_wskakunin_LAST_ISSUE_NAME</f>
        <v>株式会社　都市居住評価センター 代表取締役社長　野崎　豊</v>
      </c>
      <c r="M26" s="1871"/>
      <c r="N26" s="1871"/>
      <c r="O26" s="1871"/>
      <c r="P26" s="1871"/>
      <c r="Q26" s="1871"/>
      <c r="R26" s="1871"/>
      <c r="S26" s="1871"/>
      <c r="T26" s="1871"/>
      <c r="U26" s="1871"/>
      <c r="V26" s="1871"/>
      <c r="W26" s="1871"/>
      <c r="X26" s="1871"/>
      <c r="Y26" s="1871"/>
      <c r="Z26" s="1871"/>
      <c r="AA26" s="1871"/>
      <c r="AB26" s="1871"/>
      <c r="AC26" s="1871"/>
      <c r="AD26" s="1871"/>
      <c r="AE26" s="1871"/>
      <c r="AF26" s="1871"/>
      <c r="AG26" s="1871"/>
      <c r="AH26" s="1871"/>
      <c r="AI26" s="1871"/>
      <c r="AJ26" s="1871"/>
      <c r="AK26" s="1871"/>
      <c r="AL26" s="1871"/>
      <c r="AM26" s="1871"/>
      <c r="AN26" s="1871"/>
    </row>
    <row r="27" spans="1:40" ht="15" customHeight="1"/>
    <row r="28" spans="1:40" ht="18" customHeight="1">
      <c r="A28" s="606" t="s">
        <v>3564</v>
      </c>
    </row>
    <row r="29" spans="1:40" ht="18" customHeight="1">
      <c r="C29" s="1890" t="str">
        <f>cst_wskakunin_BUILD__address</f>
        <v>東京都港区虎ノ門１－１－１</v>
      </c>
      <c r="D29" s="1890"/>
      <c r="E29" s="1890"/>
      <c r="F29" s="1890"/>
      <c r="G29" s="1890"/>
      <c r="H29" s="1890"/>
      <c r="I29" s="1890"/>
      <c r="J29" s="1890"/>
      <c r="K29" s="1890"/>
      <c r="L29" s="1890"/>
      <c r="M29" s="1890"/>
      <c r="N29" s="1890"/>
      <c r="O29" s="1890"/>
      <c r="P29" s="1890"/>
      <c r="Q29" s="1890"/>
      <c r="R29" s="1890"/>
      <c r="S29" s="1890"/>
      <c r="T29" s="1890"/>
      <c r="U29" s="1890"/>
      <c r="V29" s="1890"/>
      <c r="W29" s="1890"/>
      <c r="X29" s="1890"/>
      <c r="Y29" s="1890"/>
      <c r="Z29" s="1890"/>
      <c r="AA29" s="1890"/>
      <c r="AB29" s="1890"/>
      <c r="AC29" s="1890"/>
      <c r="AD29" s="1890"/>
      <c r="AE29" s="1890"/>
      <c r="AF29" s="1890"/>
      <c r="AG29" s="1890"/>
      <c r="AH29" s="1890"/>
      <c r="AI29" s="1890"/>
      <c r="AJ29" s="1890"/>
      <c r="AK29" s="1890"/>
      <c r="AL29" s="1890"/>
      <c r="AM29" s="1890"/>
      <c r="AN29" s="1890"/>
    </row>
    <row r="30" spans="1:40" ht="15" customHeight="1"/>
    <row r="31" spans="1:40" ht="18" customHeight="1">
      <c r="A31" s="606" t="s">
        <v>3637</v>
      </c>
    </row>
    <row r="32" spans="1:40" ht="18" customHeight="1">
      <c r="A32" s="644" t="s">
        <v>3636</v>
      </c>
      <c r="B32" s="644"/>
      <c r="C32" s="643"/>
      <c r="D32" s="643"/>
      <c r="E32" s="643"/>
      <c r="F32" s="643"/>
      <c r="G32" s="643"/>
      <c r="H32" s="643"/>
      <c r="I32" s="643"/>
      <c r="J32" s="643"/>
      <c r="K32" s="643"/>
      <c r="L32" s="643"/>
      <c r="M32" s="643"/>
      <c r="N32" s="643"/>
      <c r="O32" s="643"/>
      <c r="P32" s="643"/>
      <c r="Q32" s="643"/>
      <c r="R32" s="643"/>
      <c r="S32" s="643"/>
      <c r="T32" s="642"/>
      <c r="U32" s="644" t="s">
        <v>3636</v>
      </c>
      <c r="V32" s="643"/>
      <c r="W32" s="643"/>
      <c r="X32" s="643"/>
      <c r="Y32" s="643"/>
      <c r="Z32" s="643"/>
      <c r="AA32" s="643"/>
      <c r="AB32" s="643"/>
      <c r="AC32" s="643"/>
      <c r="AD32" s="643"/>
      <c r="AE32" s="643"/>
      <c r="AF32" s="643"/>
      <c r="AG32" s="643"/>
      <c r="AH32" s="643"/>
      <c r="AI32" s="643"/>
      <c r="AJ32" s="643"/>
      <c r="AK32" s="643"/>
      <c r="AL32" s="643"/>
      <c r="AM32" s="643"/>
      <c r="AN32" s="642"/>
    </row>
    <row r="33" spans="1:40" ht="18" customHeight="1">
      <c r="A33" s="641"/>
      <c r="B33" s="640"/>
      <c r="C33" s="640"/>
      <c r="D33" s="640"/>
      <c r="E33" s="640"/>
      <c r="F33" s="640"/>
      <c r="G33" s="640"/>
      <c r="H33" s="640"/>
      <c r="I33" s="640"/>
      <c r="J33" s="640"/>
      <c r="K33" s="640"/>
      <c r="L33" s="640"/>
      <c r="M33" s="640"/>
      <c r="N33" s="640"/>
      <c r="O33" s="640"/>
      <c r="P33" s="640"/>
      <c r="Q33" s="640"/>
      <c r="R33" s="640"/>
      <c r="S33" s="640"/>
      <c r="T33" s="639"/>
      <c r="U33" s="641"/>
      <c r="V33" s="640"/>
      <c r="W33" s="640"/>
      <c r="X33" s="640"/>
      <c r="Y33" s="640"/>
      <c r="Z33" s="640"/>
      <c r="AA33" s="640"/>
      <c r="AB33" s="640"/>
      <c r="AC33" s="640"/>
      <c r="AD33" s="640"/>
      <c r="AE33" s="640"/>
      <c r="AF33" s="640"/>
      <c r="AG33" s="640"/>
      <c r="AH33" s="640"/>
      <c r="AI33" s="640"/>
      <c r="AJ33" s="640"/>
      <c r="AK33" s="640"/>
      <c r="AL33" s="640"/>
      <c r="AM33" s="640"/>
      <c r="AN33" s="639"/>
    </row>
    <row r="34" spans="1:40" ht="18" customHeight="1">
      <c r="A34" s="618"/>
      <c r="T34" s="638"/>
      <c r="U34" s="618"/>
      <c r="AN34" s="638"/>
    </row>
    <row r="35" spans="1:40" ht="18" customHeight="1">
      <c r="A35" s="618"/>
      <c r="T35" s="638"/>
      <c r="U35" s="618"/>
      <c r="AN35" s="638"/>
    </row>
    <row r="36" spans="1:40" ht="18" customHeight="1">
      <c r="A36" s="618"/>
      <c r="T36" s="638"/>
      <c r="U36" s="618"/>
      <c r="AN36" s="638"/>
    </row>
    <row r="37" spans="1:40" ht="18" customHeight="1">
      <c r="A37" s="618"/>
      <c r="T37" s="638"/>
      <c r="U37" s="618"/>
      <c r="AN37" s="638"/>
    </row>
    <row r="38" spans="1:40" ht="18" customHeight="1">
      <c r="A38" s="618"/>
      <c r="T38" s="638"/>
      <c r="U38" s="618"/>
      <c r="AN38" s="638"/>
    </row>
    <row r="39" spans="1:40" ht="18" customHeight="1">
      <c r="A39" s="612"/>
      <c r="B39" s="611"/>
      <c r="C39" s="611"/>
      <c r="D39" s="611"/>
      <c r="E39" s="611"/>
      <c r="F39" s="611"/>
      <c r="G39" s="611"/>
      <c r="H39" s="611"/>
      <c r="I39" s="611"/>
      <c r="J39" s="611"/>
      <c r="K39" s="611"/>
      <c r="L39" s="611"/>
      <c r="M39" s="611"/>
      <c r="N39" s="611"/>
      <c r="O39" s="611"/>
      <c r="P39" s="611"/>
      <c r="Q39" s="611"/>
      <c r="R39" s="611"/>
      <c r="S39" s="611"/>
      <c r="T39" s="637"/>
      <c r="U39" s="612"/>
      <c r="V39" s="611"/>
      <c r="W39" s="611"/>
      <c r="X39" s="611"/>
      <c r="Y39" s="611"/>
      <c r="Z39" s="611"/>
      <c r="AA39" s="611"/>
      <c r="AB39" s="611"/>
      <c r="AC39" s="611"/>
      <c r="AD39" s="611"/>
      <c r="AE39" s="611"/>
      <c r="AF39" s="611"/>
      <c r="AG39" s="611"/>
      <c r="AH39" s="611"/>
      <c r="AI39" s="611"/>
      <c r="AJ39" s="611"/>
      <c r="AK39" s="611"/>
      <c r="AL39" s="611"/>
      <c r="AM39" s="611"/>
      <c r="AN39" s="637"/>
    </row>
    <row r="40" spans="1:40" ht="15" customHeight="1"/>
    <row r="41" spans="1:40" ht="18" customHeight="1">
      <c r="A41" s="606" t="s">
        <v>3635</v>
      </c>
    </row>
    <row r="42" spans="1:40" ht="18" customHeight="1">
      <c r="A42" s="625"/>
      <c r="B42" s="624"/>
      <c r="C42" s="624"/>
      <c r="D42" s="624"/>
      <c r="E42" s="624"/>
      <c r="F42" s="624"/>
      <c r="G42" s="624"/>
      <c r="H42" s="624"/>
      <c r="I42" s="624"/>
      <c r="J42" s="624"/>
      <c r="K42" s="624"/>
      <c r="L42" s="624"/>
      <c r="M42" s="624"/>
      <c r="N42" s="624"/>
      <c r="O42" s="624"/>
      <c r="P42" s="624"/>
      <c r="Q42" s="624"/>
      <c r="R42" s="624"/>
      <c r="S42" s="624"/>
      <c r="T42" s="624"/>
      <c r="U42" s="624"/>
      <c r="V42" s="624"/>
      <c r="W42" s="624"/>
      <c r="X42" s="624"/>
      <c r="Y42" s="624"/>
      <c r="Z42" s="624"/>
      <c r="AA42" s="624"/>
      <c r="AB42" s="624"/>
      <c r="AC42" s="624"/>
      <c r="AD42" s="624"/>
      <c r="AE42" s="624"/>
      <c r="AF42" s="624"/>
      <c r="AG42" s="624"/>
      <c r="AH42" s="624"/>
      <c r="AI42" s="624"/>
      <c r="AJ42" s="624"/>
      <c r="AK42" s="624"/>
      <c r="AL42" s="624"/>
      <c r="AM42" s="624"/>
      <c r="AN42" s="951"/>
    </row>
    <row r="43" spans="1:40" ht="18" customHeight="1">
      <c r="A43" s="618"/>
      <c r="AN43" s="638"/>
    </row>
    <row r="44" spans="1:40" ht="18" customHeight="1">
      <c r="A44" s="618"/>
      <c r="AN44" s="638"/>
    </row>
    <row r="45" spans="1:40" ht="18" customHeight="1">
      <c r="A45" s="612"/>
      <c r="B45" s="611"/>
      <c r="C45" s="611"/>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37"/>
    </row>
    <row r="46" spans="1:40" ht="12" customHeight="1"/>
    <row r="47" spans="1:40" ht="18" customHeight="1">
      <c r="A47" s="632" t="s">
        <v>3258</v>
      </c>
      <c r="B47" s="631"/>
      <c r="C47" s="631"/>
      <c r="D47" s="631"/>
      <c r="E47" s="631"/>
      <c r="F47" s="631"/>
      <c r="G47" s="631"/>
      <c r="H47" s="631"/>
      <c r="I47" s="631"/>
      <c r="J47" s="631"/>
      <c r="K47" s="633"/>
      <c r="L47" s="632" t="s">
        <v>3449</v>
      </c>
      <c r="M47" s="631"/>
      <c r="N47" s="631"/>
      <c r="O47" s="631"/>
      <c r="P47" s="631"/>
      <c r="Q47" s="631"/>
      <c r="R47" s="631"/>
      <c r="S47" s="631"/>
      <c r="T47" s="631"/>
      <c r="U47" s="631"/>
      <c r="V47" s="631"/>
      <c r="W47" s="631"/>
      <c r="X47" s="631"/>
      <c r="Y47" s="631"/>
      <c r="Z47" s="631"/>
      <c r="AA47" s="631"/>
      <c r="AB47" s="631"/>
      <c r="AC47" s="633"/>
      <c r="AD47" s="632" t="s">
        <v>3554</v>
      </c>
      <c r="AE47" s="631"/>
      <c r="AF47" s="631"/>
      <c r="AG47" s="631"/>
      <c r="AH47" s="631"/>
      <c r="AI47" s="631"/>
      <c r="AJ47" s="631"/>
      <c r="AK47" s="631"/>
      <c r="AL47" s="631"/>
      <c r="AM47" s="631"/>
      <c r="AN47" s="633"/>
    </row>
    <row r="48" spans="1:40" ht="18" customHeight="1">
      <c r="A48" s="1907" t="s">
        <v>3634</v>
      </c>
      <c r="B48" s="1908"/>
      <c r="C48" s="1908"/>
      <c r="D48" s="1908"/>
      <c r="E48" s="1908"/>
      <c r="F48" s="1908"/>
      <c r="G48" s="1908"/>
      <c r="H48" s="1908"/>
      <c r="I48" s="1908"/>
      <c r="J48" s="1908"/>
      <c r="K48" s="1909"/>
      <c r="L48" s="625"/>
      <c r="M48" s="624"/>
      <c r="N48" s="624"/>
      <c r="O48" s="624"/>
      <c r="P48" s="624"/>
      <c r="Q48" s="624"/>
      <c r="R48" s="624"/>
      <c r="S48" s="624"/>
      <c r="T48" s="624"/>
      <c r="U48" s="624"/>
      <c r="V48" s="624"/>
      <c r="W48" s="624"/>
      <c r="X48" s="624"/>
      <c r="Y48" s="624"/>
      <c r="Z48" s="624"/>
      <c r="AA48" s="624"/>
      <c r="AB48" s="624"/>
      <c r="AC48" s="951"/>
      <c r="AD48" s="1907" t="s">
        <v>3634</v>
      </c>
      <c r="AE48" s="1908"/>
      <c r="AF48" s="1908"/>
      <c r="AG48" s="1908"/>
      <c r="AH48" s="1908"/>
      <c r="AI48" s="1908"/>
      <c r="AJ48" s="1908"/>
      <c r="AK48" s="1908"/>
      <c r="AL48" s="1908"/>
      <c r="AM48" s="1908"/>
      <c r="AN48" s="1909"/>
    </row>
    <row r="49" spans="1:40" ht="18" customHeight="1">
      <c r="A49" s="1910" t="s">
        <v>3633</v>
      </c>
      <c r="B49" s="1911"/>
      <c r="C49" s="1911"/>
      <c r="D49" s="1911"/>
      <c r="E49" s="1911"/>
      <c r="F49" s="1911"/>
      <c r="G49" s="1911"/>
      <c r="H49" s="1911"/>
      <c r="I49" s="1911"/>
      <c r="J49" s="1911"/>
      <c r="K49" s="1912"/>
      <c r="L49" s="618"/>
      <c r="AC49" s="638"/>
      <c r="AD49" s="1910" t="s">
        <v>3633</v>
      </c>
      <c r="AE49" s="1911"/>
      <c r="AF49" s="1911"/>
      <c r="AG49" s="1911"/>
      <c r="AH49" s="1911"/>
      <c r="AI49" s="1911"/>
      <c r="AJ49" s="1911"/>
      <c r="AK49" s="1911"/>
      <c r="AL49" s="1911"/>
      <c r="AM49" s="1911"/>
      <c r="AN49" s="1912"/>
    </row>
    <row r="50" spans="1:40" ht="18" customHeight="1">
      <c r="A50" s="1904" t="s">
        <v>3254</v>
      </c>
      <c r="B50" s="1905"/>
      <c r="C50" s="1905"/>
      <c r="D50" s="1905"/>
      <c r="E50" s="1905"/>
      <c r="F50" s="1905"/>
      <c r="G50" s="1905"/>
      <c r="H50" s="1905"/>
      <c r="I50" s="1905"/>
      <c r="J50" s="1905"/>
      <c r="K50" s="1906"/>
      <c r="L50" s="612"/>
      <c r="M50" s="611"/>
      <c r="N50" s="611"/>
      <c r="O50" s="611"/>
      <c r="P50" s="611"/>
      <c r="Q50" s="611"/>
      <c r="R50" s="611"/>
      <c r="S50" s="611"/>
      <c r="T50" s="611"/>
      <c r="U50" s="611"/>
      <c r="V50" s="611"/>
      <c r="W50" s="611"/>
      <c r="X50" s="611"/>
      <c r="Y50" s="611"/>
      <c r="Z50" s="611"/>
      <c r="AA50" s="611"/>
      <c r="AB50" s="611"/>
      <c r="AC50" s="637"/>
      <c r="AD50" s="1904" t="s">
        <v>3254</v>
      </c>
      <c r="AE50" s="1905"/>
      <c r="AF50" s="1905"/>
      <c r="AG50" s="1905"/>
      <c r="AH50" s="1905"/>
      <c r="AI50" s="1905"/>
      <c r="AJ50" s="1905"/>
      <c r="AK50" s="1905"/>
      <c r="AL50" s="1905"/>
      <c r="AM50" s="1905"/>
      <c r="AN50" s="1906"/>
    </row>
    <row r="51" spans="1:40" ht="6" customHeight="1"/>
    <row r="52" spans="1:40" ht="12" customHeight="1">
      <c r="A52" s="608" t="s">
        <v>2676</v>
      </c>
      <c r="D52" s="608" t="s">
        <v>3551</v>
      </c>
    </row>
    <row r="53" spans="1:40" ht="12" customHeight="1">
      <c r="C53" s="950"/>
      <c r="D53" s="608" t="s">
        <v>3550</v>
      </c>
    </row>
    <row r="54" spans="1:40" ht="12" customHeight="1">
      <c r="C54" s="950"/>
      <c r="D54" s="904" t="s">
        <v>3549</v>
      </c>
    </row>
    <row r="55" spans="1:40" ht="12" customHeight="1">
      <c r="C55" s="950"/>
      <c r="D55" s="608" t="s">
        <v>3548</v>
      </c>
    </row>
    <row r="56" spans="1:40" ht="12" customHeight="1">
      <c r="C56" s="950"/>
      <c r="D56" s="608" t="s">
        <v>3632</v>
      </c>
    </row>
    <row r="57" spans="1:40" ht="12" customHeight="1">
      <c r="D57" s="608" t="s">
        <v>3631</v>
      </c>
    </row>
    <row r="58" spans="1:40" ht="18" customHeight="1">
      <c r="A58" s="607" t="s">
        <v>3547</v>
      </c>
    </row>
  </sheetData>
  <mergeCells count="23">
    <mergeCell ref="A50:K50"/>
    <mergeCell ref="AD48:AN48"/>
    <mergeCell ref="AD49:AN49"/>
    <mergeCell ref="AD50:AN50"/>
    <mergeCell ref="L24:W24"/>
    <mergeCell ref="L25:W25"/>
    <mergeCell ref="L26:AN26"/>
    <mergeCell ref="C29:AN29"/>
    <mergeCell ref="A48:K48"/>
    <mergeCell ref="A49:K49"/>
    <mergeCell ref="AD10:AN10"/>
    <mergeCell ref="V12:AN12"/>
    <mergeCell ref="N17:T17"/>
    <mergeCell ref="N12:T12"/>
    <mergeCell ref="N15:T15"/>
    <mergeCell ref="V13:AN13"/>
    <mergeCell ref="V17:AN17"/>
    <mergeCell ref="N19:T19"/>
    <mergeCell ref="V18:AN18"/>
    <mergeCell ref="V15:AM15"/>
    <mergeCell ref="N14:T14"/>
    <mergeCell ref="V14:AM14"/>
    <mergeCell ref="V19:AM19"/>
  </mergeCells>
  <phoneticPr fontId="122"/>
  <dataValidations count="1">
    <dataValidation type="list" allowBlank="1" showInputMessage="1" sqref="L26" xr:uid="{00000000-0002-0000-2400-000000000000}">
      <formula1>"　 ,株式会社 都市居住評価センター　代表取締役社長　野崎　豊,株式会社 都市居住評価センター　代表取締役副社長　野崎　豊,株式会社 都市居住評価センター　代表取締役社長　金谷　輝範"</formula1>
    </dataValidation>
  </dataValidations>
  <pageMargins left="1.1811023622047245" right="0.59055118110236227" top="0.59055118110236227" bottom="0.39370078740157483" header="0.51181102362204722" footer="0.51181102362204722"/>
  <pageSetup paperSize="9" scale="90" orientation="portrait" blackAndWhite="1"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H45"/>
  <sheetViews>
    <sheetView zoomScale="115" zoomScaleNormal="115" zoomScaleSheetLayoutView="115" workbookViewId="0"/>
  </sheetViews>
  <sheetFormatPr defaultColWidth="2.109375" defaultRowHeight="16.5" customHeight="1"/>
  <cols>
    <col min="1" max="1" width="2.109375" style="902" customWidth="1"/>
    <col min="2" max="16384" width="2.109375" style="902"/>
  </cols>
  <sheetData>
    <row r="1" spans="1:60" s="935" customFormat="1" ht="21" customHeight="1">
      <c r="A1" s="936" t="s">
        <v>2676</v>
      </c>
      <c r="B1" s="937"/>
      <c r="C1" s="937"/>
      <c r="D1" s="936" t="s">
        <v>3466</v>
      </c>
    </row>
    <row r="2" spans="1:60" s="935" customFormat="1" ht="21" customHeight="1">
      <c r="A2" s="936"/>
      <c r="B2" s="937"/>
      <c r="C2" s="937"/>
      <c r="D2" s="936"/>
    </row>
    <row r="3" spans="1:60" ht="16.5" customHeight="1">
      <c r="A3" s="902" t="s">
        <v>3575</v>
      </c>
    </row>
    <row r="5" spans="1:60" ht="16.5" customHeight="1">
      <c r="A5" s="902" t="s">
        <v>3574</v>
      </c>
    </row>
    <row r="7" spans="1:60" ht="16.5" customHeight="1">
      <c r="A7" s="902" t="s">
        <v>3267</v>
      </c>
    </row>
    <row r="10" spans="1:60" ht="16.5" customHeight="1">
      <c r="AC10" s="1914"/>
      <c r="AD10" s="1914"/>
      <c r="AE10" s="1914"/>
      <c r="AF10" s="1914"/>
      <c r="AG10" s="1914"/>
      <c r="AH10" s="1914"/>
      <c r="AI10" s="1914"/>
      <c r="AJ10" s="1914"/>
      <c r="AK10" s="1914"/>
      <c r="AL10" s="1914"/>
      <c r="AM10" s="1914"/>
    </row>
    <row r="12" spans="1:60" ht="16.5" customHeight="1">
      <c r="L12" s="1852" t="s">
        <v>3570</v>
      </c>
      <c r="M12" s="1852"/>
      <c r="N12" s="1852"/>
      <c r="O12" s="1852"/>
      <c r="P12" s="1852"/>
      <c r="Q12" s="1852"/>
      <c r="R12" s="1852"/>
      <c r="T12" s="1859"/>
      <c r="U12" s="1859"/>
      <c r="V12" s="1859"/>
      <c r="W12" s="1859"/>
      <c r="X12" s="1859"/>
      <c r="Y12" s="1859"/>
      <c r="Z12" s="1859"/>
      <c r="AA12" s="1859"/>
      <c r="AB12" s="1859"/>
      <c r="AC12" s="1859"/>
      <c r="AD12" s="1859"/>
      <c r="AE12" s="1859"/>
      <c r="AF12" s="1859"/>
      <c r="AG12" s="1859"/>
      <c r="AH12" s="1859"/>
      <c r="AI12" s="1859"/>
      <c r="AJ12" s="1859"/>
      <c r="AK12" s="1859"/>
      <c r="AL12" s="1859"/>
      <c r="AM12" s="1859"/>
      <c r="AQ12" s="931"/>
      <c r="AR12" s="931"/>
      <c r="AS12" s="931"/>
      <c r="AT12" s="931"/>
      <c r="AU12" s="931"/>
      <c r="AV12" s="931"/>
      <c r="AW12" s="931"/>
      <c r="AX12" s="931"/>
      <c r="AY12" s="931"/>
      <c r="AZ12" s="931"/>
      <c r="BA12" s="931"/>
      <c r="BB12" s="931"/>
      <c r="BC12" s="931"/>
      <c r="BD12" s="931"/>
      <c r="BE12" s="931"/>
      <c r="BF12" s="931"/>
      <c r="BG12" s="931"/>
      <c r="BH12" s="931"/>
    </row>
    <row r="13" spans="1:60" ht="16.5" customHeight="1">
      <c r="T13" s="1876"/>
      <c r="U13" s="1878"/>
      <c r="V13" s="1878"/>
      <c r="W13" s="1878"/>
      <c r="X13" s="1878"/>
      <c r="Y13" s="1878"/>
      <c r="Z13" s="1878"/>
      <c r="AA13" s="1878"/>
      <c r="AB13" s="1878"/>
      <c r="AC13" s="1878"/>
      <c r="AD13" s="1878"/>
      <c r="AE13" s="1878"/>
      <c r="AF13" s="1878"/>
      <c r="AG13" s="1878"/>
      <c r="AH13" s="1878"/>
      <c r="AI13" s="1878"/>
      <c r="AJ13" s="1878"/>
      <c r="AK13" s="1878"/>
      <c r="AL13" s="1878"/>
      <c r="AM13" s="1878"/>
      <c r="AQ13" s="931"/>
      <c r="AR13" s="931"/>
      <c r="AS13" s="931"/>
      <c r="AT13" s="931"/>
      <c r="AU13" s="931"/>
      <c r="AV13" s="931"/>
      <c r="AW13" s="931"/>
      <c r="AX13" s="931"/>
      <c r="AY13" s="931"/>
      <c r="AZ13" s="931"/>
      <c r="BA13" s="931"/>
      <c r="BB13" s="931"/>
      <c r="BC13" s="931"/>
      <c r="BD13" s="931"/>
      <c r="BE13" s="931"/>
      <c r="BF13" s="931"/>
      <c r="BG13" s="931"/>
      <c r="BH13" s="931"/>
    </row>
    <row r="14" spans="1:60" ht="16.5" customHeight="1">
      <c r="T14" s="1876"/>
      <c r="U14" s="1878"/>
      <c r="V14" s="1878"/>
      <c r="W14" s="1878"/>
      <c r="X14" s="1878"/>
      <c r="Y14" s="1878"/>
      <c r="Z14" s="1878"/>
      <c r="AA14" s="1878"/>
      <c r="AB14" s="1878"/>
      <c r="AC14" s="1878"/>
      <c r="AD14" s="1878"/>
      <c r="AE14" s="1878"/>
      <c r="AF14" s="1878"/>
      <c r="AG14" s="1878"/>
      <c r="AH14" s="1878"/>
      <c r="AI14" s="1878"/>
      <c r="AJ14" s="1878"/>
      <c r="AK14" s="1878"/>
      <c r="AL14" s="1878"/>
      <c r="AM14" s="1878"/>
      <c r="AQ14" s="931"/>
      <c r="AR14" s="931"/>
      <c r="AS14" s="931"/>
      <c r="AT14" s="931"/>
      <c r="AU14" s="931"/>
      <c r="AV14" s="931"/>
      <c r="AW14" s="931"/>
      <c r="AX14" s="931"/>
      <c r="AY14" s="931"/>
      <c r="AZ14" s="931"/>
      <c r="BA14" s="931"/>
      <c r="BB14" s="931"/>
      <c r="BC14" s="931"/>
      <c r="BD14" s="931"/>
      <c r="BE14" s="931"/>
      <c r="BF14" s="931"/>
      <c r="BG14" s="931"/>
      <c r="BH14" s="931"/>
    </row>
    <row r="15" spans="1:60" ht="16.5" customHeight="1">
      <c r="L15" s="1852" t="s">
        <v>7</v>
      </c>
      <c r="M15" s="1852"/>
      <c r="N15" s="1852"/>
      <c r="O15" s="1852"/>
      <c r="P15" s="1852"/>
      <c r="Q15" s="1852"/>
      <c r="R15" s="1852"/>
      <c r="T15" s="1876"/>
      <c r="U15" s="1876"/>
      <c r="V15" s="1876"/>
      <c r="W15" s="1876"/>
      <c r="X15" s="1876"/>
      <c r="Y15" s="1876"/>
      <c r="Z15" s="1876"/>
      <c r="AA15" s="1876"/>
      <c r="AB15" s="1876"/>
      <c r="AC15" s="1876"/>
      <c r="AD15" s="1876"/>
      <c r="AE15" s="1876"/>
      <c r="AF15" s="1876"/>
      <c r="AG15" s="1876"/>
      <c r="AH15" s="1876"/>
      <c r="AI15" s="1876"/>
      <c r="AJ15" s="1876"/>
      <c r="AK15" s="1876"/>
      <c r="AL15" s="1876"/>
    </row>
    <row r="17" spans="12:60" ht="16.5" customHeight="1">
      <c r="L17" s="1852" t="s">
        <v>3570</v>
      </c>
      <c r="M17" s="1852"/>
      <c r="N17" s="1852"/>
      <c r="O17" s="1852"/>
      <c r="P17" s="1852"/>
      <c r="Q17" s="1852"/>
      <c r="R17" s="1852"/>
      <c r="T17" s="1859"/>
      <c r="U17" s="1859"/>
      <c r="V17" s="1859"/>
      <c r="W17" s="1859"/>
      <c r="X17" s="1859"/>
      <c r="Y17" s="1859"/>
      <c r="Z17" s="1859"/>
      <c r="AA17" s="1859"/>
      <c r="AB17" s="1859"/>
      <c r="AC17" s="1859"/>
      <c r="AD17" s="1859"/>
      <c r="AE17" s="1859"/>
      <c r="AF17" s="1859"/>
      <c r="AG17" s="1859"/>
      <c r="AH17" s="1859"/>
      <c r="AI17" s="1859"/>
      <c r="AJ17" s="1859"/>
      <c r="AK17" s="1859"/>
      <c r="AL17" s="1859"/>
      <c r="AM17" s="1859"/>
      <c r="AQ17" s="931"/>
      <c r="AR17" s="931"/>
      <c r="AS17" s="931"/>
      <c r="AT17" s="931"/>
      <c r="AU17" s="931"/>
      <c r="AV17" s="931"/>
      <c r="AW17" s="931"/>
      <c r="AX17" s="931"/>
      <c r="AY17" s="931"/>
      <c r="AZ17" s="931"/>
      <c r="BA17" s="931"/>
      <c r="BB17" s="931"/>
      <c r="BC17" s="931"/>
      <c r="BD17" s="931"/>
      <c r="BE17" s="931"/>
      <c r="BF17" s="931"/>
      <c r="BG17" s="931"/>
      <c r="BH17" s="931"/>
    </row>
    <row r="18" spans="12:60" ht="16.5" customHeight="1">
      <c r="T18" s="1876"/>
      <c r="U18" s="1878"/>
      <c r="V18" s="1878"/>
      <c r="W18" s="1878"/>
      <c r="X18" s="1878"/>
      <c r="Y18" s="1878"/>
      <c r="Z18" s="1878"/>
      <c r="AA18" s="1878"/>
      <c r="AB18" s="1878"/>
      <c r="AC18" s="1878"/>
      <c r="AD18" s="1878"/>
      <c r="AE18" s="1878"/>
      <c r="AF18" s="1878"/>
      <c r="AG18" s="1878"/>
      <c r="AH18" s="1878"/>
      <c r="AI18" s="1878"/>
      <c r="AJ18" s="1878"/>
      <c r="AK18" s="1878"/>
      <c r="AL18" s="1878"/>
      <c r="AM18" s="1878"/>
      <c r="AQ18" s="931"/>
      <c r="AR18" s="931"/>
      <c r="AS18" s="931"/>
      <c r="AT18" s="931"/>
      <c r="AU18" s="931"/>
      <c r="AV18" s="931"/>
      <c r="AW18" s="931"/>
      <c r="AX18" s="931"/>
      <c r="AY18" s="931"/>
      <c r="AZ18" s="931"/>
      <c r="BA18" s="931"/>
      <c r="BB18" s="931"/>
      <c r="BC18" s="931"/>
      <c r="BD18" s="931"/>
      <c r="BE18" s="931"/>
      <c r="BF18" s="931"/>
      <c r="BG18" s="931"/>
      <c r="BH18" s="931"/>
    </row>
    <row r="19" spans="12:60" ht="16.5" customHeight="1">
      <c r="T19" s="1876"/>
      <c r="U19" s="1878"/>
      <c r="V19" s="1878"/>
      <c r="W19" s="1878"/>
      <c r="X19" s="1878"/>
      <c r="Y19" s="1878"/>
      <c r="Z19" s="1878"/>
      <c r="AA19" s="1878"/>
      <c r="AB19" s="1878"/>
      <c r="AC19" s="1878"/>
      <c r="AD19" s="1878"/>
      <c r="AE19" s="1878"/>
      <c r="AF19" s="1878"/>
      <c r="AG19" s="1878"/>
      <c r="AH19" s="1878"/>
      <c r="AI19" s="1878"/>
      <c r="AJ19" s="1878"/>
      <c r="AK19" s="1878"/>
      <c r="AL19" s="1878"/>
      <c r="AM19" s="1878"/>
      <c r="AQ19" s="931"/>
      <c r="AR19" s="931"/>
      <c r="AS19" s="931"/>
      <c r="AT19" s="931"/>
      <c r="AU19" s="931"/>
      <c r="AV19" s="931"/>
      <c r="AW19" s="931"/>
      <c r="AX19" s="931"/>
      <c r="AY19" s="931"/>
      <c r="AZ19" s="931"/>
      <c r="BA19" s="931"/>
      <c r="BB19" s="931"/>
      <c r="BC19" s="931"/>
      <c r="BD19" s="931"/>
      <c r="BE19" s="931"/>
      <c r="BF19" s="931"/>
      <c r="BG19" s="931"/>
      <c r="BH19" s="931"/>
    </row>
    <row r="20" spans="12:60" ht="16.5" customHeight="1">
      <c r="L20" s="1852" t="s">
        <v>7</v>
      </c>
      <c r="M20" s="1852"/>
      <c r="N20" s="1852"/>
      <c r="O20" s="1852"/>
      <c r="P20" s="1852"/>
      <c r="Q20" s="1852"/>
      <c r="R20" s="1852"/>
      <c r="T20" s="1876"/>
      <c r="U20" s="1876"/>
      <c r="V20" s="1876"/>
      <c r="W20" s="1876"/>
      <c r="X20" s="1876"/>
      <c r="Y20" s="1876"/>
      <c r="Z20" s="1876"/>
      <c r="AA20" s="1876"/>
      <c r="AB20" s="1876"/>
      <c r="AC20" s="1876"/>
      <c r="AD20" s="1876"/>
      <c r="AE20" s="1876"/>
      <c r="AF20" s="1876"/>
      <c r="AG20" s="1876"/>
      <c r="AH20" s="1876"/>
      <c r="AI20" s="1876"/>
      <c r="AJ20" s="1876"/>
      <c r="AK20" s="1876"/>
      <c r="AL20" s="1876"/>
    </row>
    <row r="22" spans="12:60" ht="16.5" customHeight="1">
      <c r="L22" s="1852" t="s">
        <v>3570</v>
      </c>
      <c r="M22" s="1852"/>
      <c r="N22" s="1852"/>
      <c r="O22" s="1852"/>
      <c r="P22" s="1852"/>
      <c r="Q22" s="1852"/>
      <c r="R22" s="1852"/>
      <c r="T22" s="1859"/>
      <c r="U22" s="1859"/>
      <c r="V22" s="1859"/>
      <c r="W22" s="1859"/>
      <c r="X22" s="1859"/>
      <c r="Y22" s="1859"/>
      <c r="Z22" s="1859"/>
      <c r="AA22" s="1859"/>
      <c r="AB22" s="1859"/>
      <c r="AC22" s="1859"/>
      <c r="AD22" s="1859"/>
      <c r="AE22" s="1859"/>
      <c r="AF22" s="1859"/>
      <c r="AG22" s="1859"/>
      <c r="AH22" s="1859"/>
      <c r="AI22" s="1859"/>
      <c r="AJ22" s="1859"/>
      <c r="AK22" s="1859"/>
      <c r="AL22" s="1859"/>
      <c r="AM22" s="1859"/>
      <c r="AQ22" s="931"/>
      <c r="AR22" s="931"/>
      <c r="AS22" s="931"/>
      <c r="AT22" s="931"/>
      <c r="AU22" s="931"/>
      <c r="AV22" s="931"/>
      <c r="AW22" s="931"/>
      <c r="AX22" s="931"/>
      <c r="AY22" s="931"/>
      <c r="AZ22" s="931"/>
      <c r="BA22" s="931"/>
      <c r="BB22" s="931"/>
      <c r="BC22" s="931"/>
      <c r="BD22" s="931"/>
      <c r="BE22" s="931"/>
      <c r="BF22" s="931"/>
      <c r="BG22" s="931"/>
      <c r="BH22" s="931"/>
    </row>
    <row r="23" spans="12:60" ht="16.5" customHeight="1">
      <c r="T23" s="1876"/>
      <c r="U23" s="1878"/>
      <c r="V23" s="1878"/>
      <c r="W23" s="1878"/>
      <c r="X23" s="1878"/>
      <c r="Y23" s="1878"/>
      <c r="Z23" s="1878"/>
      <c r="AA23" s="1878"/>
      <c r="AB23" s="1878"/>
      <c r="AC23" s="1878"/>
      <c r="AD23" s="1878"/>
      <c r="AE23" s="1878"/>
      <c r="AF23" s="1878"/>
      <c r="AG23" s="1878"/>
      <c r="AH23" s="1878"/>
      <c r="AI23" s="1878"/>
      <c r="AJ23" s="1878"/>
      <c r="AK23" s="1878"/>
      <c r="AL23" s="1878"/>
      <c r="AM23" s="1878"/>
      <c r="AQ23" s="931"/>
      <c r="AR23" s="931"/>
      <c r="AS23" s="931"/>
      <c r="AT23" s="931"/>
      <c r="AU23" s="931"/>
      <c r="AV23" s="931"/>
      <c r="AW23" s="931"/>
      <c r="AX23" s="931"/>
      <c r="AY23" s="931"/>
      <c r="AZ23" s="931"/>
      <c r="BA23" s="931"/>
      <c r="BB23" s="931"/>
      <c r="BC23" s="931"/>
      <c r="BD23" s="931"/>
      <c r="BE23" s="931"/>
      <c r="BF23" s="931"/>
      <c r="BG23" s="931"/>
      <c r="BH23" s="931"/>
    </row>
    <row r="24" spans="12:60" ht="16.5" customHeight="1">
      <c r="T24" s="1876"/>
      <c r="U24" s="1878"/>
      <c r="V24" s="1878"/>
      <c r="W24" s="1878"/>
      <c r="X24" s="1878"/>
      <c r="Y24" s="1878"/>
      <c r="Z24" s="1878"/>
      <c r="AA24" s="1878"/>
      <c r="AB24" s="1878"/>
      <c r="AC24" s="1878"/>
      <c r="AD24" s="1878"/>
      <c r="AE24" s="1878"/>
      <c r="AF24" s="1878"/>
      <c r="AG24" s="1878"/>
      <c r="AH24" s="1878"/>
      <c r="AI24" s="1878"/>
      <c r="AJ24" s="1878"/>
      <c r="AK24" s="1878"/>
      <c r="AL24" s="1878"/>
      <c r="AM24" s="1878"/>
      <c r="AQ24" s="931"/>
      <c r="AR24" s="931"/>
      <c r="AS24" s="931"/>
      <c r="AT24" s="931"/>
      <c r="AU24" s="931"/>
      <c r="AV24" s="931"/>
      <c r="AW24" s="931"/>
      <c r="AX24" s="931"/>
      <c r="AY24" s="931"/>
      <c r="AZ24" s="931"/>
      <c r="BA24" s="931"/>
      <c r="BB24" s="931"/>
      <c r="BC24" s="931"/>
      <c r="BD24" s="931"/>
      <c r="BE24" s="931"/>
      <c r="BF24" s="931"/>
      <c r="BG24" s="931"/>
      <c r="BH24" s="931"/>
    </row>
    <row r="25" spans="12:60" ht="16.5" customHeight="1">
      <c r="L25" s="1852" t="s">
        <v>7</v>
      </c>
      <c r="M25" s="1852"/>
      <c r="N25" s="1852"/>
      <c r="O25" s="1852"/>
      <c r="P25" s="1852"/>
      <c r="Q25" s="1852"/>
      <c r="R25" s="1852"/>
      <c r="T25" s="1876"/>
      <c r="U25" s="1876"/>
      <c r="V25" s="1876"/>
      <c r="W25" s="1876"/>
      <c r="X25" s="1876"/>
      <c r="Y25" s="1876"/>
      <c r="Z25" s="1876"/>
      <c r="AA25" s="1876"/>
      <c r="AB25" s="1876"/>
      <c r="AC25" s="1876"/>
      <c r="AD25" s="1876"/>
      <c r="AE25" s="1876"/>
      <c r="AF25" s="1876"/>
      <c r="AG25" s="1876"/>
      <c r="AH25" s="1876"/>
      <c r="AI25" s="1876"/>
      <c r="AJ25" s="1876"/>
      <c r="AK25" s="1876"/>
      <c r="AL25" s="1876"/>
    </row>
    <row r="27" spans="12:60" ht="16.5" customHeight="1">
      <c r="L27" s="1852" t="s">
        <v>3570</v>
      </c>
      <c r="M27" s="1852"/>
      <c r="N27" s="1852"/>
      <c r="O27" s="1852"/>
      <c r="P27" s="1852"/>
      <c r="Q27" s="1852"/>
      <c r="R27" s="1852"/>
      <c r="T27" s="1859"/>
      <c r="U27" s="1859"/>
      <c r="V27" s="1859"/>
      <c r="W27" s="1859"/>
      <c r="X27" s="1859"/>
      <c r="Y27" s="1859"/>
      <c r="Z27" s="1859"/>
      <c r="AA27" s="1859"/>
      <c r="AB27" s="1859"/>
      <c r="AC27" s="1859"/>
      <c r="AD27" s="1859"/>
      <c r="AE27" s="1859"/>
      <c r="AF27" s="1859"/>
      <c r="AG27" s="1859"/>
      <c r="AH27" s="1859"/>
      <c r="AI27" s="1859"/>
      <c r="AJ27" s="1859"/>
      <c r="AK27" s="1859"/>
      <c r="AL27" s="1859"/>
      <c r="AM27" s="1859"/>
      <c r="AQ27" s="931"/>
      <c r="AR27" s="931"/>
      <c r="AS27" s="931"/>
      <c r="AT27" s="931"/>
      <c r="AU27" s="931"/>
      <c r="AV27" s="931"/>
      <c r="AW27" s="931"/>
      <c r="AX27" s="931"/>
      <c r="AY27" s="931"/>
      <c r="AZ27" s="931"/>
      <c r="BA27" s="931"/>
      <c r="BB27" s="931"/>
      <c r="BC27" s="931"/>
      <c r="BD27" s="931"/>
      <c r="BE27" s="931"/>
      <c r="BF27" s="931"/>
      <c r="BG27" s="931"/>
      <c r="BH27" s="931"/>
    </row>
    <row r="28" spans="12:60" ht="16.5" customHeight="1">
      <c r="T28" s="1876"/>
      <c r="U28" s="1878"/>
      <c r="V28" s="1878"/>
      <c r="W28" s="1878"/>
      <c r="X28" s="1878"/>
      <c r="Y28" s="1878"/>
      <c r="Z28" s="1878"/>
      <c r="AA28" s="1878"/>
      <c r="AB28" s="1878"/>
      <c r="AC28" s="1878"/>
      <c r="AD28" s="1878"/>
      <c r="AE28" s="1878"/>
      <c r="AF28" s="1878"/>
      <c r="AG28" s="1878"/>
      <c r="AH28" s="1878"/>
      <c r="AI28" s="1878"/>
      <c r="AJ28" s="1878"/>
      <c r="AK28" s="1878"/>
      <c r="AL28" s="1878"/>
      <c r="AM28" s="1878"/>
      <c r="AQ28" s="931"/>
      <c r="AR28" s="931"/>
      <c r="AS28" s="931"/>
      <c r="AT28" s="931"/>
      <c r="AU28" s="931"/>
      <c r="AV28" s="931"/>
      <c r="AW28" s="931"/>
      <c r="AX28" s="931"/>
      <c r="AY28" s="931"/>
      <c r="AZ28" s="931"/>
      <c r="BA28" s="931"/>
      <c r="BB28" s="931"/>
      <c r="BC28" s="931"/>
      <c r="BD28" s="931"/>
      <c r="BE28" s="931"/>
      <c r="BF28" s="931"/>
      <c r="BG28" s="931"/>
      <c r="BH28" s="931"/>
    </row>
    <row r="29" spans="12:60" ht="16.5" customHeight="1">
      <c r="T29" s="1876"/>
      <c r="U29" s="1878"/>
      <c r="V29" s="1878"/>
      <c r="W29" s="1878"/>
      <c r="X29" s="1878"/>
      <c r="Y29" s="1878"/>
      <c r="Z29" s="1878"/>
      <c r="AA29" s="1878"/>
      <c r="AB29" s="1878"/>
      <c r="AC29" s="1878"/>
      <c r="AD29" s="1878"/>
      <c r="AE29" s="1878"/>
      <c r="AF29" s="1878"/>
      <c r="AG29" s="1878"/>
      <c r="AH29" s="1878"/>
      <c r="AI29" s="1878"/>
      <c r="AJ29" s="1878"/>
      <c r="AK29" s="1878"/>
      <c r="AL29" s="1878"/>
      <c r="AM29" s="1878"/>
      <c r="AQ29" s="931"/>
      <c r="AR29" s="931"/>
      <c r="AS29" s="931"/>
      <c r="AT29" s="931"/>
      <c r="AU29" s="931"/>
      <c r="AV29" s="931"/>
      <c r="AW29" s="931"/>
      <c r="AX29" s="931"/>
      <c r="AY29" s="931"/>
      <c r="AZ29" s="931"/>
      <c r="BA29" s="931"/>
      <c r="BB29" s="931"/>
      <c r="BC29" s="931"/>
      <c r="BD29" s="931"/>
      <c r="BE29" s="931"/>
      <c r="BF29" s="931"/>
      <c r="BG29" s="931"/>
      <c r="BH29" s="931"/>
    </row>
    <row r="30" spans="12:60" ht="16.5" customHeight="1">
      <c r="L30" s="1852" t="s">
        <v>7</v>
      </c>
      <c r="M30" s="1852"/>
      <c r="N30" s="1852"/>
      <c r="O30" s="1852"/>
      <c r="P30" s="1852"/>
      <c r="Q30" s="1852"/>
      <c r="R30" s="1852"/>
      <c r="T30" s="1876"/>
      <c r="U30" s="1876"/>
      <c r="V30" s="1876"/>
      <c r="W30" s="1876"/>
      <c r="X30" s="1876"/>
      <c r="Y30" s="1876"/>
      <c r="Z30" s="1876"/>
      <c r="AA30" s="1876"/>
      <c r="AB30" s="1876"/>
      <c r="AC30" s="1876"/>
      <c r="AD30" s="1876"/>
      <c r="AE30" s="1876"/>
      <c r="AF30" s="1876"/>
      <c r="AG30" s="1876"/>
      <c r="AH30" s="1876"/>
      <c r="AI30" s="1876"/>
      <c r="AJ30" s="1876"/>
      <c r="AK30" s="1876"/>
      <c r="AL30" s="1876"/>
    </row>
    <row r="32" spans="12:60" ht="16.5" customHeight="1">
      <c r="L32" s="1852" t="s">
        <v>3570</v>
      </c>
      <c r="M32" s="1852"/>
      <c r="N32" s="1852"/>
      <c r="O32" s="1852"/>
      <c r="P32" s="1852"/>
      <c r="Q32" s="1852"/>
      <c r="R32" s="1852"/>
      <c r="T32" s="1859"/>
      <c r="U32" s="1859"/>
      <c r="V32" s="1859"/>
      <c r="W32" s="1859"/>
      <c r="X32" s="1859"/>
      <c r="Y32" s="1859"/>
      <c r="Z32" s="1859"/>
      <c r="AA32" s="1859"/>
      <c r="AB32" s="1859"/>
      <c r="AC32" s="1859"/>
      <c r="AD32" s="1859"/>
      <c r="AE32" s="1859"/>
      <c r="AF32" s="1859"/>
      <c r="AG32" s="1859"/>
      <c r="AH32" s="1859"/>
      <c r="AI32" s="1859"/>
      <c r="AJ32" s="1859"/>
      <c r="AK32" s="1859"/>
      <c r="AL32" s="1859"/>
      <c r="AM32" s="1859"/>
      <c r="AQ32" s="931"/>
      <c r="AR32" s="931"/>
      <c r="AS32" s="931"/>
      <c r="AT32" s="931"/>
      <c r="AU32" s="931"/>
      <c r="AV32" s="931"/>
      <c r="AW32" s="931"/>
      <c r="AX32" s="931"/>
      <c r="AY32" s="931"/>
      <c r="AZ32" s="931"/>
      <c r="BA32" s="931"/>
      <c r="BB32" s="931"/>
      <c r="BC32" s="931"/>
      <c r="BD32" s="931"/>
      <c r="BE32" s="931"/>
      <c r="BF32" s="931"/>
      <c r="BG32" s="931"/>
      <c r="BH32" s="931"/>
    </row>
    <row r="33" spans="12:60" ht="16.5" customHeight="1">
      <c r="T33" s="1876"/>
      <c r="U33" s="1878"/>
      <c r="V33" s="1878"/>
      <c r="W33" s="1878"/>
      <c r="X33" s="1878"/>
      <c r="Y33" s="1878"/>
      <c r="Z33" s="1878"/>
      <c r="AA33" s="1878"/>
      <c r="AB33" s="1878"/>
      <c r="AC33" s="1878"/>
      <c r="AD33" s="1878"/>
      <c r="AE33" s="1878"/>
      <c r="AF33" s="1878"/>
      <c r="AG33" s="1878"/>
      <c r="AH33" s="1878"/>
      <c r="AI33" s="1878"/>
      <c r="AJ33" s="1878"/>
      <c r="AK33" s="1878"/>
      <c r="AL33" s="1878"/>
      <c r="AM33" s="1878"/>
      <c r="AQ33" s="931"/>
      <c r="AR33" s="931"/>
      <c r="AS33" s="931"/>
      <c r="AT33" s="931"/>
      <c r="AU33" s="931"/>
      <c r="AV33" s="931"/>
      <c r="AW33" s="931"/>
      <c r="AX33" s="931"/>
      <c r="AY33" s="931"/>
      <c r="AZ33" s="931"/>
      <c r="BA33" s="931"/>
      <c r="BB33" s="931"/>
      <c r="BC33" s="931"/>
      <c r="BD33" s="931"/>
      <c r="BE33" s="931"/>
      <c r="BF33" s="931"/>
      <c r="BG33" s="931"/>
      <c r="BH33" s="931"/>
    </row>
    <row r="34" spans="12:60" ht="16.5" customHeight="1">
      <c r="T34" s="1876"/>
      <c r="U34" s="1878"/>
      <c r="V34" s="1878"/>
      <c r="W34" s="1878"/>
      <c r="X34" s="1878"/>
      <c r="Y34" s="1878"/>
      <c r="Z34" s="1878"/>
      <c r="AA34" s="1878"/>
      <c r="AB34" s="1878"/>
      <c r="AC34" s="1878"/>
      <c r="AD34" s="1878"/>
      <c r="AE34" s="1878"/>
      <c r="AF34" s="1878"/>
      <c r="AG34" s="1878"/>
      <c r="AH34" s="1878"/>
      <c r="AI34" s="1878"/>
      <c r="AJ34" s="1878"/>
      <c r="AK34" s="1878"/>
      <c r="AL34" s="1878"/>
      <c r="AM34" s="1878"/>
      <c r="AQ34" s="931"/>
      <c r="AR34" s="931"/>
      <c r="AS34" s="931"/>
      <c r="AT34" s="931"/>
      <c r="AU34" s="931"/>
      <c r="AV34" s="931"/>
      <c r="AW34" s="931"/>
      <c r="AX34" s="931"/>
      <c r="AY34" s="931"/>
      <c r="AZ34" s="931"/>
      <c r="BA34" s="931"/>
      <c r="BB34" s="931"/>
      <c r="BC34" s="931"/>
      <c r="BD34" s="931"/>
      <c r="BE34" s="931"/>
      <c r="BF34" s="931"/>
      <c r="BG34" s="931"/>
      <c r="BH34" s="931"/>
    </row>
    <row r="35" spans="12:60" ht="16.5" customHeight="1">
      <c r="L35" s="1852" t="s">
        <v>7</v>
      </c>
      <c r="M35" s="1852"/>
      <c r="N35" s="1852"/>
      <c r="O35" s="1852"/>
      <c r="P35" s="1852"/>
      <c r="Q35" s="1852"/>
      <c r="R35" s="1852"/>
      <c r="T35" s="1876"/>
      <c r="U35" s="1876"/>
      <c r="V35" s="1876"/>
      <c r="W35" s="1876"/>
      <c r="X35" s="1876"/>
      <c r="Y35" s="1876"/>
      <c r="Z35" s="1876"/>
      <c r="AA35" s="1876"/>
      <c r="AB35" s="1876"/>
      <c r="AC35" s="1876"/>
      <c r="AD35" s="1876"/>
      <c r="AE35" s="1876"/>
      <c r="AF35" s="1876"/>
      <c r="AG35" s="1876"/>
      <c r="AH35" s="1876"/>
      <c r="AI35" s="1876"/>
      <c r="AJ35" s="1876"/>
      <c r="AK35" s="1876"/>
      <c r="AL35" s="1876"/>
    </row>
    <row r="37" spans="12:60" ht="16.5" customHeight="1">
      <c r="L37" s="1852" t="s">
        <v>3570</v>
      </c>
      <c r="M37" s="1852"/>
      <c r="N37" s="1852"/>
      <c r="O37" s="1852"/>
      <c r="P37" s="1852"/>
      <c r="Q37" s="1852"/>
      <c r="R37" s="1852"/>
      <c r="T37" s="1859"/>
      <c r="U37" s="1859"/>
      <c r="V37" s="1859"/>
      <c r="W37" s="1859"/>
      <c r="X37" s="1859"/>
      <c r="Y37" s="1859"/>
      <c r="Z37" s="1859"/>
      <c r="AA37" s="1859"/>
      <c r="AB37" s="1859"/>
      <c r="AC37" s="1859"/>
      <c r="AD37" s="1859"/>
      <c r="AE37" s="1859"/>
      <c r="AF37" s="1859"/>
      <c r="AG37" s="1859"/>
      <c r="AH37" s="1859"/>
      <c r="AI37" s="1859"/>
      <c r="AJ37" s="1859"/>
      <c r="AK37" s="1859"/>
      <c r="AL37" s="1859"/>
      <c r="AM37" s="1859"/>
      <c r="AQ37" s="931"/>
      <c r="AR37" s="931"/>
      <c r="AS37" s="931"/>
      <c r="AT37" s="931"/>
      <c r="AU37" s="931"/>
      <c r="AV37" s="931"/>
      <c r="AW37" s="931"/>
      <c r="AX37" s="931"/>
      <c r="AY37" s="931"/>
      <c r="AZ37" s="931"/>
      <c r="BA37" s="931"/>
      <c r="BB37" s="931"/>
      <c r="BC37" s="931"/>
      <c r="BD37" s="931"/>
      <c r="BE37" s="931"/>
      <c r="BF37" s="931"/>
      <c r="BG37" s="931"/>
      <c r="BH37" s="931"/>
    </row>
    <row r="38" spans="12:60" ht="16.5" customHeight="1">
      <c r="T38" s="1876"/>
      <c r="U38" s="1878"/>
      <c r="V38" s="1878"/>
      <c r="W38" s="1878"/>
      <c r="X38" s="1878"/>
      <c r="Y38" s="1878"/>
      <c r="Z38" s="1878"/>
      <c r="AA38" s="1878"/>
      <c r="AB38" s="1878"/>
      <c r="AC38" s="1878"/>
      <c r="AD38" s="1878"/>
      <c r="AE38" s="1878"/>
      <c r="AF38" s="1878"/>
      <c r="AG38" s="1878"/>
      <c r="AH38" s="1878"/>
      <c r="AI38" s="1878"/>
      <c r="AJ38" s="1878"/>
      <c r="AK38" s="1878"/>
      <c r="AL38" s="1878"/>
      <c r="AM38" s="1878"/>
      <c r="AQ38" s="931"/>
      <c r="AR38" s="931"/>
      <c r="AS38" s="931"/>
      <c r="AT38" s="931"/>
      <c r="AU38" s="931"/>
      <c r="AV38" s="931"/>
      <c r="AW38" s="931"/>
      <c r="AX38" s="931"/>
      <c r="AY38" s="931"/>
      <c r="AZ38" s="931"/>
      <c r="BA38" s="931"/>
      <c r="BB38" s="931"/>
      <c r="BC38" s="931"/>
      <c r="BD38" s="931"/>
      <c r="BE38" s="931"/>
      <c r="BF38" s="931"/>
      <c r="BG38" s="931"/>
      <c r="BH38" s="931"/>
    </row>
    <row r="39" spans="12:60" ht="16.5" customHeight="1">
      <c r="T39" s="1876"/>
      <c r="U39" s="1878"/>
      <c r="V39" s="1878"/>
      <c r="W39" s="1878"/>
      <c r="X39" s="1878"/>
      <c r="Y39" s="1878"/>
      <c r="Z39" s="1878"/>
      <c r="AA39" s="1878"/>
      <c r="AB39" s="1878"/>
      <c r="AC39" s="1878"/>
      <c r="AD39" s="1878"/>
      <c r="AE39" s="1878"/>
      <c r="AF39" s="1878"/>
      <c r="AG39" s="1878"/>
      <c r="AH39" s="1878"/>
      <c r="AI39" s="1878"/>
      <c r="AJ39" s="1878"/>
      <c r="AK39" s="1878"/>
      <c r="AL39" s="1878"/>
      <c r="AM39" s="1878"/>
      <c r="AQ39" s="931"/>
      <c r="AR39" s="931"/>
      <c r="AS39" s="931"/>
      <c r="AT39" s="931"/>
      <c r="AU39" s="931"/>
      <c r="AV39" s="931"/>
      <c r="AW39" s="931"/>
      <c r="AX39" s="931"/>
      <c r="AY39" s="931"/>
      <c r="AZ39" s="931"/>
      <c r="BA39" s="931"/>
      <c r="BB39" s="931"/>
      <c r="BC39" s="931"/>
      <c r="BD39" s="931"/>
      <c r="BE39" s="931"/>
      <c r="BF39" s="931"/>
      <c r="BG39" s="931"/>
      <c r="BH39" s="931"/>
    </row>
    <row r="40" spans="12:60" ht="16.5" customHeight="1">
      <c r="L40" s="1852" t="s">
        <v>7</v>
      </c>
      <c r="M40" s="1852"/>
      <c r="N40" s="1852"/>
      <c r="O40" s="1852"/>
      <c r="P40" s="1852"/>
      <c r="Q40" s="1852"/>
      <c r="R40" s="1852"/>
      <c r="T40" s="1876"/>
      <c r="U40" s="1876"/>
      <c r="V40" s="1876"/>
      <c r="W40" s="1876"/>
      <c r="X40" s="1876"/>
      <c r="Y40" s="1876"/>
      <c r="Z40" s="1876"/>
      <c r="AA40" s="1876"/>
      <c r="AB40" s="1876"/>
      <c r="AC40" s="1876"/>
      <c r="AD40" s="1876"/>
      <c r="AE40" s="1876"/>
      <c r="AF40" s="1876"/>
      <c r="AG40" s="1876"/>
      <c r="AH40" s="1876"/>
      <c r="AI40" s="1876"/>
      <c r="AJ40" s="1876"/>
      <c r="AK40" s="1876"/>
      <c r="AL40" s="1876"/>
    </row>
    <row r="42" spans="12:60" ht="16.5" customHeight="1">
      <c r="L42" s="1852" t="s">
        <v>3570</v>
      </c>
      <c r="M42" s="1852"/>
      <c r="N42" s="1852"/>
      <c r="O42" s="1852"/>
      <c r="P42" s="1852"/>
      <c r="Q42" s="1852"/>
      <c r="R42" s="1852"/>
      <c r="T42" s="1859"/>
      <c r="U42" s="1859"/>
      <c r="V42" s="1859"/>
      <c r="W42" s="1859"/>
      <c r="X42" s="1859"/>
      <c r="Y42" s="1859"/>
      <c r="Z42" s="1859"/>
      <c r="AA42" s="1859"/>
      <c r="AB42" s="1859"/>
      <c r="AC42" s="1859"/>
      <c r="AD42" s="1859"/>
      <c r="AE42" s="1859"/>
      <c r="AF42" s="1859"/>
      <c r="AG42" s="1859"/>
      <c r="AH42" s="1859"/>
      <c r="AI42" s="1859"/>
      <c r="AJ42" s="1859"/>
      <c r="AK42" s="1859"/>
      <c r="AL42" s="1859"/>
      <c r="AM42" s="1859"/>
      <c r="AQ42" s="931"/>
      <c r="AR42" s="931"/>
      <c r="AS42" s="931"/>
      <c r="AT42" s="931"/>
      <c r="AU42" s="931"/>
      <c r="AV42" s="931"/>
      <c r="AW42" s="931"/>
      <c r="AX42" s="931"/>
      <c r="AY42" s="931"/>
      <c r="AZ42" s="931"/>
      <c r="BA42" s="931"/>
      <c r="BB42" s="931"/>
      <c r="BC42" s="931"/>
      <c r="BD42" s="931"/>
      <c r="BE42" s="931"/>
      <c r="BF42" s="931"/>
      <c r="BG42" s="931"/>
      <c r="BH42" s="931"/>
    </row>
    <row r="43" spans="12:60" ht="16.5" customHeight="1">
      <c r="T43" s="1876"/>
      <c r="U43" s="1878"/>
      <c r="V43" s="1878"/>
      <c r="W43" s="1878"/>
      <c r="X43" s="1878"/>
      <c r="Y43" s="1878"/>
      <c r="Z43" s="1878"/>
      <c r="AA43" s="1878"/>
      <c r="AB43" s="1878"/>
      <c r="AC43" s="1878"/>
      <c r="AD43" s="1878"/>
      <c r="AE43" s="1878"/>
      <c r="AF43" s="1878"/>
      <c r="AG43" s="1878"/>
      <c r="AH43" s="1878"/>
      <c r="AI43" s="1878"/>
      <c r="AJ43" s="1878"/>
      <c r="AK43" s="1878"/>
      <c r="AL43" s="1878"/>
      <c r="AM43" s="1878"/>
      <c r="AQ43" s="931"/>
      <c r="AR43" s="931"/>
      <c r="AS43" s="931"/>
      <c r="AT43" s="931"/>
      <c r="AU43" s="931"/>
      <c r="AV43" s="931"/>
      <c r="AW43" s="931"/>
      <c r="AX43" s="931"/>
      <c r="AY43" s="931"/>
      <c r="AZ43" s="931"/>
      <c r="BA43" s="931"/>
      <c r="BB43" s="931"/>
      <c r="BC43" s="931"/>
      <c r="BD43" s="931"/>
      <c r="BE43" s="931"/>
      <c r="BF43" s="931"/>
      <c r="BG43" s="931"/>
      <c r="BH43" s="931"/>
    </row>
    <row r="44" spans="12:60" ht="16.5" customHeight="1">
      <c r="T44" s="1876"/>
      <c r="U44" s="1878"/>
      <c r="V44" s="1878"/>
      <c r="W44" s="1878"/>
      <c r="X44" s="1878"/>
      <c r="Y44" s="1878"/>
      <c r="Z44" s="1878"/>
      <c r="AA44" s="1878"/>
      <c r="AB44" s="1878"/>
      <c r="AC44" s="1878"/>
      <c r="AD44" s="1878"/>
      <c r="AE44" s="1878"/>
      <c r="AF44" s="1878"/>
      <c r="AG44" s="1878"/>
      <c r="AH44" s="1878"/>
      <c r="AI44" s="1878"/>
      <c r="AJ44" s="1878"/>
      <c r="AK44" s="1878"/>
      <c r="AL44" s="1878"/>
      <c r="AM44" s="1878"/>
      <c r="AQ44" s="931"/>
      <c r="AR44" s="931"/>
      <c r="AS44" s="931"/>
      <c r="AT44" s="931"/>
      <c r="AU44" s="931"/>
      <c r="AV44" s="931"/>
      <c r="AW44" s="931"/>
      <c r="AX44" s="931"/>
      <c r="AY44" s="931"/>
      <c r="AZ44" s="931"/>
      <c r="BA44" s="931"/>
      <c r="BB44" s="931"/>
      <c r="BC44" s="931"/>
      <c r="BD44" s="931"/>
      <c r="BE44" s="931"/>
      <c r="BF44" s="931"/>
      <c r="BG44" s="931"/>
      <c r="BH44" s="931"/>
    </row>
    <row r="45" spans="12:60" ht="16.5" customHeight="1">
      <c r="L45" s="1852" t="s">
        <v>7</v>
      </c>
      <c r="M45" s="1852"/>
      <c r="N45" s="1852"/>
      <c r="O45" s="1852"/>
      <c r="P45" s="1852"/>
      <c r="Q45" s="1852"/>
      <c r="R45" s="1852"/>
      <c r="T45" s="1876"/>
      <c r="U45" s="1876"/>
      <c r="V45" s="1876"/>
      <c r="W45" s="1876"/>
      <c r="X45" s="1876"/>
      <c r="Y45" s="1876"/>
      <c r="Z45" s="1876"/>
      <c r="AA45" s="1876"/>
      <c r="AB45" s="1876"/>
      <c r="AC45" s="1876"/>
      <c r="AD45" s="1876"/>
      <c r="AE45" s="1876"/>
      <c r="AF45" s="1876"/>
      <c r="AG45" s="1876"/>
      <c r="AH45" s="1876"/>
      <c r="AI45" s="1876"/>
      <c r="AJ45" s="1876"/>
      <c r="AK45" s="1876"/>
      <c r="AL45" s="1876"/>
    </row>
  </sheetData>
  <mergeCells count="43">
    <mergeCell ref="L15:R15"/>
    <mergeCell ref="T15:AL15"/>
    <mergeCell ref="AC10:AM10"/>
    <mergeCell ref="L12:R12"/>
    <mergeCell ref="T12:AM12"/>
    <mergeCell ref="T13:AM13"/>
    <mergeCell ref="T14:AM14"/>
    <mergeCell ref="L17:R17"/>
    <mergeCell ref="T17:AM17"/>
    <mergeCell ref="T18:AM18"/>
    <mergeCell ref="T19:AM19"/>
    <mergeCell ref="L20:R20"/>
    <mergeCell ref="T20:AL20"/>
    <mergeCell ref="L22:R22"/>
    <mergeCell ref="T22:AM22"/>
    <mergeCell ref="T23:AM23"/>
    <mergeCell ref="T24:AM24"/>
    <mergeCell ref="L25:R25"/>
    <mergeCell ref="T25:AL25"/>
    <mergeCell ref="L27:R27"/>
    <mergeCell ref="T27:AM27"/>
    <mergeCell ref="T28:AM28"/>
    <mergeCell ref="T29:AM29"/>
    <mergeCell ref="L30:R30"/>
    <mergeCell ref="T30:AL30"/>
    <mergeCell ref="L32:R32"/>
    <mergeCell ref="T32:AM32"/>
    <mergeCell ref="T33:AM33"/>
    <mergeCell ref="T34:AM34"/>
    <mergeCell ref="L35:R35"/>
    <mergeCell ref="T35:AL35"/>
    <mergeCell ref="L37:R37"/>
    <mergeCell ref="T37:AM37"/>
    <mergeCell ref="T43:AM43"/>
    <mergeCell ref="T44:AM44"/>
    <mergeCell ref="L45:R45"/>
    <mergeCell ref="T45:AL45"/>
    <mergeCell ref="T38:AM38"/>
    <mergeCell ref="T39:AM39"/>
    <mergeCell ref="L40:R40"/>
    <mergeCell ref="T40:AL40"/>
    <mergeCell ref="L42:R42"/>
    <mergeCell ref="T42:AM42"/>
  </mergeCells>
  <phoneticPr fontId="122"/>
  <pageMargins left="0.74803149606299213" right="0.74803149606299213" top="0.98425196850393704" bottom="0.98425196850393704" header="0.51181102362204722" footer="0.51181102362204722"/>
  <pageSetup paperSize="9" orientation="portrait" blackAndWhite="1"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Q96"/>
  <sheetViews>
    <sheetView zoomScaleNormal="100" zoomScaleSheetLayoutView="100" workbookViewId="0"/>
  </sheetViews>
  <sheetFormatPr defaultColWidth="2.109375" defaultRowHeight="16.5" customHeight="1"/>
  <cols>
    <col min="1" max="1" width="3" style="902" bestFit="1" customWidth="1"/>
    <col min="2" max="2" width="2.109375" style="902" customWidth="1"/>
    <col min="3" max="16384" width="2.109375" style="902"/>
  </cols>
  <sheetData>
    <row r="1" spans="1:43" ht="16.5" customHeight="1">
      <c r="A1" s="902" t="s">
        <v>3573</v>
      </c>
    </row>
    <row r="2" spans="1:43" ht="8.1" customHeight="1"/>
    <row r="3" spans="1:43" s="940" customFormat="1" ht="21" customHeight="1">
      <c r="A3" s="941" t="s">
        <v>3576</v>
      </c>
      <c r="B3" s="94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c r="AH3" s="941"/>
      <c r="AI3" s="941"/>
      <c r="AJ3" s="941"/>
      <c r="AK3" s="941"/>
      <c r="AL3" s="941"/>
      <c r="AM3" s="941"/>
      <c r="AN3" s="941"/>
      <c r="AO3" s="941"/>
      <c r="AP3" s="941"/>
      <c r="AQ3" s="941"/>
    </row>
    <row r="4" spans="1:43" s="940" customFormat="1" ht="9" customHeight="1">
      <c r="A4" s="941"/>
      <c r="B4" s="941"/>
      <c r="C4" s="941"/>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row>
    <row r="5" spans="1:43" ht="16.5" customHeight="1">
      <c r="A5" s="902" t="s">
        <v>3563</v>
      </c>
    </row>
    <row r="6" spans="1:43" ht="16.5" customHeight="1">
      <c r="AL6" s="938"/>
    </row>
    <row r="7" spans="1:43" ht="16.5" customHeight="1">
      <c r="A7" s="939">
        <v>2</v>
      </c>
      <c r="B7" s="902" t="s">
        <v>3562</v>
      </c>
      <c r="G7" s="902" t="s">
        <v>3560</v>
      </c>
      <c r="K7" s="902" t="s">
        <v>3559</v>
      </c>
      <c r="S7" s="953" t="s">
        <v>3558</v>
      </c>
      <c r="T7" s="1858" t="str">
        <f>cst_wskakunin_owner2_ZIP</f>
        <v/>
      </c>
      <c r="U7" s="1875"/>
      <c r="V7" s="1875"/>
      <c r="W7" s="1875"/>
      <c r="X7" s="1013"/>
      <c r="Y7" s="1858" t="str">
        <f>cst_wskakunin_owner2__address</f>
        <v/>
      </c>
      <c r="Z7" s="1858"/>
      <c r="AA7" s="1858"/>
      <c r="AB7" s="1858"/>
      <c r="AC7" s="1858"/>
      <c r="AD7" s="1858"/>
      <c r="AE7" s="1858"/>
      <c r="AF7" s="1858"/>
      <c r="AG7" s="1858"/>
      <c r="AH7" s="1858"/>
      <c r="AI7" s="1858"/>
      <c r="AJ7" s="1858"/>
      <c r="AK7" s="1858"/>
      <c r="AL7" s="1858"/>
      <c r="AM7" s="1858"/>
      <c r="AN7" s="1858"/>
      <c r="AO7" s="1858"/>
      <c r="AP7" s="1858"/>
    </row>
    <row r="8" spans="1:43" ht="16.5" customHeight="1">
      <c r="K8" s="902" t="s">
        <v>3557</v>
      </c>
      <c r="S8" s="1853" t="str">
        <f>cst_wskakunin_owner2__space_KANA</f>
        <v/>
      </c>
      <c r="T8" s="1853"/>
      <c r="U8" s="1853"/>
      <c r="V8" s="1853"/>
      <c r="W8" s="1853"/>
      <c r="X8" s="1853"/>
      <c r="Y8" s="1853"/>
      <c r="Z8" s="1853"/>
      <c r="AA8" s="1853"/>
      <c r="AB8" s="1853"/>
      <c r="AC8" s="1853"/>
      <c r="AD8" s="1853"/>
      <c r="AE8" s="1853"/>
      <c r="AF8" s="1853"/>
      <c r="AG8" s="1853"/>
      <c r="AH8" s="1853"/>
      <c r="AI8" s="1853"/>
      <c r="AJ8" s="1853"/>
      <c r="AK8" s="1853"/>
      <c r="AL8" s="1853"/>
      <c r="AM8" s="1853"/>
      <c r="AN8" s="1853"/>
      <c r="AO8" s="1853"/>
      <c r="AP8" s="1853"/>
    </row>
    <row r="9" spans="1:43" ht="16.5" customHeight="1">
      <c r="K9" s="902" t="s">
        <v>3556</v>
      </c>
      <c r="S9" s="1858" t="str">
        <f>cst_wskakunin_owner2_JIMU_NAME</f>
        <v/>
      </c>
      <c r="T9" s="1858"/>
      <c r="U9" s="1858"/>
      <c r="V9" s="1858"/>
      <c r="W9" s="1858"/>
      <c r="X9" s="1858"/>
      <c r="Y9" s="1858"/>
      <c r="Z9" s="1858"/>
      <c r="AA9" s="1858"/>
      <c r="AB9" s="1858"/>
      <c r="AC9" s="1858"/>
      <c r="AD9" s="1858"/>
      <c r="AE9" s="1858"/>
      <c r="AF9" s="1858"/>
      <c r="AG9" s="1858"/>
      <c r="AH9" s="1858"/>
      <c r="AI9" s="1858"/>
      <c r="AJ9" s="1858"/>
      <c r="AK9" s="1858"/>
      <c r="AL9" s="1858"/>
      <c r="AM9" s="1858"/>
      <c r="AN9" s="1858"/>
      <c r="AO9" s="1858"/>
      <c r="AP9" s="1858"/>
    </row>
    <row r="10" spans="1:43" ht="16.5" customHeight="1">
      <c r="S10" s="1858" t="str">
        <f>cst_wskakunin_owner2_POST</f>
        <v/>
      </c>
      <c r="T10" s="1858"/>
      <c r="U10" s="1858"/>
      <c r="V10" s="1858"/>
      <c r="W10" s="1858"/>
      <c r="X10" s="1858"/>
      <c r="Y10" s="1858"/>
      <c r="Z10" s="1858"/>
      <c r="AA10" s="1858"/>
      <c r="AB10" s="1858"/>
      <c r="AC10" s="1858"/>
      <c r="AD10" s="1858"/>
      <c r="AE10" s="1858"/>
      <c r="AF10" s="1858"/>
      <c r="AG10" s="1858"/>
      <c r="AH10" s="1872" t="str">
        <f>cst_wskakunin_owner2_NAME</f>
        <v/>
      </c>
      <c r="AI10" s="1872"/>
      <c r="AJ10" s="1872"/>
      <c r="AK10" s="1872"/>
      <c r="AL10" s="1872"/>
      <c r="AM10" s="1872"/>
      <c r="AN10" s="1872"/>
      <c r="AO10" s="1872"/>
      <c r="AP10" s="1872"/>
    </row>
    <row r="11" spans="1:43" ht="16.5" customHeight="1">
      <c r="K11" s="902" t="s">
        <v>3555</v>
      </c>
      <c r="S11" s="1853" t="str">
        <f>cst_wskakunin_owner2_TEL</f>
        <v/>
      </c>
      <c r="T11" s="1853"/>
      <c r="U11" s="1853"/>
      <c r="V11" s="1853"/>
      <c r="W11" s="1853"/>
      <c r="X11" s="1853"/>
      <c r="Y11" s="1853"/>
      <c r="Z11" s="1853"/>
      <c r="AA11" s="1853"/>
      <c r="AB11" s="1853"/>
      <c r="AC11" s="953"/>
      <c r="AD11" s="953"/>
      <c r="AE11" s="953"/>
      <c r="AF11" s="953"/>
      <c r="AG11" s="953"/>
      <c r="AH11" s="953"/>
      <c r="AI11" s="953"/>
      <c r="AJ11" s="953"/>
      <c r="AK11" s="953"/>
      <c r="AL11" s="953"/>
      <c r="AM11" s="953"/>
      <c r="AN11" s="953"/>
      <c r="AO11" s="953"/>
      <c r="AP11" s="953"/>
    </row>
    <row r="12" spans="1:43" ht="6" customHeight="1"/>
    <row r="13" spans="1:43" ht="16.5" customHeight="1">
      <c r="R13" s="927"/>
      <c r="S13" s="927"/>
      <c r="T13" s="927"/>
      <c r="U13" s="927"/>
      <c r="V13" s="927"/>
      <c r="W13" s="927"/>
      <c r="X13" s="927"/>
    </row>
    <row r="14" spans="1:43" ht="16.5" customHeight="1">
      <c r="B14" s="902" t="s">
        <v>3561</v>
      </c>
      <c r="G14" s="902" t="s">
        <v>3560</v>
      </c>
      <c r="K14" s="902" t="s">
        <v>3559</v>
      </c>
      <c r="S14" s="902" t="s">
        <v>3558</v>
      </c>
      <c r="T14" s="1877"/>
      <c r="U14" s="1878"/>
      <c r="V14" s="1878"/>
      <c r="W14" s="1878"/>
      <c r="X14" s="938"/>
      <c r="Y14" s="1860"/>
      <c r="Z14" s="1860"/>
      <c r="AA14" s="1860"/>
      <c r="AB14" s="1860"/>
      <c r="AC14" s="1860"/>
      <c r="AD14" s="1860"/>
      <c r="AE14" s="1860"/>
      <c r="AF14" s="1860"/>
      <c r="AG14" s="1860"/>
      <c r="AH14" s="1860"/>
      <c r="AI14" s="1860"/>
      <c r="AJ14" s="1860"/>
      <c r="AK14" s="1860"/>
      <c r="AL14" s="1860"/>
      <c r="AM14" s="1860"/>
      <c r="AN14" s="1860"/>
      <c r="AO14" s="1860"/>
      <c r="AP14" s="1860"/>
    </row>
    <row r="15" spans="1:43" ht="16.5" customHeight="1">
      <c r="K15" s="902" t="s">
        <v>3557</v>
      </c>
      <c r="S15" s="1859"/>
      <c r="T15" s="1859"/>
      <c r="U15" s="1859"/>
      <c r="V15" s="1859"/>
      <c r="W15" s="1859"/>
      <c r="X15" s="1859"/>
      <c r="Y15" s="1859"/>
      <c r="Z15" s="1859"/>
      <c r="AA15" s="1859"/>
      <c r="AB15" s="1859"/>
      <c r="AC15" s="1859"/>
      <c r="AD15" s="1859"/>
      <c r="AE15" s="1859"/>
      <c r="AF15" s="1859"/>
      <c r="AG15" s="1859"/>
      <c r="AH15" s="1859"/>
      <c r="AI15" s="1859"/>
      <c r="AJ15" s="1859"/>
      <c r="AK15" s="1859"/>
      <c r="AL15" s="1859"/>
      <c r="AM15" s="1859"/>
      <c r="AN15" s="1859"/>
      <c r="AO15" s="1859"/>
      <c r="AP15" s="1859"/>
    </row>
    <row r="16" spans="1:43" ht="16.5" customHeight="1">
      <c r="K16" s="902" t="s">
        <v>3556</v>
      </c>
      <c r="S16" s="1860"/>
      <c r="T16" s="1860"/>
      <c r="U16" s="1860"/>
      <c r="V16" s="1860"/>
      <c r="W16" s="1860"/>
      <c r="X16" s="1860"/>
      <c r="Y16" s="1860"/>
      <c r="Z16" s="1860"/>
      <c r="AA16" s="1860"/>
      <c r="AB16" s="1860"/>
      <c r="AC16" s="1860"/>
      <c r="AD16" s="1860"/>
      <c r="AE16" s="1860"/>
      <c r="AF16" s="1860"/>
      <c r="AG16" s="1860"/>
      <c r="AH16" s="1860"/>
      <c r="AI16" s="1860"/>
      <c r="AJ16" s="1860"/>
      <c r="AK16" s="1860"/>
      <c r="AL16" s="1860"/>
      <c r="AM16" s="1860"/>
      <c r="AN16" s="1860"/>
      <c r="AO16" s="1860"/>
      <c r="AP16" s="1860"/>
    </row>
    <row r="17" spans="1:42" ht="16.5" customHeight="1">
      <c r="S17" s="1876"/>
      <c r="T17" s="1876"/>
      <c r="U17" s="1876"/>
      <c r="V17" s="1876"/>
      <c r="W17" s="1876"/>
      <c r="X17" s="1876"/>
      <c r="Y17" s="1876"/>
      <c r="Z17" s="1876"/>
      <c r="AA17" s="1876"/>
      <c r="AB17" s="1876"/>
      <c r="AC17" s="1876"/>
      <c r="AD17" s="1876"/>
      <c r="AE17" s="1876"/>
      <c r="AF17" s="1876"/>
      <c r="AG17" s="1876"/>
      <c r="AH17" s="1873"/>
      <c r="AI17" s="1873"/>
      <c r="AJ17" s="1873"/>
      <c r="AK17" s="1873"/>
      <c r="AL17" s="1873"/>
      <c r="AM17" s="1873"/>
      <c r="AN17" s="1873"/>
      <c r="AO17" s="1873"/>
      <c r="AP17" s="1873"/>
    </row>
    <row r="18" spans="1:42" ht="16.5" customHeight="1">
      <c r="K18" s="902" t="s">
        <v>3555</v>
      </c>
      <c r="S18" s="1874"/>
      <c r="T18" s="1874"/>
      <c r="U18" s="1874"/>
      <c r="V18" s="1874"/>
      <c r="W18" s="1874"/>
      <c r="X18" s="1874"/>
      <c r="Y18" s="1874"/>
      <c r="Z18" s="1874"/>
      <c r="AA18" s="1874"/>
      <c r="AB18" s="1874"/>
    </row>
    <row r="19" spans="1:42" ht="29.4" customHeight="1"/>
    <row r="20" spans="1:42" ht="16.5" customHeight="1">
      <c r="A20" s="939">
        <v>3</v>
      </c>
      <c r="B20" s="902" t="s">
        <v>3562</v>
      </c>
      <c r="G20" s="902" t="s">
        <v>3560</v>
      </c>
      <c r="K20" s="902" t="s">
        <v>3559</v>
      </c>
      <c r="S20" s="953" t="s">
        <v>3558</v>
      </c>
      <c r="T20" s="1858" t="str">
        <f>cst_wskakunin_owner3_ZIP</f>
        <v/>
      </c>
      <c r="U20" s="1875"/>
      <c r="V20" s="1875"/>
      <c r="W20" s="1875"/>
      <c r="X20" s="1013"/>
      <c r="Y20" s="1858" t="str">
        <f>cst_wskakunin_owner3__address</f>
        <v/>
      </c>
      <c r="Z20" s="1858"/>
      <c r="AA20" s="1858"/>
      <c r="AB20" s="1858"/>
      <c r="AC20" s="1858"/>
      <c r="AD20" s="1858"/>
      <c r="AE20" s="1858"/>
      <c r="AF20" s="1858"/>
      <c r="AG20" s="1858"/>
      <c r="AH20" s="1858"/>
      <c r="AI20" s="1858"/>
      <c r="AJ20" s="1858"/>
      <c r="AK20" s="1858"/>
      <c r="AL20" s="1858"/>
      <c r="AM20" s="1858"/>
      <c r="AN20" s="1858"/>
      <c r="AO20" s="1858"/>
      <c r="AP20" s="1858"/>
    </row>
    <row r="21" spans="1:42" ht="16.5" customHeight="1">
      <c r="K21" s="902" t="s">
        <v>3557</v>
      </c>
      <c r="S21" s="1853" t="str">
        <f>cst_wskakunin_owner3__space_KANA</f>
        <v/>
      </c>
      <c r="T21" s="1853"/>
      <c r="U21" s="1853"/>
      <c r="V21" s="1853"/>
      <c r="W21" s="1853"/>
      <c r="X21" s="1853"/>
      <c r="Y21" s="1853"/>
      <c r="Z21" s="1853"/>
      <c r="AA21" s="1853"/>
      <c r="AB21" s="1853"/>
      <c r="AC21" s="1853"/>
      <c r="AD21" s="1853"/>
      <c r="AE21" s="1853"/>
      <c r="AF21" s="1853"/>
      <c r="AG21" s="1853"/>
      <c r="AH21" s="1853"/>
      <c r="AI21" s="1853"/>
      <c r="AJ21" s="1853"/>
      <c r="AK21" s="1853"/>
      <c r="AL21" s="1853"/>
      <c r="AM21" s="1853"/>
      <c r="AN21" s="1853"/>
      <c r="AO21" s="1853"/>
      <c r="AP21" s="1853"/>
    </row>
    <row r="22" spans="1:42" ht="16.5" customHeight="1">
      <c r="K22" s="902" t="s">
        <v>3556</v>
      </c>
      <c r="S22" s="1858" t="str">
        <f>cst_wskakunin_owner3_JIMU_NAME</f>
        <v/>
      </c>
      <c r="T22" s="1858"/>
      <c r="U22" s="1858"/>
      <c r="V22" s="1858"/>
      <c r="W22" s="1858"/>
      <c r="X22" s="1858"/>
      <c r="Y22" s="1858"/>
      <c r="Z22" s="1858"/>
      <c r="AA22" s="1858"/>
      <c r="AB22" s="1858"/>
      <c r="AC22" s="1858"/>
      <c r="AD22" s="1858"/>
      <c r="AE22" s="1858"/>
      <c r="AF22" s="1858"/>
      <c r="AG22" s="1858"/>
      <c r="AH22" s="1858"/>
      <c r="AI22" s="1858"/>
      <c r="AJ22" s="1858"/>
      <c r="AK22" s="1858"/>
      <c r="AL22" s="1858"/>
      <c r="AM22" s="1858"/>
      <c r="AN22" s="1858"/>
      <c r="AO22" s="1858"/>
      <c r="AP22" s="1858"/>
    </row>
    <row r="23" spans="1:42" ht="16.5" customHeight="1">
      <c r="S23" s="1858" t="str">
        <f>cst_wskakunin_owner3_POST</f>
        <v/>
      </c>
      <c r="T23" s="1858"/>
      <c r="U23" s="1858"/>
      <c r="V23" s="1858"/>
      <c r="W23" s="1858"/>
      <c r="X23" s="1858"/>
      <c r="Y23" s="1858"/>
      <c r="Z23" s="1858"/>
      <c r="AA23" s="1858"/>
      <c r="AB23" s="1858"/>
      <c r="AC23" s="1858"/>
      <c r="AD23" s="1858"/>
      <c r="AE23" s="1858"/>
      <c r="AF23" s="1858"/>
      <c r="AG23" s="1858"/>
      <c r="AH23" s="1872" t="str">
        <f>cst_wskakunin_owner3_NAME</f>
        <v/>
      </c>
      <c r="AI23" s="1872"/>
      <c r="AJ23" s="1872"/>
      <c r="AK23" s="1872"/>
      <c r="AL23" s="1872"/>
      <c r="AM23" s="1872"/>
      <c r="AN23" s="1872"/>
      <c r="AO23" s="1872"/>
      <c r="AP23" s="1872"/>
    </row>
    <row r="24" spans="1:42" ht="16.5" customHeight="1">
      <c r="K24" s="902" t="s">
        <v>3555</v>
      </c>
      <c r="S24" s="1853" t="str">
        <f>cst_wskakunin_owner3_TEL</f>
        <v/>
      </c>
      <c r="T24" s="1853"/>
      <c r="U24" s="1853"/>
      <c r="V24" s="1853"/>
      <c r="W24" s="1853"/>
      <c r="X24" s="1853"/>
      <c r="Y24" s="1853"/>
      <c r="Z24" s="1853"/>
      <c r="AA24" s="1853"/>
      <c r="AB24" s="1853"/>
      <c r="AC24" s="953"/>
      <c r="AD24" s="953"/>
      <c r="AE24" s="953"/>
      <c r="AF24" s="953"/>
      <c r="AG24" s="953"/>
      <c r="AH24" s="953"/>
      <c r="AI24" s="953"/>
      <c r="AJ24" s="953"/>
      <c r="AK24" s="953"/>
      <c r="AL24" s="953"/>
      <c r="AM24" s="953"/>
      <c r="AN24" s="953"/>
      <c r="AO24" s="953"/>
      <c r="AP24" s="953"/>
    </row>
    <row r="25" spans="1:42" ht="6" customHeight="1"/>
    <row r="26" spans="1:42" ht="16.5" customHeight="1">
      <c r="R26" s="927"/>
      <c r="S26" s="927"/>
      <c r="T26" s="927"/>
      <c r="U26" s="927"/>
      <c r="V26" s="927"/>
      <c r="W26" s="927"/>
      <c r="X26" s="927"/>
    </row>
    <row r="27" spans="1:42" ht="16.5" customHeight="1">
      <c r="B27" s="902" t="s">
        <v>3561</v>
      </c>
      <c r="G27" s="902" t="s">
        <v>3560</v>
      </c>
      <c r="K27" s="902" t="s">
        <v>3559</v>
      </c>
      <c r="S27" s="902" t="s">
        <v>3558</v>
      </c>
      <c r="T27" s="1877"/>
      <c r="U27" s="1878"/>
      <c r="V27" s="1878"/>
      <c r="W27" s="1878"/>
      <c r="X27" s="938"/>
      <c r="Y27" s="1860"/>
      <c r="Z27" s="1860"/>
      <c r="AA27" s="1860"/>
      <c r="AB27" s="1860"/>
      <c r="AC27" s="1860"/>
      <c r="AD27" s="1860"/>
      <c r="AE27" s="1860"/>
      <c r="AF27" s="1860"/>
      <c r="AG27" s="1860"/>
      <c r="AH27" s="1860"/>
      <c r="AI27" s="1860"/>
      <c r="AJ27" s="1860"/>
      <c r="AK27" s="1860"/>
      <c r="AL27" s="1860"/>
      <c r="AM27" s="1860"/>
      <c r="AN27" s="1860"/>
      <c r="AO27" s="1860"/>
      <c r="AP27" s="1860"/>
    </row>
    <row r="28" spans="1:42" ht="16.5" customHeight="1">
      <c r="K28" s="902" t="s">
        <v>3557</v>
      </c>
      <c r="S28" s="1859"/>
      <c r="T28" s="1859"/>
      <c r="U28" s="1859"/>
      <c r="V28" s="1859"/>
      <c r="W28" s="1859"/>
      <c r="X28" s="1859"/>
      <c r="Y28" s="1859"/>
      <c r="Z28" s="1859"/>
      <c r="AA28" s="1859"/>
      <c r="AB28" s="1859"/>
      <c r="AC28" s="1859"/>
      <c r="AD28" s="1859"/>
      <c r="AE28" s="1859"/>
      <c r="AF28" s="1859"/>
      <c r="AG28" s="1859"/>
      <c r="AH28" s="1859"/>
      <c r="AI28" s="1859"/>
      <c r="AJ28" s="1859"/>
      <c r="AK28" s="1859"/>
      <c r="AL28" s="1859"/>
      <c r="AM28" s="1859"/>
      <c r="AN28" s="1859"/>
      <c r="AO28" s="1859"/>
      <c r="AP28" s="1859"/>
    </row>
    <row r="29" spans="1:42" ht="16.5" customHeight="1">
      <c r="K29" s="902" t="s">
        <v>3556</v>
      </c>
      <c r="S29" s="1860"/>
      <c r="T29" s="1860"/>
      <c r="U29" s="1860"/>
      <c r="V29" s="1860"/>
      <c r="W29" s="1860"/>
      <c r="X29" s="1860"/>
      <c r="Y29" s="1860"/>
      <c r="Z29" s="1860"/>
      <c r="AA29" s="1860"/>
      <c r="AB29" s="1860"/>
      <c r="AC29" s="1860"/>
      <c r="AD29" s="1860"/>
      <c r="AE29" s="1860"/>
      <c r="AF29" s="1860"/>
      <c r="AG29" s="1860"/>
      <c r="AH29" s="1860"/>
      <c r="AI29" s="1860"/>
      <c r="AJ29" s="1860"/>
      <c r="AK29" s="1860"/>
      <c r="AL29" s="1860"/>
      <c r="AM29" s="1860"/>
      <c r="AN29" s="1860"/>
      <c r="AO29" s="1860"/>
      <c r="AP29" s="1860"/>
    </row>
    <row r="30" spans="1:42" ht="16.5" customHeight="1">
      <c r="S30" s="1876"/>
      <c r="T30" s="1876"/>
      <c r="U30" s="1876"/>
      <c r="V30" s="1876"/>
      <c r="W30" s="1876"/>
      <c r="X30" s="1876"/>
      <c r="Y30" s="1876"/>
      <c r="Z30" s="1876"/>
      <c r="AA30" s="1876"/>
      <c r="AB30" s="1876"/>
      <c r="AC30" s="1876"/>
      <c r="AD30" s="1876"/>
      <c r="AE30" s="1876"/>
      <c r="AF30" s="1876"/>
      <c r="AG30" s="1876"/>
      <c r="AH30" s="1873"/>
      <c r="AI30" s="1873"/>
      <c r="AJ30" s="1873"/>
      <c r="AK30" s="1873"/>
      <c r="AL30" s="1873"/>
      <c r="AM30" s="1873"/>
      <c r="AN30" s="1873"/>
      <c r="AO30" s="1873"/>
      <c r="AP30" s="1873"/>
    </row>
    <row r="31" spans="1:42" ht="16.5" customHeight="1">
      <c r="K31" s="902" t="s">
        <v>3555</v>
      </c>
      <c r="S31" s="1874"/>
      <c r="T31" s="1874"/>
      <c r="U31" s="1874"/>
      <c r="V31" s="1874"/>
      <c r="W31" s="1874"/>
      <c r="X31" s="1874"/>
      <c r="Y31" s="1874"/>
      <c r="Z31" s="1874"/>
      <c r="AA31" s="1874"/>
      <c r="AB31" s="1874"/>
    </row>
    <row r="32" spans="1:42" ht="29.4" customHeight="1"/>
    <row r="33" spans="1:42" ht="16.5" customHeight="1">
      <c r="A33" s="939">
        <v>4</v>
      </c>
      <c r="B33" s="902" t="s">
        <v>3562</v>
      </c>
      <c r="G33" s="902" t="s">
        <v>3560</v>
      </c>
      <c r="K33" s="902" t="s">
        <v>3559</v>
      </c>
      <c r="S33" s="953" t="s">
        <v>3558</v>
      </c>
      <c r="T33" s="1858" t="str">
        <f>cst_wskakunin_owner4_ZIP</f>
        <v/>
      </c>
      <c r="U33" s="1875"/>
      <c r="V33" s="1875"/>
      <c r="W33" s="1875"/>
      <c r="X33" s="1013"/>
      <c r="Y33" s="1858" t="str">
        <f>cst_wskakunin_owner4__address</f>
        <v/>
      </c>
      <c r="Z33" s="1858"/>
      <c r="AA33" s="1858"/>
      <c r="AB33" s="1858"/>
      <c r="AC33" s="1858"/>
      <c r="AD33" s="1858"/>
      <c r="AE33" s="1858"/>
      <c r="AF33" s="1858"/>
      <c r="AG33" s="1858"/>
      <c r="AH33" s="1858"/>
      <c r="AI33" s="1858"/>
      <c r="AJ33" s="1858"/>
      <c r="AK33" s="1858"/>
      <c r="AL33" s="1858"/>
      <c r="AM33" s="1858"/>
      <c r="AN33" s="1858"/>
      <c r="AO33" s="1858"/>
      <c r="AP33" s="1858"/>
    </row>
    <row r="34" spans="1:42" ht="16.5" customHeight="1">
      <c r="K34" s="902" t="s">
        <v>3557</v>
      </c>
      <c r="S34" s="1853" t="str">
        <f>cst_wskakunin_owner4__space_KANA</f>
        <v/>
      </c>
      <c r="T34" s="1853"/>
      <c r="U34" s="1853"/>
      <c r="V34" s="1853"/>
      <c r="W34" s="1853"/>
      <c r="X34" s="1853"/>
      <c r="Y34" s="1853"/>
      <c r="Z34" s="1853"/>
      <c r="AA34" s="1853"/>
      <c r="AB34" s="1853"/>
      <c r="AC34" s="1853"/>
      <c r="AD34" s="1853"/>
      <c r="AE34" s="1853"/>
      <c r="AF34" s="1853"/>
      <c r="AG34" s="1853"/>
      <c r="AH34" s="1853"/>
      <c r="AI34" s="1853"/>
      <c r="AJ34" s="1853"/>
      <c r="AK34" s="1853"/>
      <c r="AL34" s="1853"/>
      <c r="AM34" s="1853"/>
      <c r="AN34" s="1853"/>
      <c r="AO34" s="1853"/>
      <c r="AP34" s="1853"/>
    </row>
    <row r="35" spans="1:42" ht="16.5" customHeight="1">
      <c r="K35" s="902" t="s">
        <v>3556</v>
      </c>
      <c r="S35" s="1858" t="str">
        <f>cst_wskakunin_owner4_JIMU_NAME</f>
        <v/>
      </c>
      <c r="T35" s="1858"/>
      <c r="U35" s="1858"/>
      <c r="V35" s="1858"/>
      <c r="W35" s="1858"/>
      <c r="X35" s="1858"/>
      <c r="Y35" s="1858"/>
      <c r="Z35" s="1858"/>
      <c r="AA35" s="1858"/>
      <c r="AB35" s="1858"/>
      <c r="AC35" s="1858"/>
      <c r="AD35" s="1858"/>
      <c r="AE35" s="1858"/>
      <c r="AF35" s="1858"/>
      <c r="AG35" s="1858"/>
      <c r="AH35" s="1858"/>
      <c r="AI35" s="1858"/>
      <c r="AJ35" s="1858"/>
      <c r="AK35" s="1858"/>
      <c r="AL35" s="1858"/>
      <c r="AM35" s="1858"/>
      <c r="AN35" s="1858"/>
      <c r="AO35" s="1858"/>
      <c r="AP35" s="1858"/>
    </row>
    <row r="36" spans="1:42" ht="16.5" customHeight="1">
      <c r="S36" s="1858" t="str">
        <f>cst_wskakunin_owner4_POST</f>
        <v/>
      </c>
      <c r="T36" s="1858"/>
      <c r="U36" s="1858"/>
      <c r="V36" s="1858"/>
      <c r="W36" s="1858"/>
      <c r="X36" s="1858"/>
      <c r="Y36" s="1858"/>
      <c r="Z36" s="1858"/>
      <c r="AA36" s="1858"/>
      <c r="AB36" s="1858"/>
      <c r="AC36" s="1858"/>
      <c r="AD36" s="1858"/>
      <c r="AE36" s="1858"/>
      <c r="AF36" s="1858"/>
      <c r="AG36" s="1858"/>
      <c r="AH36" s="1872" t="str">
        <f>cst_wskakunin_owner4_NAME</f>
        <v/>
      </c>
      <c r="AI36" s="1872"/>
      <c r="AJ36" s="1872"/>
      <c r="AK36" s="1872"/>
      <c r="AL36" s="1872"/>
      <c r="AM36" s="1872"/>
      <c r="AN36" s="1872"/>
      <c r="AO36" s="1872"/>
      <c r="AP36" s="1872"/>
    </row>
    <row r="37" spans="1:42" ht="16.5" customHeight="1">
      <c r="K37" s="902" t="s">
        <v>3555</v>
      </c>
      <c r="S37" s="1853" t="str">
        <f>cst_wskakunin_owner4_TEL</f>
        <v/>
      </c>
      <c r="T37" s="1853"/>
      <c r="U37" s="1853"/>
      <c r="V37" s="1853"/>
      <c r="W37" s="1853"/>
      <c r="X37" s="1853"/>
      <c r="Y37" s="1853"/>
      <c r="Z37" s="1853"/>
      <c r="AA37" s="1853"/>
      <c r="AB37" s="1853"/>
      <c r="AC37" s="953"/>
      <c r="AD37" s="953"/>
      <c r="AE37" s="953"/>
      <c r="AF37" s="953"/>
      <c r="AG37" s="953"/>
      <c r="AH37" s="953"/>
      <c r="AI37" s="953"/>
      <c r="AJ37" s="953"/>
      <c r="AK37" s="953"/>
      <c r="AL37" s="953"/>
      <c r="AM37" s="953"/>
      <c r="AN37" s="953"/>
      <c r="AO37" s="953"/>
      <c r="AP37" s="953"/>
    </row>
    <row r="38" spans="1:42" ht="6" customHeight="1"/>
    <row r="39" spans="1:42" ht="16.5" customHeight="1">
      <c r="R39" s="927"/>
      <c r="S39" s="927"/>
      <c r="T39" s="927"/>
      <c r="U39" s="927"/>
      <c r="V39" s="927"/>
      <c r="W39" s="927"/>
      <c r="X39" s="927"/>
    </row>
    <row r="40" spans="1:42" ht="16.5" customHeight="1">
      <c r="B40" s="902" t="s">
        <v>3561</v>
      </c>
      <c r="G40" s="902" t="s">
        <v>3560</v>
      </c>
      <c r="K40" s="902" t="s">
        <v>3559</v>
      </c>
      <c r="S40" s="902" t="s">
        <v>3558</v>
      </c>
      <c r="T40" s="1877"/>
      <c r="U40" s="1878"/>
      <c r="V40" s="1878"/>
      <c r="W40" s="1878"/>
      <c r="X40" s="938"/>
      <c r="Y40" s="1860"/>
      <c r="Z40" s="1860"/>
      <c r="AA40" s="1860"/>
      <c r="AB40" s="1860"/>
      <c r="AC40" s="1860"/>
      <c r="AD40" s="1860"/>
      <c r="AE40" s="1860"/>
      <c r="AF40" s="1860"/>
      <c r="AG40" s="1860"/>
      <c r="AH40" s="1860"/>
      <c r="AI40" s="1860"/>
      <c r="AJ40" s="1860"/>
      <c r="AK40" s="1860"/>
      <c r="AL40" s="1860"/>
      <c r="AM40" s="1860"/>
      <c r="AN40" s="1860"/>
      <c r="AO40" s="1860"/>
      <c r="AP40" s="1860"/>
    </row>
    <row r="41" spans="1:42" ht="16.5" customHeight="1">
      <c r="K41" s="902" t="s">
        <v>3557</v>
      </c>
      <c r="S41" s="1859"/>
      <c r="T41" s="1859"/>
      <c r="U41" s="1859"/>
      <c r="V41" s="1859"/>
      <c r="W41" s="1859"/>
      <c r="X41" s="1859"/>
      <c r="Y41" s="1859"/>
      <c r="Z41" s="1859"/>
      <c r="AA41" s="1859"/>
      <c r="AB41" s="1859"/>
      <c r="AC41" s="1859"/>
      <c r="AD41" s="1859"/>
      <c r="AE41" s="1859"/>
      <c r="AF41" s="1859"/>
      <c r="AG41" s="1859"/>
      <c r="AH41" s="1859"/>
      <c r="AI41" s="1859"/>
      <c r="AJ41" s="1859"/>
      <c r="AK41" s="1859"/>
      <c r="AL41" s="1859"/>
      <c r="AM41" s="1859"/>
      <c r="AN41" s="1859"/>
      <c r="AO41" s="1859"/>
      <c r="AP41" s="1859"/>
    </row>
    <row r="42" spans="1:42" ht="16.5" customHeight="1">
      <c r="K42" s="902" t="s">
        <v>3556</v>
      </c>
      <c r="S42" s="1860"/>
      <c r="T42" s="1860"/>
      <c r="U42" s="1860"/>
      <c r="V42" s="1860"/>
      <c r="W42" s="1860"/>
      <c r="X42" s="1860"/>
      <c r="Y42" s="1860"/>
      <c r="Z42" s="1860"/>
      <c r="AA42" s="1860"/>
      <c r="AB42" s="1860"/>
      <c r="AC42" s="1860"/>
      <c r="AD42" s="1860"/>
      <c r="AE42" s="1860"/>
      <c r="AF42" s="1860"/>
      <c r="AG42" s="1860"/>
      <c r="AH42" s="1860"/>
      <c r="AI42" s="1860"/>
      <c r="AJ42" s="1860"/>
      <c r="AK42" s="1860"/>
      <c r="AL42" s="1860"/>
      <c r="AM42" s="1860"/>
      <c r="AN42" s="1860"/>
      <c r="AO42" s="1860"/>
      <c r="AP42" s="1860"/>
    </row>
    <row r="43" spans="1:42" ht="16.5" customHeight="1">
      <c r="S43" s="1876"/>
      <c r="T43" s="1876"/>
      <c r="U43" s="1876"/>
      <c r="V43" s="1876"/>
      <c r="W43" s="1876"/>
      <c r="X43" s="1876"/>
      <c r="Y43" s="1876"/>
      <c r="Z43" s="1876"/>
      <c r="AA43" s="1876"/>
      <c r="AB43" s="1876"/>
      <c r="AC43" s="1876"/>
      <c r="AD43" s="1876"/>
      <c r="AE43" s="1876"/>
      <c r="AF43" s="1876"/>
      <c r="AG43" s="1876"/>
      <c r="AH43" s="1873"/>
      <c r="AI43" s="1873"/>
      <c r="AJ43" s="1873"/>
      <c r="AK43" s="1873"/>
      <c r="AL43" s="1873"/>
      <c r="AM43" s="1873"/>
      <c r="AN43" s="1873"/>
      <c r="AO43" s="1873"/>
      <c r="AP43" s="1873"/>
    </row>
    <row r="44" spans="1:42" ht="16.5" customHeight="1">
      <c r="K44" s="902" t="s">
        <v>3555</v>
      </c>
      <c r="S44" s="1874"/>
      <c r="T44" s="1874"/>
      <c r="U44" s="1874"/>
      <c r="V44" s="1874"/>
      <c r="W44" s="1874"/>
      <c r="X44" s="1874"/>
      <c r="Y44" s="1874"/>
      <c r="Z44" s="1874"/>
      <c r="AA44" s="1874"/>
      <c r="AB44" s="1874"/>
    </row>
    <row r="45" spans="1:42" ht="29.4" customHeight="1"/>
    <row r="46" spans="1:42" ht="16.5" customHeight="1">
      <c r="A46" s="939">
        <v>5</v>
      </c>
      <c r="B46" s="902" t="s">
        <v>3562</v>
      </c>
      <c r="G46" s="902" t="s">
        <v>3560</v>
      </c>
      <c r="K46" s="902" t="s">
        <v>3559</v>
      </c>
      <c r="S46" s="953" t="s">
        <v>3558</v>
      </c>
      <c r="T46" s="1858" t="str">
        <f>cst_wskakunin_owner5_ZIP</f>
        <v/>
      </c>
      <c r="U46" s="1875"/>
      <c r="V46" s="1875"/>
      <c r="W46" s="1875"/>
      <c r="X46" s="1013"/>
      <c r="Y46" s="1858" t="str">
        <f>cst_wskakunin_owner5__address</f>
        <v/>
      </c>
      <c r="Z46" s="1858"/>
      <c r="AA46" s="1858"/>
      <c r="AB46" s="1858"/>
      <c r="AC46" s="1858"/>
      <c r="AD46" s="1858"/>
      <c r="AE46" s="1858"/>
      <c r="AF46" s="1858"/>
      <c r="AG46" s="1858"/>
      <c r="AH46" s="1858"/>
      <c r="AI46" s="1858"/>
      <c r="AJ46" s="1858"/>
      <c r="AK46" s="1858"/>
      <c r="AL46" s="1858"/>
      <c r="AM46" s="1858"/>
      <c r="AN46" s="1858"/>
      <c r="AO46" s="1858"/>
      <c r="AP46" s="1858"/>
    </row>
    <row r="47" spans="1:42" ht="16.5" customHeight="1">
      <c r="K47" s="902" t="s">
        <v>3557</v>
      </c>
      <c r="S47" s="1853" t="str">
        <f>cst_wskakunin_owner5__space_KANA</f>
        <v/>
      </c>
      <c r="T47" s="1853"/>
      <c r="U47" s="1853"/>
      <c r="V47" s="1853"/>
      <c r="W47" s="1853"/>
      <c r="X47" s="1853"/>
      <c r="Y47" s="1853"/>
      <c r="Z47" s="1853"/>
      <c r="AA47" s="1853"/>
      <c r="AB47" s="1853"/>
      <c r="AC47" s="1853"/>
      <c r="AD47" s="1853"/>
      <c r="AE47" s="1853"/>
      <c r="AF47" s="1853"/>
      <c r="AG47" s="1853"/>
      <c r="AH47" s="1853"/>
      <c r="AI47" s="1853"/>
      <c r="AJ47" s="1853"/>
      <c r="AK47" s="1853"/>
      <c r="AL47" s="1853"/>
      <c r="AM47" s="1853"/>
      <c r="AN47" s="1853"/>
      <c r="AO47" s="1853"/>
      <c r="AP47" s="1853"/>
    </row>
    <row r="48" spans="1:42" ht="16.5" customHeight="1">
      <c r="K48" s="902" t="s">
        <v>3556</v>
      </c>
      <c r="S48" s="1858" t="str">
        <f>cst_wskakunin_owner5_JIMU_NAME</f>
        <v/>
      </c>
      <c r="T48" s="1858"/>
      <c r="U48" s="1858"/>
      <c r="V48" s="1858"/>
      <c r="W48" s="1858"/>
      <c r="X48" s="1858"/>
      <c r="Y48" s="1858"/>
      <c r="Z48" s="1858"/>
      <c r="AA48" s="1858"/>
      <c r="AB48" s="1858"/>
      <c r="AC48" s="1858"/>
      <c r="AD48" s="1858"/>
      <c r="AE48" s="1858"/>
      <c r="AF48" s="1858"/>
      <c r="AG48" s="1858"/>
      <c r="AH48" s="1858"/>
      <c r="AI48" s="1858"/>
      <c r="AJ48" s="1858"/>
      <c r="AK48" s="1858"/>
      <c r="AL48" s="1858"/>
      <c r="AM48" s="1858"/>
      <c r="AN48" s="1858"/>
      <c r="AO48" s="1858"/>
      <c r="AP48" s="1858"/>
    </row>
    <row r="49" spans="1:42" ht="16.5" customHeight="1">
      <c r="S49" s="1858" t="str">
        <f>cst_wskakunin_owner5_POST</f>
        <v/>
      </c>
      <c r="T49" s="1858"/>
      <c r="U49" s="1858"/>
      <c r="V49" s="1858"/>
      <c r="W49" s="1858"/>
      <c r="X49" s="1858"/>
      <c r="Y49" s="1858"/>
      <c r="Z49" s="1858"/>
      <c r="AA49" s="1858"/>
      <c r="AB49" s="1858"/>
      <c r="AC49" s="1858"/>
      <c r="AD49" s="1858"/>
      <c r="AE49" s="1858"/>
      <c r="AF49" s="1858"/>
      <c r="AG49" s="1858"/>
      <c r="AH49" s="1872" t="str">
        <f>cst_wskakunin_owner5_NAME</f>
        <v/>
      </c>
      <c r="AI49" s="1872"/>
      <c r="AJ49" s="1872"/>
      <c r="AK49" s="1872"/>
      <c r="AL49" s="1872"/>
      <c r="AM49" s="1872"/>
      <c r="AN49" s="1872"/>
      <c r="AO49" s="1872"/>
      <c r="AP49" s="1872"/>
    </row>
    <row r="50" spans="1:42" ht="16.5" customHeight="1">
      <c r="K50" s="902" t="s">
        <v>3555</v>
      </c>
      <c r="S50" s="1853" t="str">
        <f>cst_wskakunin_owner5_TEL</f>
        <v/>
      </c>
      <c r="T50" s="1853"/>
      <c r="U50" s="1853"/>
      <c r="V50" s="1853"/>
      <c r="W50" s="1853"/>
      <c r="X50" s="1853"/>
      <c r="Y50" s="1853"/>
      <c r="Z50" s="1853"/>
      <c r="AA50" s="1853"/>
      <c r="AB50" s="1853"/>
      <c r="AC50" s="953"/>
      <c r="AD50" s="953"/>
      <c r="AE50" s="953"/>
      <c r="AF50" s="953"/>
      <c r="AG50" s="953"/>
      <c r="AH50" s="953"/>
      <c r="AI50" s="953"/>
      <c r="AJ50" s="953"/>
      <c r="AK50" s="953"/>
      <c r="AL50" s="953"/>
      <c r="AM50" s="953"/>
      <c r="AN50" s="953"/>
      <c r="AO50" s="953"/>
      <c r="AP50" s="953"/>
    </row>
    <row r="51" spans="1:42" ht="6" customHeight="1"/>
    <row r="52" spans="1:42" ht="16.5" customHeight="1">
      <c r="R52" s="927"/>
      <c r="S52" s="927"/>
      <c r="T52" s="927"/>
      <c r="U52" s="927"/>
      <c r="V52" s="927"/>
      <c r="W52" s="927"/>
      <c r="X52" s="927"/>
    </row>
    <row r="53" spans="1:42" ht="16.5" customHeight="1">
      <c r="B53" s="902" t="s">
        <v>3561</v>
      </c>
      <c r="G53" s="902" t="s">
        <v>3560</v>
      </c>
      <c r="K53" s="902" t="s">
        <v>3559</v>
      </c>
      <c r="S53" s="902" t="s">
        <v>3558</v>
      </c>
      <c r="T53" s="1877"/>
      <c r="U53" s="1878"/>
      <c r="V53" s="1878"/>
      <c r="W53" s="1878"/>
      <c r="X53" s="938"/>
      <c r="Y53" s="1860"/>
      <c r="Z53" s="1860"/>
      <c r="AA53" s="1860"/>
      <c r="AB53" s="1860"/>
      <c r="AC53" s="1860"/>
      <c r="AD53" s="1860"/>
      <c r="AE53" s="1860"/>
      <c r="AF53" s="1860"/>
      <c r="AG53" s="1860"/>
      <c r="AH53" s="1860"/>
      <c r="AI53" s="1860"/>
      <c r="AJ53" s="1860"/>
      <c r="AK53" s="1860"/>
      <c r="AL53" s="1860"/>
      <c r="AM53" s="1860"/>
      <c r="AN53" s="1860"/>
      <c r="AO53" s="1860"/>
      <c r="AP53" s="1860"/>
    </row>
    <row r="54" spans="1:42" ht="16.5" customHeight="1">
      <c r="K54" s="902" t="s">
        <v>3557</v>
      </c>
      <c r="S54" s="1859"/>
      <c r="T54" s="1859"/>
      <c r="U54" s="1859"/>
      <c r="V54" s="1859"/>
      <c r="W54" s="1859"/>
      <c r="X54" s="1859"/>
      <c r="Y54" s="1859"/>
      <c r="Z54" s="1859"/>
      <c r="AA54" s="1859"/>
      <c r="AB54" s="1859"/>
      <c r="AC54" s="1859"/>
      <c r="AD54" s="1859"/>
      <c r="AE54" s="1859"/>
      <c r="AF54" s="1859"/>
      <c r="AG54" s="1859"/>
      <c r="AH54" s="1859"/>
      <c r="AI54" s="1859"/>
      <c r="AJ54" s="1859"/>
      <c r="AK54" s="1859"/>
      <c r="AL54" s="1859"/>
      <c r="AM54" s="1859"/>
      <c r="AN54" s="1859"/>
      <c r="AO54" s="1859"/>
      <c r="AP54" s="1859"/>
    </row>
    <row r="55" spans="1:42" ht="16.5" customHeight="1">
      <c r="K55" s="902" t="s">
        <v>3556</v>
      </c>
      <c r="S55" s="1860"/>
      <c r="T55" s="1860"/>
      <c r="U55" s="1860"/>
      <c r="V55" s="1860"/>
      <c r="W55" s="1860"/>
      <c r="X55" s="1860"/>
      <c r="Y55" s="1860"/>
      <c r="Z55" s="1860"/>
      <c r="AA55" s="1860"/>
      <c r="AB55" s="1860"/>
      <c r="AC55" s="1860"/>
      <c r="AD55" s="1860"/>
      <c r="AE55" s="1860"/>
      <c r="AF55" s="1860"/>
      <c r="AG55" s="1860"/>
      <c r="AH55" s="1860"/>
      <c r="AI55" s="1860"/>
      <c r="AJ55" s="1860"/>
      <c r="AK55" s="1860"/>
      <c r="AL55" s="1860"/>
      <c r="AM55" s="1860"/>
      <c r="AN55" s="1860"/>
      <c r="AO55" s="1860"/>
      <c r="AP55" s="1860"/>
    </row>
    <row r="56" spans="1:42" ht="16.5" customHeight="1">
      <c r="S56" s="1876"/>
      <c r="T56" s="1876"/>
      <c r="U56" s="1876"/>
      <c r="V56" s="1876"/>
      <c r="W56" s="1876"/>
      <c r="X56" s="1876"/>
      <c r="Y56" s="1876"/>
      <c r="Z56" s="1876"/>
      <c r="AA56" s="1876"/>
      <c r="AB56" s="1876"/>
      <c r="AC56" s="1876"/>
      <c r="AD56" s="1876"/>
      <c r="AE56" s="1876"/>
      <c r="AF56" s="1876"/>
      <c r="AG56" s="1876"/>
      <c r="AH56" s="1873"/>
      <c r="AI56" s="1873"/>
      <c r="AJ56" s="1873"/>
      <c r="AK56" s="1873"/>
      <c r="AL56" s="1873"/>
      <c r="AM56" s="1873"/>
      <c r="AN56" s="1873"/>
      <c r="AO56" s="1873"/>
      <c r="AP56" s="1873"/>
    </row>
    <row r="57" spans="1:42" ht="16.5" customHeight="1">
      <c r="K57" s="902" t="s">
        <v>3555</v>
      </c>
      <c r="S57" s="1874"/>
      <c r="T57" s="1874"/>
      <c r="U57" s="1874"/>
      <c r="V57" s="1874"/>
      <c r="W57" s="1874"/>
      <c r="X57" s="1874"/>
      <c r="Y57" s="1874"/>
      <c r="Z57" s="1874"/>
      <c r="AA57" s="1874"/>
      <c r="AB57" s="1874"/>
    </row>
    <row r="58" spans="1:42" ht="29.4" customHeight="1"/>
    <row r="59" spans="1:42" ht="16.5" customHeight="1">
      <c r="A59" s="939">
        <v>6</v>
      </c>
      <c r="B59" s="902" t="s">
        <v>3562</v>
      </c>
      <c r="G59" s="902" t="s">
        <v>3560</v>
      </c>
      <c r="K59" s="902" t="s">
        <v>3559</v>
      </c>
      <c r="S59" s="953" t="s">
        <v>3558</v>
      </c>
      <c r="T59" s="1858" t="str">
        <f>cst_wskakunin_owner6_ZIP</f>
        <v/>
      </c>
      <c r="U59" s="1875"/>
      <c r="V59" s="1875"/>
      <c r="W59" s="1875"/>
      <c r="X59" s="1013"/>
      <c r="Y59" s="1858" t="str">
        <f>cst_wskakunin_owner6__address</f>
        <v/>
      </c>
      <c r="Z59" s="1858"/>
      <c r="AA59" s="1858"/>
      <c r="AB59" s="1858"/>
      <c r="AC59" s="1858"/>
      <c r="AD59" s="1858"/>
      <c r="AE59" s="1858"/>
      <c r="AF59" s="1858"/>
      <c r="AG59" s="1858"/>
      <c r="AH59" s="1858"/>
      <c r="AI59" s="1858"/>
      <c r="AJ59" s="1858"/>
      <c r="AK59" s="1858"/>
      <c r="AL59" s="1858"/>
      <c r="AM59" s="1858"/>
      <c r="AN59" s="1858"/>
      <c r="AO59" s="1858"/>
      <c r="AP59" s="1858"/>
    </row>
    <row r="60" spans="1:42" ht="16.5" customHeight="1">
      <c r="K60" s="902" t="s">
        <v>3557</v>
      </c>
      <c r="S60" s="1853" t="str">
        <f>cst_wskakunin_owner6__space_KANA</f>
        <v/>
      </c>
      <c r="T60" s="1853"/>
      <c r="U60" s="1853"/>
      <c r="V60" s="1853"/>
      <c r="W60" s="1853"/>
      <c r="X60" s="1853"/>
      <c r="Y60" s="1853"/>
      <c r="Z60" s="1853"/>
      <c r="AA60" s="1853"/>
      <c r="AB60" s="1853"/>
      <c r="AC60" s="1853"/>
      <c r="AD60" s="1853"/>
      <c r="AE60" s="1853"/>
      <c r="AF60" s="1853"/>
      <c r="AG60" s="1853"/>
      <c r="AH60" s="1853"/>
      <c r="AI60" s="1853"/>
      <c r="AJ60" s="1853"/>
      <c r="AK60" s="1853"/>
      <c r="AL60" s="1853"/>
      <c r="AM60" s="1853"/>
      <c r="AN60" s="1853"/>
      <c r="AO60" s="1853"/>
      <c r="AP60" s="1853"/>
    </row>
    <row r="61" spans="1:42" ht="16.5" customHeight="1">
      <c r="K61" s="902" t="s">
        <v>3556</v>
      </c>
      <c r="S61" s="1858" t="str">
        <f>cst_wskakunin_owner6_JIMU_NAME</f>
        <v/>
      </c>
      <c r="T61" s="1858"/>
      <c r="U61" s="1858"/>
      <c r="V61" s="1858"/>
      <c r="W61" s="1858"/>
      <c r="X61" s="1858"/>
      <c r="Y61" s="1858"/>
      <c r="Z61" s="1858"/>
      <c r="AA61" s="1858"/>
      <c r="AB61" s="1858"/>
      <c r="AC61" s="1858"/>
      <c r="AD61" s="1858"/>
      <c r="AE61" s="1858"/>
      <c r="AF61" s="1858"/>
      <c r="AG61" s="1858"/>
      <c r="AH61" s="1858"/>
      <c r="AI61" s="1858"/>
      <c r="AJ61" s="1858"/>
      <c r="AK61" s="1858"/>
      <c r="AL61" s="1858"/>
      <c r="AM61" s="1858"/>
      <c r="AN61" s="1858"/>
      <c r="AO61" s="1858"/>
      <c r="AP61" s="1858"/>
    </row>
    <row r="62" spans="1:42" ht="16.5" customHeight="1">
      <c r="S62" s="1858" t="str">
        <f>cst_wskakunin_owner6_POST</f>
        <v/>
      </c>
      <c r="T62" s="1858"/>
      <c r="U62" s="1858"/>
      <c r="V62" s="1858"/>
      <c r="W62" s="1858"/>
      <c r="X62" s="1858"/>
      <c r="Y62" s="1858"/>
      <c r="Z62" s="1858"/>
      <c r="AA62" s="1858"/>
      <c r="AB62" s="1858"/>
      <c r="AC62" s="1858"/>
      <c r="AD62" s="1858"/>
      <c r="AE62" s="1858"/>
      <c r="AF62" s="1858"/>
      <c r="AG62" s="1858"/>
      <c r="AH62" s="1872" t="str">
        <f>cst_wskakunin_owner6_NAME</f>
        <v/>
      </c>
      <c r="AI62" s="1872"/>
      <c r="AJ62" s="1872"/>
      <c r="AK62" s="1872"/>
      <c r="AL62" s="1872"/>
      <c r="AM62" s="1872"/>
      <c r="AN62" s="1872"/>
      <c r="AO62" s="1872"/>
      <c r="AP62" s="1872"/>
    </row>
    <row r="63" spans="1:42" ht="16.5" customHeight="1">
      <c r="K63" s="902" t="s">
        <v>3555</v>
      </c>
      <c r="S63" s="1853" t="str">
        <f>cst_wskakunin_owner6_TEL</f>
        <v/>
      </c>
      <c r="T63" s="1853"/>
      <c r="U63" s="1853"/>
      <c r="V63" s="1853"/>
      <c r="W63" s="1853"/>
      <c r="X63" s="1853"/>
      <c r="Y63" s="1853"/>
      <c r="Z63" s="1853"/>
      <c r="AA63" s="1853"/>
      <c r="AB63" s="1853"/>
      <c r="AC63" s="953"/>
      <c r="AD63" s="953"/>
      <c r="AE63" s="953"/>
      <c r="AF63" s="953"/>
      <c r="AG63" s="953"/>
      <c r="AH63" s="953"/>
      <c r="AI63" s="953"/>
      <c r="AJ63" s="953"/>
      <c r="AK63" s="953"/>
      <c r="AL63" s="953"/>
      <c r="AM63" s="953"/>
      <c r="AN63" s="953"/>
      <c r="AO63" s="953"/>
      <c r="AP63" s="953"/>
    </row>
    <row r="64" spans="1:42" ht="6" customHeight="1"/>
    <row r="65" spans="1:42" ht="16.5" customHeight="1">
      <c r="R65" s="927"/>
      <c r="S65" s="927"/>
      <c r="T65" s="927"/>
      <c r="U65" s="927"/>
      <c r="V65" s="927"/>
      <c r="W65" s="927"/>
      <c r="X65" s="927"/>
    </row>
    <row r="66" spans="1:42" ht="16.5" customHeight="1">
      <c r="B66" s="902" t="s">
        <v>3561</v>
      </c>
      <c r="G66" s="902" t="s">
        <v>3560</v>
      </c>
      <c r="K66" s="902" t="s">
        <v>3559</v>
      </c>
      <c r="S66" s="902" t="s">
        <v>3558</v>
      </c>
      <c r="T66" s="1877"/>
      <c r="U66" s="1878"/>
      <c r="V66" s="1878"/>
      <c r="W66" s="1878"/>
      <c r="X66" s="938"/>
      <c r="Y66" s="1860"/>
      <c r="Z66" s="1860"/>
      <c r="AA66" s="1860"/>
      <c r="AB66" s="1860"/>
      <c r="AC66" s="1860"/>
      <c r="AD66" s="1860"/>
      <c r="AE66" s="1860"/>
      <c r="AF66" s="1860"/>
      <c r="AG66" s="1860"/>
      <c r="AH66" s="1860"/>
      <c r="AI66" s="1860"/>
      <c r="AJ66" s="1860"/>
      <c r="AK66" s="1860"/>
      <c r="AL66" s="1860"/>
      <c r="AM66" s="1860"/>
      <c r="AN66" s="1860"/>
      <c r="AO66" s="1860"/>
      <c r="AP66" s="1860"/>
    </row>
    <row r="67" spans="1:42" ht="16.5" customHeight="1">
      <c r="K67" s="902" t="s">
        <v>3557</v>
      </c>
      <c r="S67" s="1859"/>
      <c r="T67" s="1859"/>
      <c r="U67" s="1859"/>
      <c r="V67" s="1859"/>
      <c r="W67" s="1859"/>
      <c r="X67" s="1859"/>
      <c r="Y67" s="1859"/>
      <c r="Z67" s="1859"/>
      <c r="AA67" s="1859"/>
      <c r="AB67" s="1859"/>
      <c r="AC67" s="1859"/>
      <c r="AD67" s="1859"/>
      <c r="AE67" s="1859"/>
      <c r="AF67" s="1859"/>
      <c r="AG67" s="1859"/>
      <c r="AH67" s="1859"/>
      <c r="AI67" s="1859"/>
      <c r="AJ67" s="1859"/>
      <c r="AK67" s="1859"/>
      <c r="AL67" s="1859"/>
      <c r="AM67" s="1859"/>
      <c r="AN67" s="1859"/>
      <c r="AO67" s="1859"/>
      <c r="AP67" s="1859"/>
    </row>
    <row r="68" spans="1:42" ht="16.5" customHeight="1">
      <c r="K68" s="902" t="s">
        <v>3556</v>
      </c>
      <c r="S68" s="1860"/>
      <c r="T68" s="1860"/>
      <c r="U68" s="1860"/>
      <c r="V68" s="1860"/>
      <c r="W68" s="1860"/>
      <c r="X68" s="1860"/>
      <c r="Y68" s="1860"/>
      <c r="Z68" s="1860"/>
      <c r="AA68" s="1860"/>
      <c r="AB68" s="1860"/>
      <c r="AC68" s="1860"/>
      <c r="AD68" s="1860"/>
      <c r="AE68" s="1860"/>
      <c r="AF68" s="1860"/>
      <c r="AG68" s="1860"/>
      <c r="AH68" s="1860"/>
      <c r="AI68" s="1860"/>
      <c r="AJ68" s="1860"/>
      <c r="AK68" s="1860"/>
      <c r="AL68" s="1860"/>
      <c r="AM68" s="1860"/>
      <c r="AN68" s="1860"/>
      <c r="AO68" s="1860"/>
      <c r="AP68" s="1860"/>
    </row>
    <row r="69" spans="1:42" ht="16.5" customHeight="1">
      <c r="S69" s="1876"/>
      <c r="T69" s="1876"/>
      <c r="U69" s="1876"/>
      <c r="V69" s="1876"/>
      <c r="W69" s="1876"/>
      <c r="X69" s="1876"/>
      <c r="Y69" s="1876"/>
      <c r="Z69" s="1876"/>
      <c r="AA69" s="1876"/>
      <c r="AB69" s="1876"/>
      <c r="AC69" s="1876"/>
      <c r="AD69" s="1876"/>
      <c r="AE69" s="1876"/>
      <c r="AF69" s="1876"/>
      <c r="AG69" s="1876"/>
      <c r="AH69" s="1873"/>
      <c r="AI69" s="1873"/>
      <c r="AJ69" s="1873"/>
      <c r="AK69" s="1873"/>
      <c r="AL69" s="1873"/>
      <c r="AM69" s="1873"/>
      <c r="AN69" s="1873"/>
      <c r="AO69" s="1873"/>
      <c r="AP69" s="1873"/>
    </row>
    <row r="70" spans="1:42" ht="16.5" customHeight="1">
      <c r="K70" s="902" t="s">
        <v>3555</v>
      </c>
      <c r="S70" s="1874"/>
      <c r="T70" s="1874"/>
      <c r="U70" s="1874"/>
      <c r="V70" s="1874"/>
      <c r="W70" s="1874"/>
      <c r="X70" s="1874"/>
      <c r="Y70" s="1874"/>
      <c r="Z70" s="1874"/>
      <c r="AA70" s="1874"/>
      <c r="AB70" s="1874"/>
    </row>
    <row r="71" spans="1:42" ht="29.4" customHeight="1"/>
    <row r="72" spans="1:42" ht="16.5" customHeight="1">
      <c r="A72" s="939">
        <v>7</v>
      </c>
      <c r="B72" s="902" t="s">
        <v>3562</v>
      </c>
      <c r="G72" s="902" t="s">
        <v>3560</v>
      </c>
      <c r="K72" s="902" t="s">
        <v>3559</v>
      </c>
      <c r="S72" s="953" t="s">
        <v>3558</v>
      </c>
      <c r="T72" s="1858" t="str">
        <f>cst_wskakunin_owner7_ZIP</f>
        <v/>
      </c>
      <c r="U72" s="1875"/>
      <c r="V72" s="1875"/>
      <c r="W72" s="1875"/>
      <c r="X72" s="1013"/>
      <c r="Y72" s="1858" t="str">
        <f>cst_wskakunin_owner7__address</f>
        <v/>
      </c>
      <c r="Z72" s="1858"/>
      <c r="AA72" s="1858"/>
      <c r="AB72" s="1858"/>
      <c r="AC72" s="1858"/>
      <c r="AD72" s="1858"/>
      <c r="AE72" s="1858"/>
      <c r="AF72" s="1858"/>
      <c r="AG72" s="1858"/>
      <c r="AH72" s="1858"/>
      <c r="AI72" s="1858"/>
      <c r="AJ72" s="1858"/>
      <c r="AK72" s="1858"/>
      <c r="AL72" s="1858"/>
      <c r="AM72" s="1858"/>
      <c r="AN72" s="1858"/>
      <c r="AO72" s="1858"/>
      <c r="AP72" s="1858"/>
    </row>
    <row r="73" spans="1:42" ht="16.5" customHeight="1">
      <c r="K73" s="902" t="s">
        <v>3557</v>
      </c>
      <c r="S73" s="1853" t="str">
        <f>cst_wskakunin_owner7__space_KANA</f>
        <v/>
      </c>
      <c r="T73" s="1853"/>
      <c r="U73" s="1853"/>
      <c r="V73" s="1853"/>
      <c r="W73" s="1853"/>
      <c r="X73" s="1853"/>
      <c r="Y73" s="1853"/>
      <c r="Z73" s="1853"/>
      <c r="AA73" s="1853"/>
      <c r="AB73" s="1853"/>
      <c r="AC73" s="1853"/>
      <c r="AD73" s="1853"/>
      <c r="AE73" s="1853"/>
      <c r="AF73" s="1853"/>
      <c r="AG73" s="1853"/>
      <c r="AH73" s="1853"/>
      <c r="AI73" s="1853"/>
      <c r="AJ73" s="1853"/>
      <c r="AK73" s="1853"/>
      <c r="AL73" s="1853"/>
      <c r="AM73" s="1853"/>
      <c r="AN73" s="1853"/>
      <c r="AO73" s="1853"/>
      <c r="AP73" s="1853"/>
    </row>
    <row r="74" spans="1:42" ht="16.5" customHeight="1">
      <c r="K74" s="902" t="s">
        <v>3556</v>
      </c>
      <c r="S74" s="1858" t="str">
        <f>cst_wskakunin_owner7_JIMU_NAME</f>
        <v/>
      </c>
      <c r="T74" s="1858"/>
      <c r="U74" s="1858"/>
      <c r="V74" s="1858"/>
      <c r="W74" s="1858"/>
      <c r="X74" s="1858"/>
      <c r="Y74" s="1858"/>
      <c r="Z74" s="1858"/>
      <c r="AA74" s="1858"/>
      <c r="AB74" s="1858"/>
      <c r="AC74" s="1858"/>
      <c r="AD74" s="1858"/>
      <c r="AE74" s="1858"/>
      <c r="AF74" s="1858"/>
      <c r="AG74" s="1858"/>
      <c r="AH74" s="1858"/>
      <c r="AI74" s="1858"/>
      <c r="AJ74" s="1858"/>
      <c r="AK74" s="1858"/>
      <c r="AL74" s="1858"/>
      <c r="AM74" s="1858"/>
      <c r="AN74" s="1858"/>
      <c r="AO74" s="1858"/>
      <c r="AP74" s="1858"/>
    </row>
    <row r="75" spans="1:42" ht="16.5" customHeight="1">
      <c r="S75" s="1858" t="str">
        <f>cst_wskakunin_owner7_POST</f>
        <v/>
      </c>
      <c r="T75" s="1858"/>
      <c r="U75" s="1858"/>
      <c r="V75" s="1858"/>
      <c r="W75" s="1858"/>
      <c r="X75" s="1858"/>
      <c r="Y75" s="1858"/>
      <c r="Z75" s="1858"/>
      <c r="AA75" s="1858"/>
      <c r="AB75" s="1858"/>
      <c r="AC75" s="1858"/>
      <c r="AD75" s="1858"/>
      <c r="AE75" s="1858"/>
      <c r="AF75" s="1858"/>
      <c r="AG75" s="1858"/>
      <c r="AH75" s="1872" t="str">
        <f>cst_wskakunin_owner7_NAME</f>
        <v/>
      </c>
      <c r="AI75" s="1872"/>
      <c r="AJ75" s="1872"/>
      <c r="AK75" s="1872"/>
      <c r="AL75" s="1872"/>
      <c r="AM75" s="1872"/>
      <c r="AN75" s="1872"/>
      <c r="AO75" s="1872"/>
      <c r="AP75" s="1872"/>
    </row>
    <row r="76" spans="1:42" ht="16.5" customHeight="1">
      <c r="K76" s="902" t="s">
        <v>3555</v>
      </c>
      <c r="S76" s="1853" t="str">
        <f>cst_wskakunin_owner7_TEL</f>
        <v/>
      </c>
      <c r="T76" s="1853"/>
      <c r="U76" s="1853"/>
      <c r="V76" s="1853"/>
      <c r="W76" s="1853"/>
      <c r="X76" s="1853"/>
      <c r="Y76" s="1853"/>
      <c r="Z76" s="1853"/>
      <c r="AA76" s="1853"/>
      <c r="AB76" s="1853"/>
      <c r="AC76" s="953"/>
      <c r="AD76" s="953"/>
      <c r="AE76" s="953"/>
      <c r="AF76" s="953"/>
      <c r="AG76" s="953"/>
      <c r="AH76" s="953"/>
      <c r="AI76" s="953"/>
      <c r="AJ76" s="953"/>
      <c r="AK76" s="953"/>
      <c r="AL76" s="953"/>
      <c r="AM76" s="953"/>
      <c r="AN76" s="953"/>
      <c r="AO76" s="953"/>
      <c r="AP76" s="953"/>
    </row>
    <row r="77" spans="1:42" ht="6" customHeight="1"/>
    <row r="78" spans="1:42" ht="16.5" customHeight="1">
      <c r="R78" s="927"/>
      <c r="S78" s="927"/>
      <c r="T78" s="927"/>
      <c r="U78" s="927"/>
      <c r="V78" s="927"/>
      <c r="W78" s="927"/>
      <c r="X78" s="927"/>
    </row>
    <row r="79" spans="1:42" ht="16.5" customHeight="1">
      <c r="B79" s="902" t="s">
        <v>3561</v>
      </c>
      <c r="G79" s="902" t="s">
        <v>3560</v>
      </c>
      <c r="K79" s="902" t="s">
        <v>3559</v>
      </c>
      <c r="S79" s="902" t="s">
        <v>3558</v>
      </c>
      <c r="T79" s="1877"/>
      <c r="U79" s="1878"/>
      <c r="V79" s="1878"/>
      <c r="W79" s="1878"/>
      <c r="X79" s="938"/>
      <c r="Y79" s="1860"/>
      <c r="Z79" s="1860"/>
      <c r="AA79" s="1860"/>
      <c r="AB79" s="1860"/>
      <c r="AC79" s="1860"/>
      <c r="AD79" s="1860"/>
      <c r="AE79" s="1860"/>
      <c r="AF79" s="1860"/>
      <c r="AG79" s="1860"/>
      <c r="AH79" s="1860"/>
      <c r="AI79" s="1860"/>
      <c r="AJ79" s="1860"/>
      <c r="AK79" s="1860"/>
      <c r="AL79" s="1860"/>
      <c r="AM79" s="1860"/>
      <c r="AN79" s="1860"/>
      <c r="AO79" s="1860"/>
      <c r="AP79" s="1860"/>
    </row>
    <row r="80" spans="1:42" ht="16.5" customHeight="1">
      <c r="K80" s="902" t="s">
        <v>3557</v>
      </c>
      <c r="S80" s="1859"/>
      <c r="T80" s="1859"/>
      <c r="U80" s="1859"/>
      <c r="V80" s="1859"/>
      <c r="W80" s="1859"/>
      <c r="X80" s="1859"/>
      <c r="Y80" s="1859"/>
      <c r="Z80" s="1859"/>
      <c r="AA80" s="1859"/>
      <c r="AB80" s="1859"/>
      <c r="AC80" s="1859"/>
      <c r="AD80" s="1859"/>
      <c r="AE80" s="1859"/>
      <c r="AF80" s="1859"/>
      <c r="AG80" s="1859"/>
      <c r="AH80" s="1859"/>
      <c r="AI80" s="1859"/>
      <c r="AJ80" s="1859"/>
      <c r="AK80" s="1859"/>
      <c r="AL80" s="1859"/>
      <c r="AM80" s="1859"/>
      <c r="AN80" s="1859"/>
      <c r="AO80" s="1859"/>
      <c r="AP80" s="1859"/>
    </row>
    <row r="81" spans="1:42" ht="16.5" customHeight="1">
      <c r="K81" s="902" t="s">
        <v>3556</v>
      </c>
      <c r="S81" s="1860"/>
      <c r="T81" s="1860"/>
      <c r="U81" s="1860"/>
      <c r="V81" s="1860"/>
      <c r="W81" s="1860"/>
      <c r="X81" s="1860"/>
      <c r="Y81" s="1860"/>
      <c r="Z81" s="1860"/>
      <c r="AA81" s="1860"/>
      <c r="AB81" s="1860"/>
      <c r="AC81" s="1860"/>
      <c r="AD81" s="1860"/>
      <c r="AE81" s="1860"/>
      <c r="AF81" s="1860"/>
      <c r="AG81" s="1860"/>
      <c r="AH81" s="1860"/>
      <c r="AI81" s="1860"/>
      <c r="AJ81" s="1860"/>
      <c r="AK81" s="1860"/>
      <c r="AL81" s="1860"/>
      <c r="AM81" s="1860"/>
      <c r="AN81" s="1860"/>
      <c r="AO81" s="1860"/>
      <c r="AP81" s="1860"/>
    </row>
    <row r="82" spans="1:42" ht="16.5" customHeight="1">
      <c r="S82" s="1876"/>
      <c r="T82" s="1876"/>
      <c r="U82" s="1876"/>
      <c r="V82" s="1876"/>
      <c r="W82" s="1876"/>
      <c r="X82" s="1876"/>
      <c r="Y82" s="1876"/>
      <c r="Z82" s="1876"/>
      <c r="AA82" s="1876"/>
      <c r="AB82" s="1876"/>
      <c r="AC82" s="1876"/>
      <c r="AD82" s="1876"/>
      <c r="AE82" s="1876"/>
      <c r="AF82" s="1876"/>
      <c r="AG82" s="1876"/>
      <c r="AH82" s="1873"/>
      <c r="AI82" s="1873"/>
      <c r="AJ82" s="1873"/>
      <c r="AK82" s="1873"/>
      <c r="AL82" s="1873"/>
      <c r="AM82" s="1873"/>
      <c r="AN82" s="1873"/>
      <c r="AO82" s="1873"/>
      <c r="AP82" s="1873"/>
    </row>
    <row r="83" spans="1:42" ht="16.5" customHeight="1">
      <c r="K83" s="902" t="s">
        <v>3555</v>
      </c>
      <c r="S83" s="1874"/>
      <c r="T83" s="1874"/>
      <c r="U83" s="1874"/>
      <c r="V83" s="1874"/>
      <c r="W83" s="1874"/>
      <c r="X83" s="1874"/>
      <c r="Y83" s="1874"/>
      <c r="Z83" s="1874"/>
      <c r="AA83" s="1874"/>
      <c r="AB83" s="1874"/>
    </row>
    <row r="84" spans="1:42" ht="29.4" customHeight="1"/>
    <row r="85" spans="1:42" ht="16.5" customHeight="1">
      <c r="A85" s="939">
        <v>8</v>
      </c>
      <c r="B85" s="902" t="s">
        <v>3562</v>
      </c>
      <c r="G85" s="902" t="s">
        <v>3560</v>
      </c>
      <c r="K85" s="902" t="s">
        <v>3559</v>
      </c>
      <c r="S85" s="953" t="s">
        <v>3558</v>
      </c>
      <c r="T85" s="1858" t="str">
        <f>cst_wskakunin_owner8_ZIP</f>
        <v/>
      </c>
      <c r="U85" s="1875"/>
      <c r="V85" s="1875"/>
      <c r="W85" s="1875"/>
      <c r="X85" s="1013"/>
      <c r="Y85" s="1858" t="str">
        <f>cst_wskakunin_owner8__address</f>
        <v/>
      </c>
      <c r="Z85" s="1858"/>
      <c r="AA85" s="1858"/>
      <c r="AB85" s="1858"/>
      <c r="AC85" s="1858"/>
      <c r="AD85" s="1858"/>
      <c r="AE85" s="1858"/>
      <c r="AF85" s="1858"/>
      <c r="AG85" s="1858"/>
      <c r="AH85" s="1858"/>
      <c r="AI85" s="1858"/>
      <c r="AJ85" s="1858"/>
      <c r="AK85" s="1858"/>
      <c r="AL85" s="1858"/>
      <c r="AM85" s="1858"/>
      <c r="AN85" s="1858"/>
      <c r="AO85" s="1858"/>
      <c r="AP85" s="1858"/>
    </row>
    <row r="86" spans="1:42" ht="16.5" customHeight="1">
      <c r="K86" s="902" t="s">
        <v>3557</v>
      </c>
      <c r="S86" s="1853" t="str">
        <f>cst_wskakunin_owner8__space_KANA</f>
        <v/>
      </c>
      <c r="T86" s="1853"/>
      <c r="U86" s="1853"/>
      <c r="V86" s="1853"/>
      <c r="W86" s="1853"/>
      <c r="X86" s="1853"/>
      <c r="Y86" s="1853"/>
      <c r="Z86" s="1853"/>
      <c r="AA86" s="1853"/>
      <c r="AB86" s="1853"/>
      <c r="AC86" s="1853"/>
      <c r="AD86" s="1853"/>
      <c r="AE86" s="1853"/>
      <c r="AF86" s="1853"/>
      <c r="AG86" s="1853"/>
      <c r="AH86" s="1853"/>
      <c r="AI86" s="1853"/>
      <c r="AJ86" s="1853"/>
      <c r="AK86" s="1853"/>
      <c r="AL86" s="1853"/>
      <c r="AM86" s="1853"/>
      <c r="AN86" s="1853"/>
      <c r="AO86" s="1853"/>
      <c r="AP86" s="1853"/>
    </row>
    <row r="87" spans="1:42" ht="16.5" customHeight="1">
      <c r="K87" s="902" t="s">
        <v>3556</v>
      </c>
      <c r="S87" s="1858" t="str">
        <f>cst_wskakunin_owner8_JIMU_NAME</f>
        <v/>
      </c>
      <c r="T87" s="1858"/>
      <c r="U87" s="1858"/>
      <c r="V87" s="1858"/>
      <c r="W87" s="1858"/>
      <c r="X87" s="1858"/>
      <c r="Y87" s="1858"/>
      <c r="Z87" s="1858"/>
      <c r="AA87" s="1858"/>
      <c r="AB87" s="1858"/>
      <c r="AC87" s="1858"/>
      <c r="AD87" s="1858"/>
      <c r="AE87" s="1858"/>
      <c r="AF87" s="1858"/>
      <c r="AG87" s="1858"/>
      <c r="AH87" s="1858"/>
      <c r="AI87" s="1858"/>
      <c r="AJ87" s="1858"/>
      <c r="AK87" s="1858"/>
      <c r="AL87" s="1858"/>
      <c r="AM87" s="1858"/>
      <c r="AN87" s="1858"/>
      <c r="AO87" s="1858"/>
      <c r="AP87" s="1858"/>
    </row>
    <row r="88" spans="1:42" ht="16.5" customHeight="1">
      <c r="S88" s="1858" t="str">
        <f>cst_wskakunin_owner8_POST</f>
        <v/>
      </c>
      <c r="T88" s="1858"/>
      <c r="U88" s="1858"/>
      <c r="V88" s="1858"/>
      <c r="W88" s="1858"/>
      <c r="X88" s="1858"/>
      <c r="Y88" s="1858"/>
      <c r="Z88" s="1858"/>
      <c r="AA88" s="1858"/>
      <c r="AB88" s="1858"/>
      <c r="AC88" s="1858"/>
      <c r="AD88" s="1858"/>
      <c r="AE88" s="1858"/>
      <c r="AF88" s="1858"/>
      <c r="AG88" s="1858"/>
      <c r="AH88" s="1872" t="str">
        <f>cst_wskakunin_owner8_NAME</f>
        <v/>
      </c>
      <c r="AI88" s="1872"/>
      <c r="AJ88" s="1872"/>
      <c r="AK88" s="1872"/>
      <c r="AL88" s="1872"/>
      <c r="AM88" s="1872"/>
      <c r="AN88" s="1872"/>
      <c r="AO88" s="1872"/>
      <c r="AP88" s="1872"/>
    </row>
    <row r="89" spans="1:42" ht="16.5" customHeight="1">
      <c r="K89" s="902" t="s">
        <v>3555</v>
      </c>
      <c r="S89" s="1853" t="str">
        <f>cst_wskakunin_owner8_TEL</f>
        <v/>
      </c>
      <c r="T89" s="1853"/>
      <c r="U89" s="1853"/>
      <c r="V89" s="1853"/>
      <c r="W89" s="1853"/>
      <c r="X89" s="1853"/>
      <c r="Y89" s="1853"/>
      <c r="Z89" s="1853"/>
      <c r="AA89" s="1853"/>
      <c r="AB89" s="1853"/>
      <c r="AC89" s="953"/>
      <c r="AD89" s="953"/>
      <c r="AE89" s="953"/>
      <c r="AF89" s="953"/>
      <c r="AG89" s="953"/>
      <c r="AH89" s="953"/>
      <c r="AI89" s="953"/>
      <c r="AJ89" s="953"/>
      <c r="AK89" s="953"/>
      <c r="AL89" s="953"/>
      <c r="AM89" s="953"/>
      <c r="AN89" s="953"/>
      <c r="AO89" s="953"/>
      <c r="AP89" s="953"/>
    </row>
    <row r="90" spans="1:42" ht="6" customHeight="1"/>
    <row r="91" spans="1:42" ht="16.5" customHeight="1">
      <c r="R91" s="927"/>
      <c r="S91" s="927"/>
      <c r="T91" s="927"/>
      <c r="U91" s="927"/>
      <c r="V91" s="927"/>
      <c r="W91" s="927"/>
      <c r="X91" s="927"/>
    </row>
    <row r="92" spans="1:42" ht="16.5" customHeight="1">
      <c r="B92" s="902" t="s">
        <v>3561</v>
      </c>
      <c r="G92" s="902" t="s">
        <v>3560</v>
      </c>
      <c r="K92" s="902" t="s">
        <v>3559</v>
      </c>
      <c r="S92" s="902" t="s">
        <v>3558</v>
      </c>
      <c r="T92" s="1877"/>
      <c r="U92" s="1878"/>
      <c r="V92" s="1878"/>
      <c r="W92" s="1878"/>
      <c r="X92" s="938"/>
      <c r="Y92" s="1860"/>
      <c r="Z92" s="1860"/>
      <c r="AA92" s="1860"/>
      <c r="AB92" s="1860"/>
      <c r="AC92" s="1860"/>
      <c r="AD92" s="1860"/>
      <c r="AE92" s="1860"/>
      <c r="AF92" s="1860"/>
      <c r="AG92" s="1860"/>
      <c r="AH92" s="1860"/>
      <c r="AI92" s="1860"/>
      <c r="AJ92" s="1860"/>
      <c r="AK92" s="1860"/>
      <c r="AL92" s="1860"/>
      <c r="AM92" s="1860"/>
      <c r="AN92" s="1860"/>
      <c r="AO92" s="1860"/>
      <c r="AP92" s="1860"/>
    </row>
    <row r="93" spans="1:42" ht="16.5" customHeight="1">
      <c r="K93" s="902" t="s">
        <v>3557</v>
      </c>
      <c r="S93" s="1859"/>
      <c r="T93" s="1859"/>
      <c r="U93" s="1859"/>
      <c r="V93" s="1859"/>
      <c r="W93" s="1859"/>
      <c r="X93" s="1859"/>
      <c r="Y93" s="1859"/>
      <c r="Z93" s="1859"/>
      <c r="AA93" s="1859"/>
      <c r="AB93" s="1859"/>
      <c r="AC93" s="1859"/>
      <c r="AD93" s="1859"/>
      <c r="AE93" s="1859"/>
      <c r="AF93" s="1859"/>
      <c r="AG93" s="1859"/>
      <c r="AH93" s="1859"/>
      <c r="AI93" s="1859"/>
      <c r="AJ93" s="1859"/>
      <c r="AK93" s="1859"/>
      <c r="AL93" s="1859"/>
      <c r="AM93" s="1859"/>
      <c r="AN93" s="1859"/>
      <c r="AO93" s="1859"/>
      <c r="AP93" s="1859"/>
    </row>
    <row r="94" spans="1:42" ht="16.5" customHeight="1">
      <c r="K94" s="902" t="s">
        <v>3556</v>
      </c>
      <c r="S94" s="1860"/>
      <c r="T94" s="1860"/>
      <c r="U94" s="1860"/>
      <c r="V94" s="1860"/>
      <c r="W94" s="1860"/>
      <c r="X94" s="1860"/>
      <c r="Y94" s="1860"/>
      <c r="Z94" s="1860"/>
      <c r="AA94" s="1860"/>
      <c r="AB94" s="1860"/>
      <c r="AC94" s="1860"/>
      <c r="AD94" s="1860"/>
      <c r="AE94" s="1860"/>
      <c r="AF94" s="1860"/>
      <c r="AG94" s="1860"/>
      <c r="AH94" s="1860"/>
      <c r="AI94" s="1860"/>
      <c r="AJ94" s="1860"/>
      <c r="AK94" s="1860"/>
      <c r="AL94" s="1860"/>
      <c r="AM94" s="1860"/>
      <c r="AN94" s="1860"/>
      <c r="AO94" s="1860"/>
      <c r="AP94" s="1860"/>
    </row>
    <row r="95" spans="1:42" ht="16.5" customHeight="1">
      <c r="S95" s="1876"/>
      <c r="T95" s="1876"/>
      <c r="U95" s="1876"/>
      <c r="V95" s="1876"/>
      <c r="W95" s="1876"/>
      <c r="X95" s="1876"/>
      <c r="Y95" s="1876"/>
      <c r="Z95" s="1876"/>
      <c r="AA95" s="1876"/>
      <c r="AB95" s="1876"/>
      <c r="AC95" s="1876"/>
      <c r="AD95" s="1876"/>
      <c r="AE95" s="1876"/>
      <c r="AF95" s="1876"/>
      <c r="AG95" s="1876"/>
      <c r="AH95" s="1873"/>
      <c r="AI95" s="1873"/>
      <c r="AJ95" s="1873"/>
      <c r="AK95" s="1873"/>
      <c r="AL95" s="1873"/>
      <c r="AM95" s="1873"/>
      <c r="AN95" s="1873"/>
      <c r="AO95" s="1873"/>
      <c r="AP95" s="1873"/>
    </row>
    <row r="96" spans="1:42" ht="16.5" customHeight="1">
      <c r="K96" s="902" t="s">
        <v>3555</v>
      </c>
      <c r="S96" s="1874"/>
      <c r="T96" s="1874"/>
      <c r="U96" s="1874"/>
      <c r="V96" s="1874"/>
      <c r="W96" s="1874"/>
      <c r="X96" s="1874"/>
      <c r="Y96" s="1874"/>
      <c r="Z96" s="1874"/>
      <c r="AA96" s="1874"/>
      <c r="AB96" s="1874"/>
    </row>
  </sheetData>
  <mergeCells count="98">
    <mergeCell ref="S37:AB37"/>
    <mergeCell ref="AH49:AP49"/>
    <mergeCell ref="S50:AB50"/>
    <mergeCell ref="AH62:AP62"/>
    <mergeCell ref="S63:AB63"/>
    <mergeCell ref="AH43:AP43"/>
    <mergeCell ref="S44:AB44"/>
    <mergeCell ref="AH56:AP56"/>
    <mergeCell ref="S57:AB57"/>
    <mergeCell ref="S42:AP42"/>
    <mergeCell ref="S43:AG43"/>
    <mergeCell ref="T40:W40"/>
    <mergeCell ref="Y40:AP40"/>
    <mergeCell ref="S41:AP41"/>
    <mergeCell ref="T46:W46"/>
    <mergeCell ref="Y46:AP46"/>
    <mergeCell ref="S34:AP34"/>
    <mergeCell ref="AH23:AP23"/>
    <mergeCell ref="S24:AB24"/>
    <mergeCell ref="AH36:AP36"/>
    <mergeCell ref="AH30:AP30"/>
    <mergeCell ref="S31:AB31"/>
    <mergeCell ref="S29:AP29"/>
    <mergeCell ref="S30:AG30"/>
    <mergeCell ref="T33:W33"/>
    <mergeCell ref="Y33:AP33"/>
    <mergeCell ref="S35:AP35"/>
    <mergeCell ref="S36:AG36"/>
    <mergeCell ref="T27:W27"/>
    <mergeCell ref="Y27:AP27"/>
    <mergeCell ref="S28:AP28"/>
    <mergeCell ref="S23:AG23"/>
    <mergeCell ref="T7:W7"/>
    <mergeCell ref="Y7:AP7"/>
    <mergeCell ref="S8:AP8"/>
    <mergeCell ref="S9:AP9"/>
    <mergeCell ref="S10:AG10"/>
    <mergeCell ref="AH10:AP10"/>
    <mergeCell ref="T14:W14"/>
    <mergeCell ref="Y14:AP14"/>
    <mergeCell ref="S15:AP15"/>
    <mergeCell ref="S16:AP16"/>
    <mergeCell ref="S11:AB11"/>
    <mergeCell ref="S17:AG17"/>
    <mergeCell ref="T20:W20"/>
    <mergeCell ref="Y20:AP20"/>
    <mergeCell ref="S21:AP21"/>
    <mergeCell ref="S22:AP22"/>
    <mergeCell ref="AH17:AP17"/>
    <mergeCell ref="S18:AB18"/>
    <mergeCell ref="S47:AP47"/>
    <mergeCell ref="S48:AP48"/>
    <mergeCell ref="S49:AG49"/>
    <mergeCell ref="S62:AG62"/>
    <mergeCell ref="T53:W53"/>
    <mergeCell ref="Y53:AP53"/>
    <mergeCell ref="S54:AP54"/>
    <mergeCell ref="S55:AP55"/>
    <mergeCell ref="S56:AG56"/>
    <mergeCell ref="T59:W59"/>
    <mergeCell ref="Y59:AP59"/>
    <mergeCell ref="S60:AP60"/>
    <mergeCell ref="S61:AP61"/>
    <mergeCell ref="S75:AG75"/>
    <mergeCell ref="T66:W66"/>
    <mergeCell ref="Y66:AP66"/>
    <mergeCell ref="S67:AP67"/>
    <mergeCell ref="S68:AP68"/>
    <mergeCell ref="S69:AG69"/>
    <mergeCell ref="AH75:AP75"/>
    <mergeCell ref="AH69:AP69"/>
    <mergeCell ref="S70:AB70"/>
    <mergeCell ref="T72:W72"/>
    <mergeCell ref="Y72:AP72"/>
    <mergeCell ref="S73:AP73"/>
    <mergeCell ref="S74:AP74"/>
    <mergeCell ref="S76:AB76"/>
    <mergeCell ref="AH88:AP88"/>
    <mergeCell ref="AH82:AP82"/>
    <mergeCell ref="S83:AB83"/>
    <mergeCell ref="T85:W85"/>
    <mergeCell ref="Y85:AP85"/>
    <mergeCell ref="S86:AP86"/>
    <mergeCell ref="S87:AP87"/>
    <mergeCell ref="S88:AG88"/>
    <mergeCell ref="T79:W79"/>
    <mergeCell ref="Y79:AP79"/>
    <mergeCell ref="S80:AP80"/>
    <mergeCell ref="S81:AP81"/>
    <mergeCell ref="S82:AG82"/>
    <mergeCell ref="S89:AB89"/>
    <mergeCell ref="AH95:AP95"/>
    <mergeCell ref="S96:AB96"/>
    <mergeCell ref="S95:AG95"/>
    <mergeCell ref="T92:W92"/>
    <mergeCell ref="Y92:AP92"/>
    <mergeCell ref="S93:AP93"/>
    <mergeCell ref="S94:AP94"/>
  </mergeCells>
  <phoneticPr fontId="122"/>
  <dataValidations count="1">
    <dataValidation allowBlank="1" showInputMessage="1" sqref="S8:AP8 S15:AP15 S21:AP21 S28:AP28 S34:AP34 S41:AP41 S47:AP47 S54:AP54 S60:AP60 S67:AP67 S73:AP73 S80:AP80 S86:AP86 S93:AP93" xr:uid="{00000000-0002-0000-2600-000000000000}"/>
  </dataValidations>
  <pageMargins left="0.59055118110236227" right="0.39370078740157483" top="0.39370078740157483" bottom="0.39370078740157483" header="0.51181102362204722" footer="0.51181102362204722"/>
  <pageSetup paperSize="9" scale="97" orientation="portrait" blackAndWhite="1" r:id="rId1"/>
  <rowBreaks count="1" manualBreakCount="1">
    <brk id="45" max="16383" man="1"/>
  </rowBreaks>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P22"/>
  <sheetViews>
    <sheetView workbookViewId="0"/>
  </sheetViews>
  <sheetFormatPr defaultColWidth="2.109375" defaultRowHeight="21" customHeight="1"/>
  <cols>
    <col min="1" max="1" width="2.109375" style="940" customWidth="1"/>
    <col min="2" max="16384" width="2.109375" style="940"/>
  </cols>
  <sheetData>
    <row r="1" spans="1:42" ht="21" customHeight="1">
      <c r="A1" s="902" t="s">
        <v>3573</v>
      </c>
    </row>
    <row r="3" spans="1:42" ht="21" customHeight="1">
      <c r="A3" s="941" t="s">
        <v>3576</v>
      </c>
      <c r="B3" s="94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c r="AH3" s="941"/>
      <c r="AI3" s="941"/>
      <c r="AJ3" s="941"/>
      <c r="AK3" s="941"/>
      <c r="AL3" s="941"/>
      <c r="AM3" s="941"/>
      <c r="AN3" s="941"/>
      <c r="AO3" s="941"/>
      <c r="AP3" s="941"/>
    </row>
    <row r="4" spans="1:42" ht="21" customHeight="1">
      <c r="A4" s="940" t="s">
        <v>3581</v>
      </c>
    </row>
    <row r="5" spans="1:42" ht="21" customHeight="1">
      <c r="A5" s="940" t="s">
        <v>3579</v>
      </c>
    </row>
    <row r="6" spans="1:42" ht="21" customHeight="1">
      <c r="B6" s="940" t="s">
        <v>3495</v>
      </c>
      <c r="K6" s="1917" t="str">
        <f>cst_wskakunin_dairi1_SIKAKU</f>
        <v>一級</v>
      </c>
      <c r="L6" s="1917"/>
      <c r="M6" s="1917"/>
      <c r="N6" s="940" t="s">
        <v>3494</v>
      </c>
      <c r="T6" s="942" t="s">
        <v>2</v>
      </c>
      <c r="U6" s="1917" t="str">
        <f>cst_wskakunin_dairi1_TOUROKU_KIKAN</f>
        <v>国土交通大臣</v>
      </c>
      <c r="V6" s="1917"/>
      <c r="W6" s="1917"/>
      <c r="X6" s="1917"/>
      <c r="Y6" s="1917"/>
      <c r="Z6" s="1917"/>
      <c r="AA6" s="940" t="s">
        <v>3</v>
      </c>
      <c r="AB6" s="940" t="s">
        <v>3578</v>
      </c>
      <c r="AF6" s="942" t="s">
        <v>3065</v>
      </c>
      <c r="AG6" s="1916" t="str">
        <f>cst_wskakunin_dairi1_KENTIKUSI_NO</f>
        <v>111111</v>
      </c>
      <c r="AH6" s="1916"/>
      <c r="AI6" s="1916"/>
      <c r="AJ6" s="1916"/>
      <c r="AK6" s="940" t="s">
        <v>381</v>
      </c>
    </row>
    <row r="7" spans="1:42" ht="21" customHeight="1">
      <c r="B7" s="940" t="s">
        <v>3492</v>
      </c>
      <c r="K7" s="1890" t="str">
        <f>cst_wskakunin_dairi1_NAME</f>
        <v>藤田　ゆき子</v>
      </c>
      <c r="L7" s="1890"/>
      <c r="M7" s="1890"/>
      <c r="N7" s="1890"/>
      <c r="O7" s="1890"/>
      <c r="P7" s="1890"/>
      <c r="Q7" s="1890"/>
      <c r="R7" s="1890"/>
      <c r="S7" s="1890"/>
      <c r="T7" s="1890"/>
      <c r="U7" s="1890"/>
      <c r="V7" s="1890"/>
      <c r="W7" s="1890"/>
      <c r="X7" s="1890"/>
      <c r="Y7" s="1890"/>
      <c r="Z7" s="1890"/>
      <c r="AA7" s="1890"/>
      <c r="AB7" s="1890"/>
      <c r="AC7" s="1890"/>
      <c r="AD7" s="1890"/>
      <c r="AE7" s="1890"/>
      <c r="AF7" s="1890"/>
      <c r="AG7" s="1890"/>
      <c r="AH7" s="1890"/>
      <c r="AI7" s="1890"/>
      <c r="AJ7" s="1890"/>
      <c r="AK7" s="1890"/>
      <c r="AL7" s="1890"/>
      <c r="AM7" s="1890"/>
      <c r="AN7" s="1890"/>
      <c r="AO7" s="1890"/>
      <c r="AP7" s="1890"/>
    </row>
    <row r="8" spans="1:42" ht="21" customHeight="1">
      <c r="B8" s="940" t="s">
        <v>3491</v>
      </c>
      <c r="K8" s="1917" t="str">
        <f>cst_wskakunin_dairi1_JIMU_SIKAKU</f>
        <v>一級</v>
      </c>
      <c r="L8" s="1917"/>
      <c r="M8" s="1917"/>
      <c r="N8" s="940" t="s">
        <v>3490</v>
      </c>
      <c r="T8" s="942" t="s">
        <v>2</v>
      </c>
      <c r="U8" s="1917" t="str">
        <f>cst_wskakunin_dairi1_JIMU_TOUROKU_KIKAN</f>
        <v>東京都</v>
      </c>
      <c r="V8" s="1917"/>
      <c r="W8" s="1917"/>
      <c r="X8" s="1917"/>
      <c r="Y8" s="940" t="s">
        <v>3</v>
      </c>
      <c r="Z8" s="940" t="s">
        <v>3577</v>
      </c>
      <c r="AF8" s="942" t="s">
        <v>3065</v>
      </c>
      <c r="AG8" s="1916" t="str">
        <f>cst_wskakunin_dairi1_JIMU_NO</f>
        <v>11111</v>
      </c>
      <c r="AH8" s="1916"/>
      <c r="AI8" s="1916"/>
      <c r="AJ8" s="1916"/>
      <c r="AK8" s="940" t="s">
        <v>381</v>
      </c>
    </row>
    <row r="9" spans="1:42" ht="21" customHeight="1">
      <c r="K9" s="1890" t="str">
        <f>cst_wskakunin_dairi1_JIMU_NAME</f>
        <v>一級建築士事務所　UHEC</v>
      </c>
      <c r="L9" s="1890"/>
      <c r="M9" s="1890"/>
      <c r="N9" s="1890"/>
      <c r="O9" s="1890"/>
      <c r="P9" s="1890"/>
      <c r="Q9" s="1890"/>
      <c r="R9" s="1890"/>
      <c r="S9" s="1890"/>
      <c r="T9" s="1890"/>
      <c r="U9" s="1890"/>
      <c r="V9" s="1890"/>
      <c r="W9" s="1890"/>
      <c r="X9" s="1890"/>
      <c r="Y9" s="1890"/>
      <c r="Z9" s="1890"/>
      <c r="AA9" s="1890"/>
      <c r="AB9" s="1890"/>
      <c r="AC9" s="1890"/>
      <c r="AD9" s="1890"/>
      <c r="AE9" s="1890"/>
      <c r="AF9" s="1890"/>
      <c r="AG9" s="1890"/>
      <c r="AH9" s="1890"/>
      <c r="AI9" s="1890"/>
      <c r="AJ9" s="1890"/>
      <c r="AK9" s="1890"/>
      <c r="AL9" s="1890"/>
      <c r="AM9" s="1890"/>
      <c r="AN9" s="1890"/>
      <c r="AO9" s="1890"/>
      <c r="AP9" s="1890"/>
    </row>
    <row r="10" spans="1:42" ht="21" customHeight="1">
      <c r="B10" s="940" t="s">
        <v>3488</v>
      </c>
      <c r="K10" s="1871" t="str">
        <f>cst_wskakunin_dairi1_ZIP</f>
        <v>105-0001</v>
      </c>
      <c r="L10" s="1871"/>
      <c r="M10" s="1871"/>
      <c r="N10" s="1871"/>
      <c r="O10" s="1871"/>
      <c r="P10" s="1871"/>
    </row>
    <row r="11" spans="1:42" ht="21" customHeight="1">
      <c r="B11" s="940" t="s">
        <v>3487</v>
      </c>
      <c r="K11" s="1890" t="str">
        <f>cst_wskakunin_dairi1__address</f>
        <v>東京都港区虎ノ門1-1-21</v>
      </c>
      <c r="L11" s="1890"/>
      <c r="M11" s="1890"/>
      <c r="N11" s="1890"/>
      <c r="O11" s="1890"/>
      <c r="P11" s="1890"/>
      <c r="Q11" s="1890"/>
      <c r="R11" s="1890"/>
      <c r="S11" s="1890"/>
      <c r="T11" s="1890"/>
      <c r="U11" s="1890"/>
      <c r="V11" s="1890"/>
      <c r="W11" s="1890"/>
      <c r="X11" s="1890"/>
      <c r="Y11" s="1890"/>
      <c r="Z11" s="1890"/>
      <c r="AA11" s="1890"/>
      <c r="AB11" s="1890"/>
      <c r="AC11" s="1890"/>
      <c r="AD11" s="1890"/>
      <c r="AE11" s="1890"/>
      <c r="AF11" s="1890"/>
      <c r="AG11" s="1890"/>
      <c r="AH11" s="1890"/>
      <c r="AI11" s="1890"/>
      <c r="AJ11" s="1890"/>
      <c r="AK11" s="1890"/>
      <c r="AL11" s="1890"/>
      <c r="AM11" s="1890"/>
      <c r="AN11" s="1890"/>
      <c r="AO11" s="1890"/>
      <c r="AP11" s="1890"/>
    </row>
    <row r="12" spans="1:42" ht="21" customHeight="1">
      <c r="B12" s="940" t="s">
        <v>3555</v>
      </c>
      <c r="K12" s="1871" t="str">
        <f>cst_wskakunin_dairi1_TEL</f>
        <v>03-3504-2386</v>
      </c>
      <c r="L12" s="1871"/>
      <c r="M12" s="1871"/>
      <c r="N12" s="1871"/>
      <c r="O12" s="1871"/>
      <c r="P12" s="1871"/>
    </row>
    <row r="14" spans="1:42" ht="21" customHeight="1">
      <c r="A14" s="940" t="s">
        <v>3580</v>
      </c>
    </row>
    <row r="15" spans="1:42" ht="21" customHeight="1">
      <c r="A15" s="940" t="s">
        <v>3579</v>
      </c>
    </row>
    <row r="16" spans="1:42" ht="21" customHeight="1">
      <c r="B16" s="940" t="s">
        <v>3495</v>
      </c>
      <c r="K16" s="1918"/>
      <c r="L16" s="1918"/>
      <c r="M16" s="1918"/>
      <c r="N16" s="940" t="s">
        <v>3494</v>
      </c>
      <c r="T16" s="942" t="s">
        <v>2</v>
      </c>
      <c r="U16" s="1918"/>
      <c r="V16" s="1918"/>
      <c r="W16" s="1918"/>
      <c r="X16" s="1918"/>
      <c r="Y16" s="1918"/>
      <c r="Z16" s="1918"/>
      <c r="AA16" s="940" t="s">
        <v>3</v>
      </c>
      <c r="AB16" s="940" t="s">
        <v>3578</v>
      </c>
      <c r="AF16" s="942" t="s">
        <v>3065</v>
      </c>
      <c r="AG16" s="1919"/>
      <c r="AH16" s="1919"/>
      <c r="AI16" s="1919"/>
      <c r="AJ16" s="1919"/>
      <c r="AK16" s="940" t="s">
        <v>381</v>
      </c>
    </row>
    <row r="17" spans="2:42" ht="21" customHeight="1">
      <c r="B17" s="940" t="s">
        <v>3492</v>
      </c>
      <c r="K17" s="1915"/>
      <c r="L17" s="1878"/>
      <c r="M17" s="1878"/>
      <c r="N17" s="1878"/>
      <c r="O17" s="1878"/>
      <c r="P17" s="1878"/>
      <c r="Q17" s="1878"/>
      <c r="R17" s="1878"/>
      <c r="S17" s="1878"/>
      <c r="T17" s="1878"/>
      <c r="U17" s="1878"/>
      <c r="V17" s="1878"/>
      <c r="W17" s="1878"/>
      <c r="X17" s="1878"/>
      <c r="Y17" s="1878"/>
      <c r="Z17" s="1878"/>
      <c r="AA17" s="1878"/>
      <c r="AB17" s="1878"/>
      <c r="AC17" s="1878"/>
      <c r="AD17" s="1878"/>
      <c r="AE17" s="1878"/>
      <c r="AF17" s="1878"/>
      <c r="AG17" s="1878"/>
      <c r="AH17" s="1878"/>
      <c r="AI17" s="1878"/>
      <c r="AJ17" s="1878"/>
      <c r="AK17" s="1878"/>
      <c r="AL17" s="1878"/>
      <c r="AM17" s="1878"/>
      <c r="AN17" s="1878"/>
      <c r="AO17" s="1878"/>
      <c r="AP17" s="1878"/>
    </row>
    <row r="18" spans="2:42" ht="21" customHeight="1">
      <c r="B18" s="940" t="s">
        <v>3491</v>
      </c>
      <c r="K18" s="1918"/>
      <c r="L18" s="1918"/>
      <c r="M18" s="1918"/>
      <c r="N18" s="940" t="s">
        <v>3490</v>
      </c>
      <c r="T18" s="942" t="s">
        <v>2</v>
      </c>
      <c r="U18" s="1918"/>
      <c r="V18" s="1880"/>
      <c r="W18" s="1880"/>
      <c r="X18" s="1880"/>
      <c r="Y18" s="940" t="s">
        <v>3</v>
      </c>
      <c r="Z18" s="940" t="s">
        <v>3577</v>
      </c>
      <c r="AF18" s="942" t="s">
        <v>3065</v>
      </c>
      <c r="AG18" s="1919"/>
      <c r="AH18" s="1919"/>
      <c r="AI18" s="1919"/>
      <c r="AJ18" s="1919"/>
      <c r="AK18" s="940" t="s">
        <v>381</v>
      </c>
    </row>
    <row r="19" spans="2:42" ht="21" customHeight="1">
      <c r="K19" s="1915"/>
      <c r="L19" s="1878"/>
      <c r="M19" s="1878"/>
      <c r="N19" s="1878"/>
      <c r="O19" s="1878"/>
      <c r="P19" s="1878"/>
      <c r="Q19" s="1878"/>
      <c r="R19" s="1878"/>
      <c r="S19" s="1878"/>
      <c r="T19" s="1878"/>
      <c r="U19" s="1878"/>
      <c r="V19" s="1878"/>
      <c r="W19" s="1878"/>
      <c r="X19" s="1878"/>
      <c r="Y19" s="1878"/>
      <c r="Z19" s="1878"/>
      <c r="AA19" s="1878"/>
      <c r="AB19" s="1878"/>
      <c r="AC19" s="1878"/>
      <c r="AD19" s="1878"/>
      <c r="AE19" s="1878"/>
      <c r="AF19" s="1878"/>
      <c r="AG19" s="1878"/>
      <c r="AH19" s="1878"/>
      <c r="AI19" s="1878"/>
      <c r="AJ19" s="1878"/>
      <c r="AK19" s="1878"/>
      <c r="AL19" s="1878"/>
      <c r="AM19" s="1878"/>
      <c r="AN19" s="1878"/>
      <c r="AO19" s="1878"/>
      <c r="AP19" s="1878"/>
    </row>
    <row r="20" spans="2:42" ht="21" customHeight="1">
      <c r="B20" s="940" t="s">
        <v>3488</v>
      </c>
      <c r="K20" s="1920"/>
      <c r="L20" s="1920"/>
      <c r="M20" s="1920"/>
      <c r="N20" s="1920"/>
      <c r="O20" s="1920"/>
      <c r="P20" s="1920"/>
    </row>
    <row r="21" spans="2:42" ht="21" customHeight="1">
      <c r="B21" s="940" t="s">
        <v>3487</v>
      </c>
      <c r="K21" s="1915"/>
      <c r="L21" s="1878"/>
      <c r="M21" s="1878"/>
      <c r="N21" s="1878"/>
      <c r="O21" s="1878"/>
      <c r="P21" s="1878"/>
      <c r="Q21" s="1878"/>
      <c r="R21" s="1878"/>
      <c r="S21" s="1878"/>
      <c r="T21" s="1878"/>
      <c r="U21" s="1878"/>
      <c r="V21" s="1878"/>
      <c r="W21" s="1878"/>
      <c r="X21" s="1878"/>
      <c r="Y21" s="1878"/>
      <c r="Z21" s="1878"/>
      <c r="AA21" s="1878"/>
      <c r="AB21" s="1878"/>
      <c r="AC21" s="1878"/>
      <c r="AD21" s="1878"/>
      <c r="AE21" s="1878"/>
      <c r="AF21" s="1878"/>
      <c r="AG21" s="1878"/>
      <c r="AH21" s="1878"/>
      <c r="AI21" s="1878"/>
      <c r="AJ21" s="1878"/>
      <c r="AK21" s="1878"/>
      <c r="AL21" s="1878"/>
      <c r="AM21" s="1878"/>
      <c r="AN21" s="1878"/>
      <c r="AO21" s="1878"/>
      <c r="AP21" s="1878"/>
    </row>
    <row r="22" spans="2:42" ht="21" customHeight="1">
      <c r="B22" s="940" t="s">
        <v>3555</v>
      </c>
      <c r="K22" s="1920"/>
      <c r="L22" s="1920"/>
      <c r="M22" s="1920"/>
      <c r="N22" s="1920"/>
      <c r="O22" s="1920"/>
      <c r="P22" s="1920"/>
    </row>
  </sheetData>
  <mergeCells count="22">
    <mergeCell ref="K22:P22"/>
    <mergeCell ref="K18:M18"/>
    <mergeCell ref="U18:X18"/>
    <mergeCell ref="AG18:AJ18"/>
    <mergeCell ref="K19:AP19"/>
    <mergeCell ref="K20:P20"/>
    <mergeCell ref="K21:AP21"/>
    <mergeCell ref="K17:AP17"/>
    <mergeCell ref="K10:P10"/>
    <mergeCell ref="AG6:AJ6"/>
    <mergeCell ref="AG8:AJ8"/>
    <mergeCell ref="K9:AP9"/>
    <mergeCell ref="K7:AP7"/>
    <mergeCell ref="K8:M8"/>
    <mergeCell ref="K6:M6"/>
    <mergeCell ref="U8:X8"/>
    <mergeCell ref="U6:Z6"/>
    <mergeCell ref="K11:AP11"/>
    <mergeCell ref="K16:M16"/>
    <mergeCell ref="U16:Z16"/>
    <mergeCell ref="AG16:AJ16"/>
    <mergeCell ref="K12:P12"/>
  </mergeCells>
  <phoneticPr fontId="122"/>
  <dataValidations count="2">
    <dataValidation type="list" allowBlank="1" showInputMessage="1" showErrorMessage="1" sqref="K16:M16 K18:M18" xr:uid="{00000000-0002-0000-2700-000000000000}">
      <formula1>"一級,二級"</formula1>
    </dataValidation>
    <dataValidation type="list" allowBlank="1" showInputMessage="1" sqref="K6:M6 K8:M8" xr:uid="{00000000-0002-0000-2700-000001000000}">
      <formula1>"一級,二級"</formula1>
    </dataValidation>
  </dataValidations>
  <pageMargins left="0.59055118110236227" right="0.39370078740157483" top="0.78740157480314965" bottom="0.59055118110236227" header="0.51181102362204722" footer="0.51181102362204722"/>
  <pageSetup paperSize="9"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H23"/>
  <sheetViews>
    <sheetView workbookViewId="0"/>
  </sheetViews>
  <sheetFormatPr defaultColWidth="9" defaultRowHeight="13.2"/>
  <cols>
    <col min="1" max="1" width="16.109375" customWidth="1"/>
    <col min="4" max="4" width="16.88671875" style="287" customWidth="1"/>
    <col min="5" max="5" width="14.77734375" customWidth="1"/>
    <col min="6" max="7" width="24.88671875" customWidth="1"/>
    <col min="8" max="8" width="35.21875" customWidth="1"/>
  </cols>
  <sheetData>
    <row r="1" spans="1:8">
      <c r="A1" s="14" t="s">
        <v>2791</v>
      </c>
      <c r="B1" s="14"/>
      <c r="C1" s="14"/>
      <c r="D1" s="273"/>
      <c r="E1" s="14"/>
      <c r="F1" s="14"/>
      <c r="G1" s="14"/>
    </row>
    <row r="2" spans="1:8">
      <c r="A2" s="274" t="s">
        <v>2792</v>
      </c>
      <c r="B2" s="274"/>
      <c r="C2" s="274" t="s">
        <v>2793</v>
      </c>
      <c r="D2" s="275" t="s">
        <v>2794</v>
      </c>
      <c r="E2" s="274" t="s">
        <v>2795</v>
      </c>
      <c r="F2" s="274" t="s">
        <v>35</v>
      </c>
      <c r="G2" s="274" t="s">
        <v>2796</v>
      </c>
      <c r="H2" s="186" t="s">
        <v>2797</v>
      </c>
    </row>
    <row r="3" spans="1:8">
      <c r="A3" s="274" t="s">
        <v>2798</v>
      </c>
      <c r="B3" s="274"/>
      <c r="C3" s="274">
        <v>1</v>
      </c>
      <c r="D3" s="289">
        <v>35674</v>
      </c>
      <c r="E3" s="274"/>
      <c r="F3" s="276" t="s">
        <v>3665</v>
      </c>
      <c r="G3" s="276" t="s">
        <v>3666</v>
      </c>
      <c r="H3" s="274" t="str">
        <f>SUBSTITUTE(SUBSTITUTE(SUBSTITUTE(F3,"株式会社","")," ",""),"　","")&amp;"　"&amp;SUBSTITUTE(SUBSTITUTE(G3,"代表取締役",""),"　","")</f>
        <v>都市居住評価センター　社長野崎豊</v>
      </c>
    </row>
    <row r="4" spans="1:8">
      <c r="A4" s="274"/>
      <c r="B4" s="274"/>
      <c r="C4" s="274">
        <v>2</v>
      </c>
      <c r="D4" s="289"/>
      <c r="E4" s="274"/>
      <c r="F4" s="276"/>
      <c r="G4" s="276"/>
      <c r="H4" s="274" t="str">
        <f t="shared" ref="H4:H5" si="0">SUBSTITUTE(SUBSTITUTE(F4," ",""),"　","")&amp;"　"&amp;SUBSTITUTE(G4,"　","")</f>
        <v>　</v>
      </c>
    </row>
    <row r="5" spans="1:8">
      <c r="A5" s="274"/>
      <c r="B5" s="274"/>
      <c r="C5" s="274">
        <v>3</v>
      </c>
      <c r="D5" s="289"/>
      <c r="E5" s="274"/>
      <c r="F5" s="276"/>
      <c r="G5" s="276"/>
      <c r="H5" s="274" t="str">
        <f t="shared" si="0"/>
        <v>　</v>
      </c>
    </row>
    <row r="6" spans="1:8">
      <c r="A6" s="274"/>
      <c r="B6" s="274"/>
      <c r="C6" s="274">
        <v>4</v>
      </c>
      <c r="D6" s="275"/>
      <c r="E6" s="274"/>
      <c r="F6" s="276"/>
      <c r="G6" s="274"/>
    </row>
    <row r="7" spans="1:8">
      <c r="A7" s="274"/>
      <c r="B7" s="274"/>
      <c r="C7" s="274">
        <v>5</v>
      </c>
      <c r="D7" s="275"/>
      <c r="E7" s="274"/>
      <c r="F7" s="276"/>
      <c r="G7" s="274"/>
    </row>
    <row r="8" spans="1:8">
      <c r="A8" s="274"/>
      <c r="B8" s="274"/>
      <c r="C8" s="274">
        <v>6</v>
      </c>
      <c r="D8" s="275"/>
      <c r="E8" s="274"/>
      <c r="F8" s="276"/>
      <c r="G8" s="274"/>
    </row>
    <row r="9" spans="1:8">
      <c r="A9" s="274"/>
      <c r="B9" s="274"/>
      <c r="C9" s="274">
        <v>7</v>
      </c>
      <c r="D9" s="275"/>
      <c r="E9" s="274"/>
      <c r="F9" s="276"/>
      <c r="G9" s="274"/>
    </row>
    <row r="10" spans="1:8">
      <c r="A10" s="274"/>
      <c r="B10" s="274"/>
      <c r="C10" s="274">
        <v>8</v>
      </c>
      <c r="D10" s="275"/>
      <c r="E10" s="274"/>
      <c r="F10" s="276"/>
      <c r="G10" s="274"/>
    </row>
    <row r="11" spans="1:8">
      <c r="A11" s="274"/>
      <c r="B11" s="274"/>
      <c r="C11" s="274">
        <v>9</v>
      </c>
      <c r="D11" s="275"/>
      <c r="E11" s="274"/>
      <c r="F11" s="276"/>
      <c r="G11" s="274"/>
    </row>
    <row r="12" spans="1:8">
      <c r="A12" s="274"/>
      <c r="B12" s="274"/>
      <c r="C12" s="274">
        <v>10</v>
      </c>
      <c r="D12" s="275"/>
      <c r="E12" s="274"/>
      <c r="F12" s="276"/>
      <c r="G12" s="274"/>
    </row>
    <row r="16" spans="1:8">
      <c r="A16" s="277" t="s">
        <v>2799</v>
      </c>
      <c r="B16" s="278"/>
      <c r="C16" s="278"/>
      <c r="D16" s="279"/>
      <c r="E16" s="277" t="s">
        <v>2800</v>
      </c>
      <c r="F16" s="278"/>
      <c r="G16" s="280"/>
    </row>
    <row r="17" spans="1:8">
      <c r="A17" s="185" t="s">
        <v>2801</v>
      </c>
      <c r="B17" s="281" t="s">
        <v>2802</v>
      </c>
      <c r="C17" s="185" t="s">
        <v>2803</v>
      </c>
      <c r="D17" s="282" t="s">
        <v>2418</v>
      </c>
      <c r="E17" s="185" t="s">
        <v>2795</v>
      </c>
      <c r="F17" s="185" t="s">
        <v>35</v>
      </c>
      <c r="G17" s="185" t="s">
        <v>2796</v>
      </c>
      <c r="H17" s="1281" t="s">
        <v>2804</v>
      </c>
    </row>
    <row r="18" spans="1:8">
      <c r="A18" s="283" t="s">
        <v>397</v>
      </c>
      <c r="B18" s="283">
        <f ca="1">C18</f>
        <v>1</v>
      </c>
      <c r="C18" s="283">
        <f ca="1">IF(ISNA(MATCH(D18,$D$3:$D$12,0)),MATCH(D18,$D$3:$D$12,1),MATCH(D18,$D$3:$D$12,0))</f>
        <v>1</v>
      </c>
      <c r="D18" s="284">
        <f ca="1">IF(wskakunin_SHINSEI_DATE="",TODAY(),wskakunin_SHINSEI_DATE)</f>
        <v>46253</v>
      </c>
      <c r="E18" s="285" t="str">
        <f ca="1">IF(OFFSET(dAName!$E$2,dAName!B18,0,1,1)="","",OFFSET(dAName!$E$2,dAName!B18,0,1,1))</f>
        <v/>
      </c>
      <c r="F18" s="285" t="str">
        <f ca="1">IF(OFFSET(dAName!$F$2,dAName!$B18,0,1,1)="","",OFFSET(dAName!$F$2,dAName!$B18,0,1,1))</f>
        <v>株式会社　都市居住評価センター</v>
      </c>
      <c r="G18" s="285" t="str">
        <f ca="1">IF(OFFSET(dAName!$G$2,dAName!$B18,0,1,1)="","",OFFSET(dAName!$G$2,dAName!$B18,0,1,1))</f>
        <v>代表取締役社長　野崎　豊</v>
      </c>
      <c r="H18" s="286" t="str">
        <f ca="1">IF(OFFSET(dAName!$H$2,dAName!$B18,0,1,1)="","",OFFSET(dAName!$H$2,dAName!$B18,0,1,1))</f>
        <v>都市居住評価センター　社長野崎豊</v>
      </c>
    </row>
    <row r="19" spans="1:8">
      <c r="A19" s="283"/>
      <c r="B19" s="283"/>
      <c r="C19" s="283"/>
      <c r="D19" s="284"/>
      <c r="E19" s="283"/>
      <c r="F19" s="283"/>
      <c r="G19" s="283"/>
    </row>
    <row r="23" spans="1:8">
      <c r="E23" s="288"/>
    </row>
  </sheetData>
  <phoneticPr fontId="122"/>
  <pageMargins left="0.7" right="0.7" top="0.75" bottom="0.75" header="0.3" footer="0.3"/>
  <pageSetup paperSize="0" orientation="portrait" horizontalDpi="0" verticalDpi="0"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N50"/>
  <sheetViews>
    <sheetView zoomScaleNormal="100" zoomScaleSheetLayoutView="100" workbookViewId="0"/>
  </sheetViews>
  <sheetFormatPr defaultColWidth="2.109375" defaultRowHeight="18" customHeight="1"/>
  <cols>
    <col min="1" max="1" width="2.109375" style="902" customWidth="1"/>
    <col min="2" max="16384" width="2.109375" style="902"/>
  </cols>
  <sheetData>
    <row r="1" spans="1:40" ht="18" customHeight="1">
      <c r="A1" s="902" t="s">
        <v>3596</v>
      </c>
    </row>
    <row r="2" spans="1:40" ht="9" customHeight="1"/>
    <row r="3" spans="1:40" ht="15" customHeight="1">
      <c r="A3" s="1892" t="s">
        <v>3592</v>
      </c>
      <c r="B3" s="1892"/>
      <c r="C3" s="1892"/>
      <c r="D3" s="1892"/>
      <c r="E3" s="1892"/>
      <c r="F3" s="1892"/>
      <c r="G3" s="1892"/>
      <c r="H3" s="1892"/>
      <c r="I3" s="1892"/>
      <c r="J3" s="1892"/>
    </row>
    <row r="4" spans="1:40" ht="15" customHeight="1">
      <c r="B4" s="902" t="s">
        <v>3590</v>
      </c>
      <c r="K4" s="1885" t="str">
        <f>cst_wskakunin_kanri2_SIKAKU</f>
        <v/>
      </c>
      <c r="L4" s="1886"/>
      <c r="M4" s="1886"/>
      <c r="N4" s="902" t="s">
        <v>3494</v>
      </c>
      <c r="T4" s="1887" t="str">
        <f>cst_wskakunin_kanri2_TOUROKU_KIKAN</f>
        <v/>
      </c>
      <c r="U4" s="1888"/>
      <c r="V4" s="1888"/>
      <c r="W4" s="1888"/>
      <c r="X4" s="1888"/>
      <c r="Y4" s="1888"/>
      <c r="AC4" s="944" t="s">
        <v>3589</v>
      </c>
      <c r="AD4" s="1885" t="str">
        <f>cst_wskakunin_kanri2_KENTIKUSI_NO</f>
        <v/>
      </c>
      <c r="AE4" s="1886"/>
      <c r="AF4" s="1886"/>
      <c r="AG4" s="1886"/>
      <c r="AH4" s="1884"/>
      <c r="AI4" s="902" t="s">
        <v>381</v>
      </c>
    </row>
    <row r="5" spans="1:40" ht="15" customHeight="1">
      <c r="B5" s="902" t="s">
        <v>3556</v>
      </c>
      <c r="K5" s="1851" t="str">
        <f>cst_wskakunin_kanri2_NAME</f>
        <v/>
      </c>
      <c r="L5" s="1884"/>
      <c r="M5" s="1884"/>
      <c r="N5" s="1884"/>
      <c r="O5" s="1884"/>
      <c r="P5" s="1884"/>
      <c r="Q5" s="1884"/>
      <c r="R5" s="1884"/>
      <c r="S5" s="1884"/>
      <c r="T5" s="1884"/>
      <c r="U5" s="1884"/>
      <c r="V5" s="1884"/>
      <c r="W5" s="1884"/>
      <c r="X5" s="1884"/>
      <c r="Y5" s="1884"/>
      <c r="Z5" s="1884"/>
      <c r="AA5" s="1884"/>
      <c r="AB5" s="1884"/>
      <c r="AC5" s="1884"/>
      <c r="AD5" s="1884"/>
      <c r="AE5" s="1884"/>
      <c r="AF5" s="1884"/>
      <c r="AG5" s="1884"/>
      <c r="AH5" s="1884"/>
      <c r="AI5" s="1884"/>
      <c r="AJ5" s="1884"/>
      <c r="AK5" s="1884"/>
      <c r="AL5" s="1884"/>
      <c r="AM5" s="1884"/>
      <c r="AN5" s="1884"/>
    </row>
    <row r="6" spans="1:40" ht="15" customHeight="1">
      <c r="B6" s="902" t="s">
        <v>3588</v>
      </c>
      <c r="K6" s="1885" t="str">
        <f>cst_wskakunin_kanri2_JIMU_SIKAKU</f>
        <v/>
      </c>
      <c r="L6" s="1886"/>
      <c r="M6" s="1886"/>
      <c r="N6" s="902" t="s">
        <v>3490</v>
      </c>
      <c r="T6" s="1885" t="str">
        <f>cst_wskakunin_kanri2_JIMU_TOUROKU_KIKAN</f>
        <v/>
      </c>
      <c r="U6" s="1886"/>
      <c r="V6" s="1886"/>
      <c r="W6" s="1886"/>
      <c r="AC6" s="944" t="s">
        <v>3587</v>
      </c>
      <c r="AD6" s="1885" t="str">
        <f>cst_wskakunin_kanri2_JIMU_NO</f>
        <v/>
      </c>
      <c r="AE6" s="1886"/>
      <c r="AF6" s="1886"/>
      <c r="AG6" s="1886"/>
      <c r="AH6" s="1884"/>
      <c r="AI6" s="902" t="s">
        <v>381</v>
      </c>
    </row>
    <row r="7" spans="1:40" ht="15" customHeight="1">
      <c r="K7" s="1856" t="str">
        <f>cst_wskakunin_kanri2_JIMU_NAME</f>
        <v/>
      </c>
      <c r="L7" s="1857"/>
      <c r="M7" s="1857"/>
      <c r="N7" s="1857"/>
      <c r="O7" s="1857"/>
      <c r="P7" s="1857"/>
      <c r="Q7" s="1857"/>
      <c r="R7" s="1857"/>
      <c r="S7" s="1857"/>
      <c r="T7" s="1857"/>
      <c r="U7" s="1857"/>
      <c r="V7" s="1857"/>
      <c r="W7" s="1857"/>
      <c r="X7" s="1857"/>
      <c r="Y7" s="1857"/>
      <c r="Z7" s="1857"/>
      <c r="AA7" s="1857"/>
      <c r="AB7" s="1857"/>
      <c r="AC7" s="1857"/>
      <c r="AD7" s="1857"/>
      <c r="AE7" s="1857"/>
      <c r="AF7" s="1857"/>
      <c r="AG7" s="1857"/>
      <c r="AH7" s="1857"/>
      <c r="AI7" s="1857"/>
      <c r="AJ7" s="1857"/>
      <c r="AK7" s="1857"/>
      <c r="AL7" s="1857"/>
      <c r="AM7" s="1857"/>
      <c r="AN7" s="1857"/>
    </row>
    <row r="8" spans="1:40" ht="15" customHeight="1">
      <c r="B8" s="902" t="s">
        <v>3586</v>
      </c>
      <c r="K8" s="902" t="s">
        <v>3558</v>
      </c>
      <c r="L8" s="1851" t="str">
        <f>cst_wskakunin_kanri2_ZIP</f>
        <v/>
      </c>
      <c r="M8" s="1884"/>
      <c r="N8" s="1884"/>
      <c r="O8" s="1884"/>
      <c r="Q8" s="1856" t="str">
        <f>cst_wskakunin_kanri2__address</f>
        <v/>
      </c>
      <c r="R8" s="1856"/>
      <c r="S8" s="1856"/>
      <c r="T8" s="1856"/>
      <c r="U8" s="1856"/>
      <c r="V8" s="1856"/>
      <c r="W8" s="1856"/>
      <c r="X8" s="1856"/>
      <c r="Y8" s="1856"/>
      <c r="Z8" s="1856"/>
      <c r="AA8" s="1856"/>
      <c r="AB8" s="1856"/>
      <c r="AC8" s="1856"/>
      <c r="AD8" s="1856"/>
      <c r="AE8" s="1856"/>
      <c r="AF8" s="1856"/>
      <c r="AG8" s="1856"/>
      <c r="AH8" s="1856"/>
      <c r="AI8" s="1856"/>
      <c r="AJ8" s="1856"/>
      <c r="AK8" s="1856"/>
      <c r="AL8" s="1856"/>
      <c r="AM8" s="1856"/>
      <c r="AN8" s="1856"/>
    </row>
    <row r="9" spans="1:40" ht="15" customHeight="1">
      <c r="B9" s="902" t="s">
        <v>3555</v>
      </c>
      <c r="K9" s="1851" t="str">
        <f>cst_wskakunin_kanri2_TEL</f>
        <v/>
      </c>
      <c r="L9" s="1884"/>
      <c r="M9" s="1884"/>
      <c r="N9" s="1884"/>
      <c r="O9" s="1884"/>
      <c r="P9" s="1884"/>
      <c r="R9" s="902" t="s">
        <v>3585</v>
      </c>
      <c r="AC9" s="1856" t="str">
        <f>cst_wskakunin_kanri2_DOC</f>
        <v/>
      </c>
      <c r="AD9" s="1856"/>
      <c r="AE9" s="1856"/>
      <c r="AF9" s="1856"/>
      <c r="AG9" s="1856"/>
      <c r="AH9" s="1856"/>
      <c r="AI9" s="1856"/>
      <c r="AJ9" s="1856"/>
      <c r="AK9" s="1856"/>
      <c r="AL9" s="1856"/>
      <c r="AM9" s="1856"/>
      <c r="AN9" s="1856"/>
    </row>
    <row r="10" spans="1:40" ht="15" customHeight="1">
      <c r="K10" s="927"/>
      <c r="L10" s="943"/>
      <c r="M10" s="943"/>
      <c r="N10" s="943"/>
      <c r="O10" s="943"/>
      <c r="P10" s="943"/>
    </row>
    <row r="11" spans="1:40" ht="15" customHeight="1">
      <c r="A11" s="1892" t="s">
        <v>3591</v>
      </c>
      <c r="B11" s="1892"/>
      <c r="C11" s="1892"/>
      <c r="D11" s="1892"/>
      <c r="E11" s="1892"/>
      <c r="F11" s="1892"/>
      <c r="G11" s="1892"/>
      <c r="H11" s="1892"/>
      <c r="I11" s="1892"/>
      <c r="J11" s="1892"/>
    </row>
    <row r="12" spans="1:40" ht="15" customHeight="1">
      <c r="B12" s="902" t="s">
        <v>3590</v>
      </c>
      <c r="K12" s="1879"/>
      <c r="L12" s="1880"/>
      <c r="M12" s="1880"/>
      <c r="N12" s="902" t="s">
        <v>3494</v>
      </c>
      <c r="T12" s="1882"/>
      <c r="U12" s="1883"/>
      <c r="V12" s="1883"/>
      <c r="W12" s="1883"/>
      <c r="X12" s="1883"/>
      <c r="Y12" s="1883"/>
      <c r="AC12" s="944" t="s">
        <v>3589</v>
      </c>
      <c r="AD12" s="1879"/>
      <c r="AE12" s="1880"/>
      <c r="AF12" s="1880"/>
      <c r="AG12" s="1880"/>
      <c r="AH12" s="1881"/>
      <c r="AI12" s="902" t="s">
        <v>381</v>
      </c>
    </row>
    <row r="13" spans="1:40" ht="15" customHeight="1">
      <c r="B13" s="902" t="s">
        <v>3556</v>
      </c>
      <c r="K13" s="1859"/>
      <c r="L13" s="1881"/>
      <c r="M13" s="1881"/>
      <c r="N13" s="1881"/>
      <c r="O13" s="1881"/>
      <c r="P13" s="1881"/>
      <c r="Q13" s="1881"/>
      <c r="R13" s="1881"/>
      <c r="S13" s="1881"/>
      <c r="T13" s="1881"/>
      <c r="U13" s="1881"/>
      <c r="V13" s="1881"/>
      <c r="W13" s="1881"/>
      <c r="X13" s="1881"/>
      <c r="Y13" s="1881"/>
      <c r="Z13" s="1881"/>
      <c r="AA13" s="1881"/>
      <c r="AB13" s="1881"/>
      <c r="AC13" s="1881"/>
      <c r="AD13" s="1881"/>
      <c r="AE13" s="1881"/>
      <c r="AF13" s="1881"/>
      <c r="AG13" s="1881"/>
      <c r="AH13" s="1881"/>
      <c r="AI13" s="1881"/>
      <c r="AJ13" s="1881"/>
      <c r="AK13" s="1881"/>
      <c r="AL13" s="1881"/>
      <c r="AM13" s="1881"/>
      <c r="AN13" s="1881"/>
    </row>
    <row r="14" spans="1:40" ht="15" customHeight="1">
      <c r="B14" s="902" t="s">
        <v>3588</v>
      </c>
      <c r="K14" s="1879"/>
      <c r="L14" s="1880"/>
      <c r="M14" s="1880"/>
      <c r="N14" s="902" t="s">
        <v>3490</v>
      </c>
      <c r="T14" s="1879"/>
      <c r="U14" s="1880"/>
      <c r="V14" s="1880"/>
      <c r="W14" s="1880"/>
      <c r="AC14" s="944" t="s">
        <v>3587</v>
      </c>
      <c r="AD14" s="1879"/>
      <c r="AE14" s="1880"/>
      <c r="AF14" s="1880"/>
      <c r="AG14" s="1880"/>
      <c r="AH14" s="1881"/>
      <c r="AI14" s="902" t="s">
        <v>381</v>
      </c>
    </row>
    <row r="15" spans="1:40" ht="15" customHeight="1">
      <c r="K15" s="1876"/>
      <c r="L15" s="1878"/>
      <c r="M15" s="1878"/>
      <c r="N15" s="1878"/>
      <c r="O15" s="1878"/>
      <c r="P15" s="1878"/>
      <c r="Q15" s="1878"/>
      <c r="R15" s="1878"/>
      <c r="S15" s="1878"/>
      <c r="T15" s="1878"/>
      <c r="U15" s="1878"/>
      <c r="V15" s="1878"/>
      <c r="W15" s="1878"/>
      <c r="X15" s="1878"/>
      <c r="Y15" s="1878"/>
      <c r="Z15" s="1878"/>
      <c r="AA15" s="1878"/>
      <c r="AB15" s="1878"/>
      <c r="AC15" s="1878"/>
      <c r="AD15" s="1878"/>
      <c r="AE15" s="1878"/>
      <c r="AF15" s="1878"/>
      <c r="AG15" s="1878"/>
      <c r="AH15" s="1878"/>
      <c r="AI15" s="1878"/>
      <c r="AJ15" s="1878"/>
      <c r="AK15" s="1878"/>
      <c r="AL15" s="1878"/>
      <c r="AM15" s="1878"/>
      <c r="AN15" s="1878"/>
    </row>
    <row r="16" spans="1:40" ht="15" customHeight="1">
      <c r="B16" s="902" t="s">
        <v>3586</v>
      </c>
      <c r="K16" s="902" t="s">
        <v>3558</v>
      </c>
      <c r="L16" s="1874"/>
      <c r="M16" s="1897"/>
      <c r="N16" s="1897"/>
      <c r="O16" s="1897"/>
      <c r="Q16" s="1876"/>
      <c r="R16" s="1876"/>
      <c r="S16" s="1876"/>
      <c r="T16" s="1876"/>
      <c r="U16" s="1876"/>
      <c r="V16" s="1876"/>
      <c r="W16" s="1876"/>
      <c r="X16" s="1876"/>
      <c r="Y16" s="1876"/>
      <c r="Z16" s="1876"/>
      <c r="AA16" s="1876"/>
      <c r="AB16" s="1876"/>
      <c r="AC16" s="1876"/>
      <c r="AD16" s="1876"/>
      <c r="AE16" s="1876"/>
      <c r="AF16" s="1876"/>
      <c r="AG16" s="1876"/>
      <c r="AH16" s="1876"/>
      <c r="AI16" s="1876"/>
      <c r="AJ16" s="1876"/>
      <c r="AK16" s="1876"/>
      <c r="AL16" s="1876"/>
      <c r="AM16" s="1876"/>
      <c r="AN16" s="1876"/>
    </row>
    <row r="17" spans="1:40" ht="15" customHeight="1">
      <c r="B17" s="902" t="s">
        <v>3555</v>
      </c>
      <c r="K17" s="1874"/>
      <c r="L17" s="1897"/>
      <c r="M17" s="1897"/>
      <c r="N17" s="1897"/>
      <c r="O17" s="1897"/>
      <c r="P17" s="1897"/>
      <c r="R17" s="902" t="s">
        <v>3585</v>
      </c>
      <c r="AC17" s="1876"/>
      <c r="AD17" s="1876"/>
      <c r="AE17" s="1876"/>
      <c r="AF17" s="1876"/>
      <c r="AG17" s="1876"/>
      <c r="AH17" s="1876"/>
      <c r="AI17" s="1876"/>
      <c r="AJ17" s="1876"/>
      <c r="AK17" s="1876"/>
      <c r="AL17" s="1876"/>
      <c r="AM17" s="1876"/>
      <c r="AN17" s="1876"/>
    </row>
    <row r="18" spans="1:40" ht="15" customHeight="1">
      <c r="K18" s="927"/>
      <c r="L18" s="943"/>
      <c r="M18" s="943"/>
      <c r="N18" s="943"/>
      <c r="O18" s="943"/>
      <c r="P18" s="943"/>
    </row>
    <row r="19" spans="1:40" ht="15" customHeight="1">
      <c r="A19" s="1892" t="s">
        <v>3592</v>
      </c>
      <c r="B19" s="1892"/>
      <c r="C19" s="1892"/>
      <c r="D19" s="1892"/>
      <c r="E19" s="1892"/>
      <c r="F19" s="1892"/>
      <c r="G19" s="1892"/>
      <c r="H19" s="1892"/>
      <c r="I19" s="1892"/>
      <c r="J19" s="1892"/>
    </row>
    <row r="20" spans="1:40" ht="15" customHeight="1">
      <c r="B20" s="902" t="s">
        <v>3590</v>
      </c>
      <c r="K20" s="1885" t="str">
        <f>cst_wskakunin_kanri3_SIKAKU</f>
        <v/>
      </c>
      <c r="L20" s="1886"/>
      <c r="M20" s="1886"/>
      <c r="N20" s="902" t="s">
        <v>3494</v>
      </c>
      <c r="T20" s="1887" t="str">
        <f>cst_wskakunin_kanri3_TOUROKU_KIKAN</f>
        <v/>
      </c>
      <c r="U20" s="1888"/>
      <c r="V20" s="1888"/>
      <c r="W20" s="1888"/>
      <c r="X20" s="1888"/>
      <c r="Y20" s="1888"/>
      <c r="AC20" s="944" t="s">
        <v>3589</v>
      </c>
      <c r="AD20" s="1885" t="str">
        <f>cst_wskakunin_kanri3_KENTIKUSI_NO</f>
        <v/>
      </c>
      <c r="AE20" s="1886"/>
      <c r="AF20" s="1886"/>
      <c r="AG20" s="1886"/>
      <c r="AH20" s="1884"/>
      <c r="AI20" s="902" t="s">
        <v>381</v>
      </c>
    </row>
    <row r="21" spans="1:40" ht="15" customHeight="1">
      <c r="B21" s="902" t="s">
        <v>3556</v>
      </c>
      <c r="K21" s="1851" t="str">
        <f>cst_wskakunin_kanri3_NAME</f>
        <v/>
      </c>
      <c r="L21" s="1884"/>
      <c r="M21" s="1884"/>
      <c r="N21" s="1884"/>
      <c r="O21" s="1884"/>
      <c r="P21" s="1884"/>
      <c r="Q21" s="1884"/>
      <c r="R21" s="1884"/>
      <c r="S21" s="1884"/>
      <c r="T21" s="1884"/>
      <c r="U21" s="1884"/>
      <c r="V21" s="1884"/>
      <c r="W21" s="1884"/>
      <c r="X21" s="1884"/>
      <c r="Y21" s="1884"/>
      <c r="Z21" s="1884"/>
      <c r="AA21" s="1884"/>
      <c r="AB21" s="1884"/>
      <c r="AC21" s="1884"/>
      <c r="AD21" s="1884"/>
      <c r="AE21" s="1884"/>
      <c r="AF21" s="1884"/>
      <c r="AG21" s="1884"/>
      <c r="AH21" s="1884"/>
      <c r="AI21" s="1884"/>
      <c r="AJ21" s="1884"/>
      <c r="AK21" s="1884"/>
      <c r="AL21" s="1884"/>
      <c r="AM21" s="1884"/>
      <c r="AN21" s="1884"/>
    </row>
    <row r="22" spans="1:40" ht="15" customHeight="1">
      <c r="B22" s="902" t="s">
        <v>3588</v>
      </c>
      <c r="K22" s="1885" t="str">
        <f>cst_wskakunin_kanri3_JIMU_SIKAKU</f>
        <v/>
      </c>
      <c r="L22" s="1886"/>
      <c r="M22" s="1886"/>
      <c r="N22" s="902" t="s">
        <v>3490</v>
      </c>
      <c r="T22" s="1885" t="str">
        <f>cst_wskakunin_kanri3_JIMU_TOUROKU_KIKAN</f>
        <v/>
      </c>
      <c r="U22" s="1886"/>
      <c r="V22" s="1886"/>
      <c r="W22" s="1886"/>
      <c r="AC22" s="944" t="s">
        <v>3587</v>
      </c>
      <c r="AD22" s="1885" t="str">
        <f>cst_wskakunin_kanri3_JIMU_NO</f>
        <v/>
      </c>
      <c r="AE22" s="1886"/>
      <c r="AF22" s="1886"/>
      <c r="AG22" s="1886"/>
      <c r="AH22" s="1884"/>
      <c r="AI22" s="902" t="s">
        <v>381</v>
      </c>
    </row>
    <row r="23" spans="1:40" ht="15" customHeight="1">
      <c r="K23" s="1856" t="str">
        <f>cst_wskakunin_kanri3_JIMU_NAME</f>
        <v/>
      </c>
      <c r="L23" s="1857"/>
      <c r="M23" s="1857"/>
      <c r="N23" s="1857"/>
      <c r="O23" s="1857"/>
      <c r="P23" s="1857"/>
      <c r="Q23" s="1857"/>
      <c r="R23" s="1857"/>
      <c r="S23" s="1857"/>
      <c r="T23" s="1857"/>
      <c r="U23" s="1857"/>
      <c r="V23" s="1857"/>
      <c r="W23" s="1857"/>
      <c r="X23" s="1857"/>
      <c r="Y23" s="1857"/>
      <c r="Z23" s="1857"/>
      <c r="AA23" s="1857"/>
      <c r="AB23" s="1857"/>
      <c r="AC23" s="1857"/>
      <c r="AD23" s="1857"/>
      <c r="AE23" s="1857"/>
      <c r="AF23" s="1857"/>
      <c r="AG23" s="1857"/>
      <c r="AH23" s="1857"/>
      <c r="AI23" s="1857"/>
      <c r="AJ23" s="1857"/>
      <c r="AK23" s="1857"/>
      <c r="AL23" s="1857"/>
      <c r="AM23" s="1857"/>
      <c r="AN23" s="1857"/>
    </row>
    <row r="24" spans="1:40" ht="15" customHeight="1">
      <c r="B24" s="902" t="s">
        <v>3586</v>
      </c>
      <c r="K24" s="902" t="s">
        <v>3558</v>
      </c>
      <c r="L24" s="1851" t="str">
        <f>cst_wskakunin_kanri3_ZIP</f>
        <v/>
      </c>
      <c r="M24" s="1884"/>
      <c r="N24" s="1884"/>
      <c r="O24" s="1884"/>
      <c r="Q24" s="1856" t="str">
        <f>cst_wskakunin_kanri3__address</f>
        <v/>
      </c>
      <c r="R24" s="1856"/>
      <c r="S24" s="1856"/>
      <c r="T24" s="1856"/>
      <c r="U24" s="1856"/>
      <c r="V24" s="1856"/>
      <c r="W24" s="1856"/>
      <c r="X24" s="1856"/>
      <c r="Y24" s="1856"/>
      <c r="Z24" s="1856"/>
      <c r="AA24" s="1856"/>
      <c r="AB24" s="1856"/>
      <c r="AC24" s="1856"/>
      <c r="AD24" s="1856"/>
      <c r="AE24" s="1856"/>
      <c r="AF24" s="1856"/>
      <c r="AG24" s="1856"/>
      <c r="AH24" s="1856"/>
      <c r="AI24" s="1856"/>
      <c r="AJ24" s="1856"/>
      <c r="AK24" s="1856"/>
      <c r="AL24" s="1856"/>
      <c r="AM24" s="1856"/>
      <c r="AN24" s="1856"/>
    </row>
    <row r="25" spans="1:40" ht="15" customHeight="1">
      <c r="B25" s="902" t="s">
        <v>3555</v>
      </c>
      <c r="K25" s="1851" t="str">
        <f>cst_wskakunin_kanri3_TEL</f>
        <v/>
      </c>
      <c r="L25" s="1884"/>
      <c r="M25" s="1884"/>
      <c r="N25" s="1884"/>
      <c r="O25" s="1884"/>
      <c r="P25" s="1884"/>
      <c r="R25" s="902" t="s">
        <v>3585</v>
      </c>
      <c r="AC25" s="1856" t="str">
        <f>cst_wskakunin_kanri3_DOC</f>
        <v/>
      </c>
      <c r="AD25" s="1856"/>
      <c r="AE25" s="1856"/>
      <c r="AF25" s="1856"/>
      <c r="AG25" s="1856"/>
      <c r="AH25" s="1856"/>
      <c r="AI25" s="1856"/>
      <c r="AJ25" s="1856"/>
      <c r="AK25" s="1856"/>
      <c r="AL25" s="1856"/>
      <c r="AM25" s="1856"/>
      <c r="AN25" s="1856"/>
    </row>
    <row r="26" spans="1:40" ht="15" customHeight="1">
      <c r="K26" s="927"/>
      <c r="L26" s="943"/>
      <c r="M26" s="943"/>
      <c r="N26" s="943"/>
      <c r="O26" s="943"/>
      <c r="P26" s="943"/>
    </row>
    <row r="27" spans="1:40" ht="15" customHeight="1">
      <c r="A27" s="1892" t="s">
        <v>3591</v>
      </c>
      <c r="B27" s="1892"/>
      <c r="C27" s="1892"/>
      <c r="D27" s="1892"/>
      <c r="E27" s="1892"/>
      <c r="F27" s="1892"/>
      <c r="G27" s="1892"/>
      <c r="H27" s="1892"/>
      <c r="I27" s="1892"/>
      <c r="J27" s="1892"/>
    </row>
    <row r="28" spans="1:40" ht="15" customHeight="1">
      <c r="B28" s="902" t="s">
        <v>3590</v>
      </c>
      <c r="K28" s="1879"/>
      <c r="L28" s="1880"/>
      <c r="M28" s="1880"/>
      <c r="N28" s="902" t="s">
        <v>3494</v>
      </c>
      <c r="T28" s="1882"/>
      <c r="U28" s="1883"/>
      <c r="V28" s="1883"/>
      <c r="W28" s="1883"/>
      <c r="X28" s="1883"/>
      <c r="Y28" s="1883"/>
      <c r="AC28" s="944" t="s">
        <v>3589</v>
      </c>
      <c r="AD28" s="1879"/>
      <c r="AE28" s="1880"/>
      <c r="AF28" s="1880"/>
      <c r="AG28" s="1880"/>
      <c r="AH28" s="1881"/>
      <c r="AI28" s="902" t="s">
        <v>381</v>
      </c>
    </row>
    <row r="29" spans="1:40" ht="15" customHeight="1">
      <c r="B29" s="902" t="s">
        <v>3556</v>
      </c>
      <c r="K29" s="1859"/>
      <c r="L29" s="1881"/>
      <c r="M29" s="1881"/>
      <c r="N29" s="1881"/>
      <c r="O29" s="1881"/>
      <c r="P29" s="1881"/>
      <c r="Q29" s="1881"/>
      <c r="R29" s="1881"/>
      <c r="S29" s="1881"/>
      <c r="T29" s="1881"/>
      <c r="U29" s="1881"/>
      <c r="V29" s="1881"/>
      <c r="W29" s="1881"/>
      <c r="X29" s="1881"/>
      <c r="Y29" s="1881"/>
      <c r="Z29" s="1881"/>
      <c r="AA29" s="1881"/>
      <c r="AB29" s="1881"/>
      <c r="AC29" s="1881"/>
      <c r="AD29" s="1881"/>
      <c r="AE29" s="1881"/>
      <c r="AF29" s="1881"/>
      <c r="AG29" s="1881"/>
      <c r="AH29" s="1881"/>
      <c r="AI29" s="1881"/>
      <c r="AJ29" s="1881"/>
      <c r="AK29" s="1881"/>
      <c r="AL29" s="1881"/>
      <c r="AM29" s="1881"/>
      <c r="AN29" s="1881"/>
    </row>
    <row r="30" spans="1:40" ht="15" customHeight="1">
      <c r="B30" s="902" t="s">
        <v>3588</v>
      </c>
      <c r="K30" s="1879"/>
      <c r="L30" s="1880"/>
      <c r="M30" s="1880"/>
      <c r="N30" s="902" t="s">
        <v>3490</v>
      </c>
      <c r="T30" s="1879"/>
      <c r="U30" s="1880"/>
      <c r="V30" s="1880"/>
      <c r="W30" s="1880"/>
      <c r="AC30" s="944" t="s">
        <v>3587</v>
      </c>
      <c r="AD30" s="1879"/>
      <c r="AE30" s="1880"/>
      <c r="AF30" s="1880"/>
      <c r="AG30" s="1880"/>
      <c r="AH30" s="1881"/>
      <c r="AI30" s="902" t="s">
        <v>381</v>
      </c>
    </row>
    <row r="31" spans="1:40" ht="15" customHeight="1">
      <c r="K31" s="1876"/>
      <c r="L31" s="1878"/>
      <c r="M31" s="1878"/>
      <c r="N31" s="1878"/>
      <c r="O31" s="1878"/>
      <c r="P31" s="1878"/>
      <c r="Q31" s="1878"/>
      <c r="R31" s="1878"/>
      <c r="S31" s="1878"/>
      <c r="T31" s="1878"/>
      <c r="U31" s="1878"/>
      <c r="V31" s="1878"/>
      <c r="W31" s="1878"/>
      <c r="X31" s="1878"/>
      <c r="Y31" s="1878"/>
      <c r="Z31" s="1878"/>
      <c r="AA31" s="1878"/>
      <c r="AB31" s="1878"/>
      <c r="AC31" s="1878"/>
      <c r="AD31" s="1878"/>
      <c r="AE31" s="1878"/>
      <c r="AF31" s="1878"/>
      <c r="AG31" s="1878"/>
      <c r="AH31" s="1878"/>
      <c r="AI31" s="1878"/>
      <c r="AJ31" s="1878"/>
      <c r="AK31" s="1878"/>
      <c r="AL31" s="1878"/>
      <c r="AM31" s="1878"/>
      <c r="AN31" s="1878"/>
    </row>
    <row r="32" spans="1:40" ht="15" customHeight="1">
      <c r="B32" s="902" t="s">
        <v>3586</v>
      </c>
      <c r="K32" s="902" t="s">
        <v>3558</v>
      </c>
      <c r="L32" s="1874"/>
      <c r="M32" s="1897"/>
      <c r="N32" s="1897"/>
      <c r="O32" s="1897"/>
      <c r="Q32" s="1876"/>
      <c r="R32" s="1876"/>
      <c r="S32" s="1876"/>
      <c r="T32" s="1876"/>
      <c r="U32" s="1876"/>
      <c r="V32" s="1876"/>
      <c r="W32" s="1876"/>
      <c r="X32" s="1876"/>
      <c r="Y32" s="1876"/>
      <c r="Z32" s="1876"/>
      <c r="AA32" s="1876"/>
      <c r="AB32" s="1876"/>
      <c r="AC32" s="1876"/>
      <c r="AD32" s="1876"/>
      <c r="AE32" s="1876"/>
      <c r="AF32" s="1876"/>
      <c r="AG32" s="1876"/>
      <c r="AH32" s="1876"/>
      <c r="AI32" s="1876"/>
      <c r="AJ32" s="1876"/>
      <c r="AK32" s="1876"/>
      <c r="AL32" s="1876"/>
      <c r="AM32" s="1876"/>
      <c r="AN32" s="1876"/>
    </row>
    <row r="33" spans="1:40" ht="15" customHeight="1">
      <c r="B33" s="902" t="s">
        <v>3555</v>
      </c>
      <c r="K33" s="1874"/>
      <c r="L33" s="1897"/>
      <c r="M33" s="1897"/>
      <c r="N33" s="1897"/>
      <c r="O33" s="1897"/>
      <c r="P33" s="1897"/>
      <c r="R33" s="902" t="s">
        <v>3585</v>
      </c>
      <c r="AC33" s="1876"/>
      <c r="AD33" s="1876"/>
      <c r="AE33" s="1876"/>
      <c r="AF33" s="1876"/>
      <c r="AG33" s="1876"/>
      <c r="AH33" s="1876"/>
      <c r="AI33" s="1876"/>
      <c r="AJ33" s="1876"/>
      <c r="AK33" s="1876"/>
      <c r="AL33" s="1876"/>
      <c r="AM33" s="1876"/>
      <c r="AN33" s="1876"/>
    </row>
    <row r="34" spans="1:40" ht="15" customHeight="1">
      <c r="K34" s="927"/>
      <c r="L34" s="943"/>
      <c r="M34" s="943"/>
      <c r="N34" s="943"/>
      <c r="O34" s="943"/>
      <c r="P34" s="943"/>
    </row>
    <row r="35" spans="1:40" ht="15" customHeight="1">
      <c r="A35" s="1892" t="s">
        <v>3592</v>
      </c>
      <c r="B35" s="1892"/>
      <c r="C35" s="1892"/>
      <c r="D35" s="1892"/>
      <c r="E35" s="1892"/>
      <c r="F35" s="1892"/>
      <c r="G35" s="1892"/>
      <c r="H35" s="1892"/>
      <c r="I35" s="1892"/>
      <c r="J35" s="1892"/>
    </row>
    <row r="36" spans="1:40" ht="15" customHeight="1">
      <c r="B36" s="902" t="s">
        <v>3590</v>
      </c>
      <c r="K36" s="1885" t="str">
        <f>cst_wskakunin_kanri4_SIKAKU</f>
        <v/>
      </c>
      <c r="L36" s="1886"/>
      <c r="M36" s="1886"/>
      <c r="N36" s="902" t="s">
        <v>3494</v>
      </c>
      <c r="T36" s="1887" t="str">
        <f>cst_wskakunin_kanri4_TOUROKU_KIKAN</f>
        <v/>
      </c>
      <c r="U36" s="1888"/>
      <c r="V36" s="1888"/>
      <c r="W36" s="1888"/>
      <c r="X36" s="1888"/>
      <c r="Y36" s="1888"/>
      <c r="AC36" s="944" t="s">
        <v>3589</v>
      </c>
      <c r="AD36" s="1885" t="str">
        <f>cst_wskakunin_kanri4_KENTIKUSI_NO</f>
        <v/>
      </c>
      <c r="AE36" s="1886"/>
      <c r="AF36" s="1886"/>
      <c r="AG36" s="1886"/>
      <c r="AH36" s="1884"/>
      <c r="AI36" s="902" t="s">
        <v>381</v>
      </c>
    </row>
    <row r="37" spans="1:40" ht="15" customHeight="1">
      <c r="B37" s="902" t="s">
        <v>3556</v>
      </c>
      <c r="K37" s="1851" t="str">
        <f>cst_wskakunin_kanri4_NAME</f>
        <v/>
      </c>
      <c r="L37" s="1884"/>
      <c r="M37" s="1884"/>
      <c r="N37" s="1884"/>
      <c r="O37" s="1884"/>
      <c r="P37" s="1884"/>
      <c r="Q37" s="1884"/>
      <c r="R37" s="1884"/>
      <c r="S37" s="1884"/>
      <c r="T37" s="1884"/>
      <c r="U37" s="1884"/>
      <c r="V37" s="1884"/>
      <c r="W37" s="1884"/>
      <c r="X37" s="1884"/>
      <c r="Y37" s="1884"/>
      <c r="Z37" s="1884"/>
      <c r="AA37" s="1884"/>
      <c r="AB37" s="1884"/>
      <c r="AC37" s="1884"/>
      <c r="AD37" s="1884"/>
      <c r="AE37" s="1884"/>
      <c r="AF37" s="1884"/>
      <c r="AG37" s="1884"/>
      <c r="AH37" s="1884"/>
      <c r="AI37" s="1884"/>
      <c r="AJ37" s="1884"/>
      <c r="AK37" s="1884"/>
      <c r="AL37" s="1884"/>
      <c r="AM37" s="1884"/>
      <c r="AN37" s="1884"/>
    </row>
    <row r="38" spans="1:40" ht="15" customHeight="1">
      <c r="B38" s="902" t="s">
        <v>3588</v>
      </c>
      <c r="K38" s="1885" t="str">
        <f>cst_wskakunin_kanri4_JIMU_SIKAKU</f>
        <v/>
      </c>
      <c r="L38" s="1886"/>
      <c r="M38" s="1886"/>
      <c r="N38" s="902" t="s">
        <v>3490</v>
      </c>
      <c r="T38" s="1885" t="str">
        <f>cst_wskakunin_kanri4_JIMU_TOUROKU_KIKAN</f>
        <v/>
      </c>
      <c r="U38" s="1886"/>
      <c r="V38" s="1886"/>
      <c r="W38" s="1886"/>
      <c r="AC38" s="944" t="s">
        <v>3587</v>
      </c>
      <c r="AD38" s="1885" t="str">
        <f>cst_wskakunin_kanri4_JIMU_NO</f>
        <v/>
      </c>
      <c r="AE38" s="1886"/>
      <c r="AF38" s="1886"/>
      <c r="AG38" s="1886"/>
      <c r="AH38" s="1884"/>
      <c r="AI38" s="902" t="s">
        <v>381</v>
      </c>
    </row>
    <row r="39" spans="1:40" ht="15" customHeight="1">
      <c r="K39" s="1856" t="str">
        <f>cst_wskakunin_kanri4_JIMU_NAME</f>
        <v/>
      </c>
      <c r="L39" s="1857"/>
      <c r="M39" s="1857"/>
      <c r="N39" s="1857"/>
      <c r="O39" s="1857"/>
      <c r="P39" s="1857"/>
      <c r="Q39" s="1857"/>
      <c r="R39" s="1857"/>
      <c r="S39" s="1857"/>
      <c r="T39" s="1857"/>
      <c r="U39" s="1857"/>
      <c r="V39" s="1857"/>
      <c r="W39" s="1857"/>
      <c r="X39" s="1857"/>
      <c r="Y39" s="1857"/>
      <c r="Z39" s="1857"/>
      <c r="AA39" s="1857"/>
      <c r="AB39" s="1857"/>
      <c r="AC39" s="1857"/>
      <c r="AD39" s="1857"/>
      <c r="AE39" s="1857"/>
      <c r="AF39" s="1857"/>
      <c r="AG39" s="1857"/>
      <c r="AH39" s="1857"/>
      <c r="AI39" s="1857"/>
      <c r="AJ39" s="1857"/>
      <c r="AK39" s="1857"/>
      <c r="AL39" s="1857"/>
      <c r="AM39" s="1857"/>
      <c r="AN39" s="1857"/>
    </row>
    <row r="40" spans="1:40" ht="15" customHeight="1">
      <c r="B40" s="902" t="s">
        <v>3586</v>
      </c>
      <c r="K40" s="902" t="s">
        <v>3558</v>
      </c>
      <c r="L40" s="1851" t="str">
        <f>cst_wskakunin_kanri4_ZIP</f>
        <v/>
      </c>
      <c r="M40" s="1884"/>
      <c r="N40" s="1884"/>
      <c r="O40" s="1884"/>
      <c r="Q40" s="1856" t="str">
        <f>cst_wskakunin_kanri4__address</f>
        <v/>
      </c>
      <c r="R40" s="1856"/>
      <c r="S40" s="1856"/>
      <c r="T40" s="1856"/>
      <c r="U40" s="1856"/>
      <c r="V40" s="1856"/>
      <c r="W40" s="1856"/>
      <c r="X40" s="1856"/>
      <c r="Y40" s="1856"/>
      <c r="Z40" s="1856"/>
      <c r="AA40" s="1856"/>
      <c r="AB40" s="1856"/>
      <c r="AC40" s="1856"/>
      <c r="AD40" s="1856"/>
      <c r="AE40" s="1856"/>
      <c r="AF40" s="1856"/>
      <c r="AG40" s="1856"/>
      <c r="AH40" s="1856"/>
      <c r="AI40" s="1856"/>
      <c r="AJ40" s="1856"/>
      <c r="AK40" s="1856"/>
      <c r="AL40" s="1856"/>
      <c r="AM40" s="1856"/>
      <c r="AN40" s="1856"/>
    </row>
    <row r="41" spans="1:40" ht="15" customHeight="1">
      <c r="B41" s="902" t="s">
        <v>3555</v>
      </c>
      <c r="K41" s="1851" t="str">
        <f>cst_wskakunin_kanri4_TEL</f>
        <v/>
      </c>
      <c r="L41" s="1884"/>
      <c r="M41" s="1884"/>
      <c r="N41" s="1884"/>
      <c r="O41" s="1884"/>
      <c r="P41" s="1884"/>
      <c r="R41" s="902" t="s">
        <v>3585</v>
      </c>
      <c r="AC41" s="1856" t="str">
        <f>cst_wskakunin_kanri4_DOC</f>
        <v/>
      </c>
      <c r="AD41" s="1856"/>
      <c r="AE41" s="1856"/>
      <c r="AF41" s="1856"/>
      <c r="AG41" s="1856"/>
      <c r="AH41" s="1856"/>
      <c r="AI41" s="1856"/>
      <c r="AJ41" s="1856"/>
      <c r="AK41" s="1856"/>
      <c r="AL41" s="1856"/>
      <c r="AM41" s="1856"/>
      <c r="AN41" s="1856"/>
    </row>
    <row r="42" spans="1:40" ht="15" customHeight="1">
      <c r="K42" s="927"/>
      <c r="L42" s="943"/>
      <c r="M42" s="943"/>
      <c r="N42" s="943"/>
      <c r="O42" s="943"/>
      <c r="P42" s="943"/>
    </row>
    <row r="43" spans="1:40" ht="15" customHeight="1">
      <c r="A43" s="1892" t="s">
        <v>3591</v>
      </c>
      <c r="B43" s="1892"/>
      <c r="C43" s="1892"/>
      <c r="D43" s="1892"/>
      <c r="E43" s="1892"/>
      <c r="F43" s="1892"/>
      <c r="G43" s="1892"/>
      <c r="H43" s="1892"/>
      <c r="I43" s="1892"/>
      <c r="J43" s="1892"/>
    </row>
    <row r="44" spans="1:40" ht="15" customHeight="1">
      <c r="B44" s="902" t="s">
        <v>3590</v>
      </c>
      <c r="K44" s="1879"/>
      <c r="L44" s="1880"/>
      <c r="M44" s="1880"/>
      <c r="N44" s="902" t="s">
        <v>3494</v>
      </c>
      <c r="T44" s="1882"/>
      <c r="U44" s="1883"/>
      <c r="V44" s="1883"/>
      <c r="W44" s="1883"/>
      <c r="X44" s="1883"/>
      <c r="Y44" s="1883"/>
      <c r="AC44" s="944" t="s">
        <v>3589</v>
      </c>
      <c r="AD44" s="1879"/>
      <c r="AE44" s="1880"/>
      <c r="AF44" s="1880"/>
      <c r="AG44" s="1880"/>
      <c r="AH44" s="1881"/>
      <c r="AI44" s="902" t="s">
        <v>381</v>
      </c>
    </row>
    <row r="45" spans="1:40" ht="15" customHeight="1">
      <c r="B45" s="902" t="s">
        <v>3556</v>
      </c>
      <c r="K45" s="1859"/>
      <c r="L45" s="1881"/>
      <c r="M45" s="1881"/>
      <c r="N45" s="1881"/>
      <c r="O45" s="1881"/>
      <c r="P45" s="1881"/>
      <c r="Q45" s="1881"/>
      <c r="R45" s="1881"/>
      <c r="S45" s="1881"/>
      <c r="T45" s="1881"/>
      <c r="U45" s="1881"/>
      <c r="V45" s="1881"/>
      <c r="W45" s="1881"/>
      <c r="X45" s="1881"/>
      <c r="Y45" s="1881"/>
      <c r="Z45" s="1881"/>
      <c r="AA45" s="1881"/>
      <c r="AB45" s="1881"/>
      <c r="AC45" s="1881"/>
      <c r="AD45" s="1881"/>
      <c r="AE45" s="1881"/>
      <c r="AF45" s="1881"/>
      <c r="AG45" s="1881"/>
      <c r="AH45" s="1881"/>
      <c r="AI45" s="1881"/>
      <c r="AJ45" s="1881"/>
      <c r="AK45" s="1881"/>
      <c r="AL45" s="1881"/>
      <c r="AM45" s="1881"/>
      <c r="AN45" s="1881"/>
    </row>
    <row r="46" spans="1:40" ht="15" customHeight="1">
      <c r="B46" s="902" t="s">
        <v>3588</v>
      </c>
      <c r="K46" s="1879"/>
      <c r="L46" s="1880"/>
      <c r="M46" s="1880"/>
      <c r="N46" s="902" t="s">
        <v>3490</v>
      </c>
      <c r="T46" s="1879"/>
      <c r="U46" s="1880"/>
      <c r="V46" s="1880"/>
      <c r="W46" s="1880"/>
      <c r="AC46" s="944" t="s">
        <v>3587</v>
      </c>
      <c r="AD46" s="1879"/>
      <c r="AE46" s="1880"/>
      <c r="AF46" s="1880"/>
      <c r="AG46" s="1880"/>
      <c r="AH46" s="1881"/>
      <c r="AI46" s="902" t="s">
        <v>381</v>
      </c>
    </row>
    <row r="47" spans="1:40" ht="15" customHeight="1">
      <c r="K47" s="1876"/>
      <c r="L47" s="1878"/>
      <c r="M47" s="1878"/>
      <c r="N47" s="1878"/>
      <c r="O47" s="1878"/>
      <c r="P47" s="1878"/>
      <c r="Q47" s="1878"/>
      <c r="R47" s="1878"/>
      <c r="S47" s="1878"/>
      <c r="T47" s="1878"/>
      <c r="U47" s="1878"/>
      <c r="V47" s="1878"/>
      <c r="W47" s="1878"/>
      <c r="X47" s="1878"/>
      <c r="Y47" s="1878"/>
      <c r="Z47" s="1878"/>
      <c r="AA47" s="1878"/>
      <c r="AB47" s="1878"/>
      <c r="AC47" s="1878"/>
      <c r="AD47" s="1878"/>
      <c r="AE47" s="1878"/>
      <c r="AF47" s="1878"/>
      <c r="AG47" s="1878"/>
      <c r="AH47" s="1878"/>
      <c r="AI47" s="1878"/>
      <c r="AJ47" s="1878"/>
      <c r="AK47" s="1878"/>
      <c r="AL47" s="1878"/>
      <c r="AM47" s="1878"/>
      <c r="AN47" s="1878"/>
    </row>
    <row r="48" spans="1:40" ht="15" customHeight="1">
      <c r="B48" s="902" t="s">
        <v>3586</v>
      </c>
      <c r="K48" s="902" t="s">
        <v>3558</v>
      </c>
      <c r="L48" s="1874"/>
      <c r="M48" s="1897"/>
      <c r="N48" s="1897"/>
      <c r="O48" s="1897"/>
      <c r="Q48" s="1876"/>
      <c r="R48" s="1876"/>
      <c r="S48" s="1876"/>
      <c r="T48" s="1876"/>
      <c r="U48" s="1876"/>
      <c r="V48" s="1876"/>
      <c r="W48" s="1876"/>
      <c r="X48" s="1876"/>
      <c r="Y48" s="1876"/>
      <c r="Z48" s="1876"/>
      <c r="AA48" s="1876"/>
      <c r="AB48" s="1876"/>
      <c r="AC48" s="1876"/>
      <c r="AD48" s="1876"/>
      <c r="AE48" s="1876"/>
      <c r="AF48" s="1876"/>
      <c r="AG48" s="1876"/>
      <c r="AH48" s="1876"/>
      <c r="AI48" s="1876"/>
      <c r="AJ48" s="1876"/>
      <c r="AK48" s="1876"/>
      <c r="AL48" s="1876"/>
      <c r="AM48" s="1876"/>
      <c r="AN48" s="1876"/>
    </row>
    <row r="49" spans="2:40" ht="15" customHeight="1">
      <c r="B49" s="902" t="s">
        <v>3555</v>
      </c>
      <c r="K49" s="1874"/>
      <c r="L49" s="1897"/>
      <c r="M49" s="1897"/>
      <c r="N49" s="1897"/>
      <c r="O49" s="1897"/>
      <c r="P49" s="1897"/>
      <c r="R49" s="902" t="s">
        <v>3585</v>
      </c>
      <c r="AC49" s="1876"/>
      <c r="AD49" s="1876"/>
      <c r="AE49" s="1876"/>
      <c r="AF49" s="1876"/>
      <c r="AG49" s="1876"/>
      <c r="AH49" s="1876"/>
      <c r="AI49" s="1876"/>
      <c r="AJ49" s="1876"/>
      <c r="AK49" s="1876"/>
      <c r="AL49" s="1876"/>
      <c r="AM49" s="1876"/>
      <c r="AN49" s="1876"/>
    </row>
    <row r="50" spans="2:40" ht="15" customHeight="1">
      <c r="K50" s="927"/>
      <c r="L50" s="943"/>
      <c r="M50" s="943"/>
      <c r="N50" s="943"/>
      <c r="O50" s="943"/>
      <c r="P50" s="943"/>
    </row>
  </sheetData>
  <mergeCells count="78">
    <mergeCell ref="A3:J3"/>
    <mergeCell ref="K21:AN21"/>
    <mergeCell ref="K22:M22"/>
    <mergeCell ref="T22:W22"/>
    <mergeCell ref="K5:AN5"/>
    <mergeCell ref="AD6:AH6"/>
    <mergeCell ref="AD12:AH12"/>
    <mergeCell ref="AD14:AH14"/>
    <mergeCell ref="K6:M6"/>
    <mergeCell ref="K4:M4"/>
    <mergeCell ref="Q8:AN8"/>
    <mergeCell ref="T6:W6"/>
    <mergeCell ref="T4:Y4"/>
    <mergeCell ref="K7:AN7"/>
    <mergeCell ref="AD4:AH4"/>
    <mergeCell ref="L8:O8"/>
    <mergeCell ref="A11:J11"/>
    <mergeCell ref="T12:Y12"/>
    <mergeCell ref="K13:AN13"/>
    <mergeCell ref="K12:M12"/>
    <mergeCell ref="K9:P9"/>
    <mergeCell ref="AC9:AN9"/>
    <mergeCell ref="K14:M14"/>
    <mergeCell ref="T14:W14"/>
    <mergeCell ref="K15:AN15"/>
    <mergeCell ref="L16:O16"/>
    <mergeCell ref="Q16:AN16"/>
    <mergeCell ref="K25:P25"/>
    <mergeCell ref="AC25:AN25"/>
    <mergeCell ref="A19:J19"/>
    <mergeCell ref="K20:M20"/>
    <mergeCell ref="T20:Y20"/>
    <mergeCell ref="AD20:AH20"/>
    <mergeCell ref="AC17:AN17"/>
    <mergeCell ref="AD22:AH22"/>
    <mergeCell ref="K23:AN23"/>
    <mergeCell ref="L24:O24"/>
    <mergeCell ref="Q24:AN24"/>
    <mergeCell ref="K17:P17"/>
    <mergeCell ref="A35:J35"/>
    <mergeCell ref="A27:J27"/>
    <mergeCell ref="K28:M28"/>
    <mergeCell ref="T28:Y28"/>
    <mergeCell ref="AD28:AH28"/>
    <mergeCell ref="K29:AN29"/>
    <mergeCell ref="K30:M30"/>
    <mergeCell ref="T30:W30"/>
    <mergeCell ref="AD30:AH30"/>
    <mergeCell ref="K31:AN31"/>
    <mergeCell ref="L32:O32"/>
    <mergeCell ref="Q32:AN32"/>
    <mergeCell ref="K33:P33"/>
    <mergeCell ref="AC33:AN33"/>
    <mergeCell ref="A43:J43"/>
    <mergeCell ref="K36:M36"/>
    <mergeCell ref="T36:Y36"/>
    <mergeCell ref="AD36:AH36"/>
    <mergeCell ref="K37:AN37"/>
    <mergeCell ref="K38:M38"/>
    <mergeCell ref="K41:P41"/>
    <mergeCell ref="AC41:AN41"/>
    <mergeCell ref="T38:W38"/>
    <mergeCell ref="AD38:AH38"/>
    <mergeCell ref="K39:AN39"/>
    <mergeCell ref="L40:O40"/>
    <mergeCell ref="Q40:AN40"/>
    <mergeCell ref="K44:M44"/>
    <mergeCell ref="T44:Y44"/>
    <mergeCell ref="AD44:AH44"/>
    <mergeCell ref="K45:AN45"/>
    <mergeCell ref="K46:M46"/>
    <mergeCell ref="T46:W46"/>
    <mergeCell ref="AD46:AH46"/>
    <mergeCell ref="K47:AN47"/>
    <mergeCell ref="L48:O48"/>
    <mergeCell ref="Q48:AN48"/>
    <mergeCell ref="K49:P49"/>
    <mergeCell ref="AC49:AN49"/>
  </mergeCells>
  <phoneticPr fontId="122"/>
  <dataValidations disablePrompts="1" count="4">
    <dataValidation type="list" allowBlank="1" showInputMessage="1" showErrorMessage="1" sqref="A3:J3 A19:J19 A35:J35" xr:uid="{00000000-0002-0000-2800-000000000000}">
      <formula1>"【選任した工事監理者】,【変更前工事監理者】"</formula1>
    </dataValidation>
    <dataValidation type="list" allowBlank="1" showInputMessage="1" showErrorMessage="1" sqref="A11:J11 A27:J27 A43:J43" xr:uid="{00000000-0002-0000-2800-000001000000}">
      <formula1>"【選任した工事監理者】,【変更後工事監理者】"</formula1>
    </dataValidation>
    <dataValidation type="list" allowBlank="1" showInputMessage="1" showErrorMessage="1" sqref="K12:M12 K14:M14 K28:M28 K30:M30 K44:M44 K46:M46" xr:uid="{00000000-0002-0000-2800-000002000000}">
      <formula1>"一級,二級"</formula1>
    </dataValidation>
    <dataValidation type="list" allowBlank="1" showInputMessage="1" sqref="K4:M4 K6:M6 K20:M20 K22:M22 K36:M36 K38:M38" xr:uid="{00000000-0002-0000-2800-000003000000}">
      <formula1>"一級,二級"</formula1>
    </dataValidation>
  </dataValidations>
  <pageMargins left="0.78740157480314965" right="0.59055118110236227" top="0.59055118110236227" bottom="0.39370078740157483" header="0.51181102362204722" footer="0.51181102362204722"/>
  <pageSetup paperSize="9" orientation="portrait" blackAndWhite="1"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N50"/>
  <sheetViews>
    <sheetView zoomScaleNormal="100" zoomScaleSheetLayoutView="100" workbookViewId="0"/>
  </sheetViews>
  <sheetFormatPr defaultColWidth="2.109375" defaultRowHeight="18" customHeight="1"/>
  <cols>
    <col min="1" max="1" width="2.109375" style="902" customWidth="1"/>
    <col min="2" max="16384" width="2.109375" style="902"/>
  </cols>
  <sheetData>
    <row r="1" spans="1:40" ht="18" customHeight="1">
      <c r="A1" s="902" t="s">
        <v>3645</v>
      </c>
    </row>
    <row r="2" spans="1:40" ht="9" customHeight="1"/>
    <row r="3" spans="1:40" ht="15" customHeight="1">
      <c r="A3" s="1923" t="s">
        <v>3644</v>
      </c>
      <c r="B3" s="1923"/>
      <c r="C3" s="1923"/>
      <c r="D3" s="1923"/>
      <c r="E3" s="1923"/>
      <c r="F3" s="1923"/>
      <c r="G3" s="1923"/>
      <c r="H3" s="1923"/>
      <c r="I3" s="1923"/>
      <c r="J3" s="1923"/>
    </row>
    <row r="4" spans="1:40" ht="15" customHeight="1">
      <c r="B4" s="902" t="s">
        <v>3642</v>
      </c>
      <c r="K4" s="927"/>
      <c r="L4" s="943"/>
      <c r="M4" s="943"/>
      <c r="N4" s="943"/>
      <c r="O4" s="943"/>
      <c r="P4" s="943"/>
      <c r="AC4" s="952"/>
      <c r="AD4" s="952"/>
      <c r="AE4" s="952"/>
      <c r="AF4" s="952"/>
      <c r="AG4" s="952"/>
      <c r="AH4" s="952"/>
      <c r="AI4" s="952"/>
      <c r="AJ4" s="952"/>
      <c r="AK4" s="952"/>
      <c r="AL4" s="952"/>
      <c r="AM4" s="952"/>
      <c r="AN4" s="952"/>
    </row>
    <row r="5" spans="1:40" ht="15" customHeight="1">
      <c r="B5" s="902" t="s">
        <v>3590</v>
      </c>
      <c r="K5" s="1885" t="str">
        <f>cst_wskakunin_sekkei1_SIKAKU</f>
        <v>一級</v>
      </c>
      <c r="L5" s="1886"/>
      <c r="M5" s="1886"/>
      <c r="N5" s="902" t="s">
        <v>3494</v>
      </c>
      <c r="T5" s="1887" t="str">
        <f>cst_wskakunin_sekkei1_TOUROKU_KIKAN</f>
        <v>国土交通大臣</v>
      </c>
      <c r="U5" s="1888"/>
      <c r="V5" s="1888"/>
      <c r="W5" s="1888"/>
      <c r="X5" s="1888"/>
      <c r="Y5" s="1888"/>
      <c r="AC5" s="944" t="s">
        <v>3589</v>
      </c>
      <c r="AD5" s="1885" t="str">
        <f>cst_wskakunin_sekkei1_KENTIKUSI_NO</f>
        <v>12121212</v>
      </c>
      <c r="AE5" s="1886"/>
      <c r="AF5" s="1886"/>
      <c r="AG5" s="1886"/>
      <c r="AH5" s="1884"/>
      <c r="AI5" s="902" t="s">
        <v>381</v>
      </c>
    </row>
    <row r="6" spans="1:40" ht="15" customHeight="1">
      <c r="B6" s="902" t="s">
        <v>3556</v>
      </c>
      <c r="K6" s="1851" t="str">
        <f>cst_wskakunin_sekkei1_NAME</f>
        <v>髙橋　一郎</v>
      </c>
      <c r="L6" s="1884"/>
      <c r="M6" s="1884"/>
      <c r="N6" s="1884"/>
      <c r="O6" s="1884"/>
      <c r="P6" s="1884"/>
      <c r="Q6" s="1884"/>
      <c r="R6" s="1884"/>
      <c r="S6" s="1884"/>
      <c r="T6" s="1884"/>
      <c r="U6" s="1884"/>
      <c r="V6" s="1884"/>
      <c r="W6" s="1884"/>
      <c r="X6" s="1884"/>
      <c r="Y6" s="1884"/>
      <c r="Z6" s="1884"/>
      <c r="AA6" s="1884"/>
      <c r="AB6" s="1884"/>
      <c r="AC6" s="1884"/>
      <c r="AD6" s="1884"/>
      <c r="AE6" s="1884"/>
      <c r="AF6" s="1884"/>
      <c r="AG6" s="1884"/>
      <c r="AH6" s="1884"/>
      <c r="AI6" s="1884"/>
      <c r="AJ6" s="1884"/>
      <c r="AK6" s="1884"/>
      <c r="AL6" s="1884"/>
      <c r="AM6" s="1884"/>
      <c r="AN6" s="1884"/>
    </row>
    <row r="7" spans="1:40" ht="15" customHeight="1">
      <c r="B7" s="902" t="s">
        <v>3588</v>
      </c>
      <c r="K7" s="1885" t="str">
        <f>cst_wskakunin_sekkei1_JIMU_SIKAKU</f>
        <v>一級</v>
      </c>
      <c r="L7" s="1886"/>
      <c r="M7" s="1886"/>
      <c r="N7" s="902" t="s">
        <v>3490</v>
      </c>
      <c r="T7" s="1885" t="str">
        <f>cst_wskakunin_sekkei1_JIMU_TOUROKU_KIKAN</f>
        <v>東京都</v>
      </c>
      <c r="U7" s="1886"/>
      <c r="V7" s="1886"/>
      <c r="W7" s="1886"/>
      <c r="AC7" s="944" t="s">
        <v>3587</v>
      </c>
      <c r="AD7" s="1885" t="str">
        <f>cst_wskakunin_sekkei1_JIMU_NO</f>
        <v>11111</v>
      </c>
      <c r="AE7" s="1886"/>
      <c r="AF7" s="1886"/>
      <c r="AG7" s="1886"/>
      <c r="AH7" s="1884"/>
      <c r="AI7" s="902" t="s">
        <v>381</v>
      </c>
    </row>
    <row r="8" spans="1:40" ht="15" customHeight="1">
      <c r="K8" s="1851" t="str">
        <f>cst_wskakunin_sekkei1_JIMU_NAME</f>
        <v>一級建築士事務所　UHEC</v>
      </c>
      <c r="L8" s="1884"/>
      <c r="M8" s="1884"/>
      <c r="N8" s="1884"/>
      <c r="O8" s="1884"/>
      <c r="P8" s="1884"/>
      <c r="Q8" s="1884"/>
      <c r="R8" s="1884"/>
      <c r="S8" s="1884"/>
      <c r="T8" s="1884"/>
      <c r="U8" s="1884"/>
      <c r="V8" s="1884"/>
      <c r="W8" s="1884"/>
      <c r="X8" s="1884"/>
      <c r="Y8" s="1884"/>
      <c r="Z8" s="1884"/>
      <c r="AA8" s="1884"/>
      <c r="AB8" s="1884"/>
      <c r="AC8" s="1884"/>
      <c r="AD8" s="1884"/>
      <c r="AE8" s="1884"/>
      <c r="AF8" s="1884"/>
      <c r="AG8" s="1884"/>
      <c r="AH8" s="1884"/>
      <c r="AI8" s="1884"/>
      <c r="AJ8" s="1884"/>
      <c r="AK8" s="1884"/>
      <c r="AL8" s="1884"/>
      <c r="AM8" s="1884"/>
      <c r="AN8" s="1884"/>
    </row>
    <row r="9" spans="1:40" ht="15" customHeight="1">
      <c r="B9" s="902" t="s">
        <v>3586</v>
      </c>
      <c r="K9" s="902" t="s">
        <v>3558</v>
      </c>
      <c r="L9" s="1851" t="str">
        <f>cst_wskakunin_sekkei1_ZIP</f>
        <v>105-0001</v>
      </c>
      <c r="M9" s="1884"/>
      <c r="N9" s="1884"/>
      <c r="O9" s="1884"/>
      <c r="Q9" s="1856" t="str">
        <f>cst_wskakunin_sekkei1__address</f>
        <v>東京都港区虎ノ門1-1-21</v>
      </c>
      <c r="R9" s="1856"/>
      <c r="S9" s="1856"/>
      <c r="T9" s="1856"/>
      <c r="U9" s="1856"/>
      <c r="V9" s="1856"/>
      <c r="W9" s="1856"/>
      <c r="X9" s="1856"/>
      <c r="Y9" s="1856"/>
      <c r="Z9" s="1856"/>
      <c r="AA9" s="1856"/>
      <c r="AB9" s="1856"/>
      <c r="AC9" s="1856"/>
      <c r="AD9" s="1856"/>
      <c r="AE9" s="1856"/>
      <c r="AF9" s="1856"/>
      <c r="AG9" s="1856"/>
      <c r="AH9" s="1856"/>
      <c r="AI9" s="1856"/>
      <c r="AJ9" s="1856"/>
      <c r="AK9" s="1856"/>
      <c r="AL9" s="1856"/>
      <c r="AM9" s="1856"/>
      <c r="AN9" s="1856"/>
    </row>
    <row r="10" spans="1:40" ht="15" customHeight="1">
      <c r="B10" s="902" t="s">
        <v>3555</v>
      </c>
      <c r="K10" s="1851" t="str">
        <f>cst_wskakunin_sekkei1_TEL</f>
        <v>03-3504-2386</v>
      </c>
      <c r="L10" s="1884"/>
      <c r="M10" s="1884"/>
      <c r="N10" s="1884"/>
      <c r="O10" s="1884"/>
      <c r="P10" s="1884"/>
      <c r="R10" s="1921" t="s">
        <v>3640</v>
      </c>
      <c r="S10" s="1921"/>
      <c r="T10" s="1921"/>
      <c r="U10" s="1921"/>
      <c r="V10" s="1921"/>
      <c r="W10" s="1921"/>
      <c r="X10" s="1921"/>
      <c r="Y10" s="1921"/>
      <c r="Z10" s="1921"/>
      <c r="AA10" s="1921"/>
      <c r="AB10" s="1921"/>
      <c r="AC10" s="1922"/>
      <c r="AD10" s="1856" t="str">
        <f>cst_wskakunin_sekkei1_DOC</f>
        <v>意匠図一式</v>
      </c>
      <c r="AE10" s="1856"/>
      <c r="AF10" s="1856"/>
      <c r="AG10" s="1856"/>
      <c r="AH10" s="1856"/>
      <c r="AI10" s="1856"/>
      <c r="AJ10" s="1856"/>
      <c r="AK10" s="1856"/>
      <c r="AL10" s="1856"/>
      <c r="AM10" s="1856"/>
      <c r="AN10" s="1856"/>
    </row>
    <row r="11" spans="1:40" ht="15" customHeight="1">
      <c r="K11" s="927"/>
      <c r="L11" s="943"/>
      <c r="M11" s="943"/>
      <c r="N11" s="943"/>
      <c r="O11" s="943"/>
      <c r="P11" s="943"/>
      <c r="AC11" s="952"/>
      <c r="AD11" s="952"/>
      <c r="AE11" s="952"/>
      <c r="AF11" s="952"/>
      <c r="AG11" s="952"/>
      <c r="AH11" s="952"/>
      <c r="AI11" s="952"/>
      <c r="AJ11" s="952"/>
      <c r="AK11" s="952"/>
      <c r="AL11" s="952"/>
      <c r="AM11" s="952"/>
      <c r="AN11" s="952"/>
    </row>
    <row r="12" spans="1:40" ht="15" customHeight="1">
      <c r="B12" s="902" t="s">
        <v>3641</v>
      </c>
      <c r="K12" s="927"/>
      <c r="L12" s="943"/>
      <c r="M12" s="943"/>
      <c r="N12" s="943"/>
      <c r="O12" s="943"/>
      <c r="P12" s="943"/>
      <c r="AC12" s="952"/>
      <c r="AD12" s="952"/>
      <c r="AE12" s="952"/>
      <c r="AF12" s="952"/>
      <c r="AG12" s="952"/>
      <c r="AH12" s="952"/>
      <c r="AI12" s="952"/>
      <c r="AJ12" s="952"/>
      <c r="AK12" s="952"/>
      <c r="AL12" s="952"/>
      <c r="AM12" s="952"/>
      <c r="AN12" s="952"/>
    </row>
    <row r="13" spans="1:40" ht="15" customHeight="1">
      <c r="B13" s="902" t="s">
        <v>3590</v>
      </c>
      <c r="K13" s="1885" t="str">
        <f>cst_wskakunin_sekkei2_SIKAKU</f>
        <v>一級</v>
      </c>
      <c r="L13" s="1886"/>
      <c r="M13" s="1886"/>
      <c r="N13" s="902" t="s">
        <v>3494</v>
      </c>
      <c r="T13" s="1887" t="str">
        <f>cst_wskakunin_sekkei2_TOUROKU_KIKAN</f>
        <v>国土交通大臣</v>
      </c>
      <c r="U13" s="1888"/>
      <c r="V13" s="1888"/>
      <c r="W13" s="1888"/>
      <c r="X13" s="1888"/>
      <c r="Y13" s="1888"/>
      <c r="AC13" s="944" t="s">
        <v>3589</v>
      </c>
      <c r="AD13" s="1885" t="str">
        <f>cst_wskakunin_sekkei2_KENTIKUSI_NO</f>
        <v>111111</v>
      </c>
      <c r="AE13" s="1886"/>
      <c r="AF13" s="1886"/>
      <c r="AG13" s="1886"/>
      <c r="AH13" s="1884"/>
      <c r="AI13" s="902" t="s">
        <v>381</v>
      </c>
    </row>
    <row r="14" spans="1:40" ht="15" customHeight="1">
      <c r="B14" s="902" t="s">
        <v>3556</v>
      </c>
      <c r="K14" s="1851" t="str">
        <f>cst_wskakunin_sekkei2_NAME</f>
        <v>藤田　ゆき子</v>
      </c>
      <c r="L14" s="1884"/>
      <c r="M14" s="1884"/>
      <c r="N14" s="1884"/>
      <c r="O14" s="1884"/>
      <c r="P14" s="1884"/>
      <c r="Q14" s="1884"/>
      <c r="R14" s="1884"/>
      <c r="S14" s="1884"/>
      <c r="T14" s="1884"/>
      <c r="U14" s="1884"/>
      <c r="V14" s="1884"/>
      <c r="W14" s="1884"/>
      <c r="X14" s="1884"/>
      <c r="Y14" s="1884"/>
      <c r="Z14" s="1884"/>
      <c r="AA14" s="1884"/>
      <c r="AB14" s="1884"/>
      <c r="AC14" s="1884"/>
      <c r="AD14" s="1884"/>
      <c r="AE14" s="1884"/>
      <c r="AF14" s="1884"/>
      <c r="AG14" s="1884"/>
      <c r="AH14" s="1884"/>
      <c r="AI14" s="1884"/>
      <c r="AJ14" s="1884"/>
      <c r="AK14" s="1884"/>
      <c r="AL14" s="1884"/>
      <c r="AM14" s="1884"/>
      <c r="AN14" s="1884"/>
    </row>
    <row r="15" spans="1:40" ht="15" customHeight="1">
      <c r="B15" s="902" t="s">
        <v>3588</v>
      </c>
      <c r="K15" s="1885" t="str">
        <f>cst_wskakunin_sekkei2_JIMU_SIKAKU</f>
        <v>一級</v>
      </c>
      <c r="L15" s="1886"/>
      <c r="M15" s="1886"/>
      <c r="N15" s="902" t="s">
        <v>3490</v>
      </c>
      <c r="T15" s="1885" t="str">
        <f>cst_wskakunin_sekkei2_JIMU_TOUROKU_KIKAN</f>
        <v>東京都</v>
      </c>
      <c r="U15" s="1886"/>
      <c r="V15" s="1886"/>
      <c r="W15" s="1886"/>
      <c r="AC15" s="944" t="s">
        <v>3587</v>
      </c>
      <c r="AD15" s="1885" t="str">
        <f>cst_wskakunin_sekkei2_JIMU_NO</f>
        <v>11111</v>
      </c>
      <c r="AE15" s="1886"/>
      <c r="AF15" s="1886"/>
      <c r="AG15" s="1886"/>
      <c r="AH15" s="1884"/>
      <c r="AI15" s="902" t="s">
        <v>381</v>
      </c>
    </row>
    <row r="16" spans="1:40" ht="15" customHeight="1">
      <c r="K16" s="1851" t="str">
        <f>cst_wskakunin_sekkei2_JIMU_NAME</f>
        <v>一級建築士事務所　UHEC</v>
      </c>
      <c r="L16" s="1884"/>
      <c r="M16" s="1884"/>
      <c r="N16" s="1884"/>
      <c r="O16" s="1884"/>
      <c r="P16" s="1884"/>
      <c r="Q16" s="1884"/>
      <c r="R16" s="1884"/>
      <c r="S16" s="1884"/>
      <c r="T16" s="1884"/>
      <c r="U16" s="1884"/>
      <c r="V16" s="1884"/>
      <c r="W16" s="1884"/>
      <c r="X16" s="1884"/>
      <c r="Y16" s="1884"/>
      <c r="Z16" s="1884"/>
      <c r="AA16" s="1884"/>
      <c r="AB16" s="1884"/>
      <c r="AC16" s="1884"/>
      <c r="AD16" s="1884"/>
      <c r="AE16" s="1884"/>
      <c r="AF16" s="1884"/>
      <c r="AG16" s="1884"/>
      <c r="AH16" s="1884"/>
      <c r="AI16" s="1884"/>
      <c r="AJ16" s="1884"/>
      <c r="AK16" s="1884"/>
      <c r="AL16" s="1884"/>
      <c r="AM16" s="1884"/>
      <c r="AN16" s="1884"/>
    </row>
    <row r="17" spans="1:40" ht="15" customHeight="1">
      <c r="B17" s="902" t="s">
        <v>3586</v>
      </c>
      <c r="K17" s="902" t="s">
        <v>3558</v>
      </c>
      <c r="L17" s="1851" t="str">
        <f>cst_wskakunin_sekkei2_ZIP</f>
        <v>105-0001</v>
      </c>
      <c r="M17" s="1884"/>
      <c r="N17" s="1884"/>
      <c r="O17" s="1884"/>
      <c r="Q17" s="1856" t="str">
        <f>cst_wskakunin_sekkei2__address</f>
        <v>東京都港区虎ノ門1-1-21</v>
      </c>
      <c r="R17" s="1856"/>
      <c r="S17" s="1856"/>
      <c r="T17" s="1856"/>
      <c r="U17" s="1856"/>
      <c r="V17" s="1856"/>
      <c r="W17" s="1856"/>
      <c r="X17" s="1856"/>
      <c r="Y17" s="1856"/>
      <c r="Z17" s="1856"/>
      <c r="AA17" s="1856"/>
      <c r="AB17" s="1856"/>
      <c r="AC17" s="1856"/>
      <c r="AD17" s="1856"/>
      <c r="AE17" s="1856"/>
      <c r="AF17" s="1856"/>
      <c r="AG17" s="1856"/>
      <c r="AH17" s="1856"/>
      <c r="AI17" s="1856"/>
      <c r="AJ17" s="1856"/>
      <c r="AK17" s="1856"/>
      <c r="AL17" s="1856"/>
      <c r="AM17" s="1856"/>
      <c r="AN17" s="1856"/>
    </row>
    <row r="18" spans="1:40" ht="15" customHeight="1">
      <c r="B18" s="902" t="s">
        <v>3555</v>
      </c>
      <c r="K18" s="1851" t="str">
        <f>cst_wskakunin_sekkei2_TEL</f>
        <v>03-3504-2386</v>
      </c>
      <c r="L18" s="1884"/>
      <c r="M18" s="1884"/>
      <c r="N18" s="1884"/>
      <c r="O18" s="1884"/>
      <c r="P18" s="1884"/>
      <c r="R18" s="1921" t="s">
        <v>3640</v>
      </c>
      <c r="S18" s="1921"/>
      <c r="T18" s="1921"/>
      <c r="U18" s="1921"/>
      <c r="V18" s="1921"/>
      <c r="W18" s="1921"/>
      <c r="X18" s="1921"/>
      <c r="Y18" s="1921"/>
      <c r="Z18" s="1921"/>
      <c r="AA18" s="1921"/>
      <c r="AB18" s="1921"/>
      <c r="AC18" s="1922"/>
      <c r="AD18" s="1856" t="str">
        <f>cst_wskakunin_sekkei2_DOC</f>
        <v>設計図書一式</v>
      </c>
      <c r="AE18" s="1856"/>
      <c r="AF18" s="1856"/>
      <c r="AG18" s="1856"/>
      <c r="AH18" s="1856"/>
      <c r="AI18" s="1856"/>
      <c r="AJ18" s="1856"/>
      <c r="AK18" s="1856"/>
      <c r="AL18" s="1856"/>
      <c r="AM18" s="1856"/>
      <c r="AN18" s="1856"/>
    </row>
    <row r="19" spans="1:40" ht="15" customHeight="1">
      <c r="K19" s="927"/>
      <c r="L19" s="943"/>
      <c r="M19" s="943"/>
      <c r="N19" s="943"/>
      <c r="O19" s="943"/>
      <c r="P19" s="943"/>
      <c r="AC19" s="952"/>
      <c r="AD19" s="952"/>
      <c r="AE19" s="952"/>
      <c r="AF19" s="952"/>
      <c r="AG19" s="952"/>
      <c r="AH19" s="952"/>
      <c r="AI19" s="952"/>
      <c r="AJ19" s="952"/>
      <c r="AK19" s="952"/>
      <c r="AL19" s="952"/>
      <c r="AM19" s="952"/>
      <c r="AN19" s="952"/>
    </row>
    <row r="20" spans="1:40" ht="15" customHeight="1">
      <c r="B20" s="902" t="s">
        <v>3590</v>
      </c>
      <c r="K20" s="1885" t="str">
        <f>cst_wskakunin_sekkei3_SIKAKU</f>
        <v>一級</v>
      </c>
      <c r="L20" s="1886"/>
      <c r="M20" s="1886"/>
      <c r="N20" s="902" t="s">
        <v>3494</v>
      </c>
      <c r="T20" s="1887" t="str">
        <f>cst_wskakunin_sekkei3_TOUROKU_KIKAN</f>
        <v>国土交通大臣</v>
      </c>
      <c r="U20" s="1888"/>
      <c r="V20" s="1888"/>
      <c r="W20" s="1888"/>
      <c r="X20" s="1888"/>
      <c r="Y20" s="1888"/>
      <c r="AC20" s="944" t="s">
        <v>3589</v>
      </c>
      <c r="AD20" s="1885" t="str">
        <f>cst_wskakunin_sekkei3_KENTIKUSI_NO</f>
        <v>1234556</v>
      </c>
      <c r="AE20" s="1886"/>
      <c r="AF20" s="1886"/>
      <c r="AG20" s="1886"/>
      <c r="AH20" s="1884"/>
      <c r="AI20" s="902" t="s">
        <v>381</v>
      </c>
    </row>
    <row r="21" spans="1:40" ht="15" customHeight="1">
      <c r="B21" s="902" t="s">
        <v>3556</v>
      </c>
      <c r="K21" s="1851" t="str">
        <f>cst_wskakunin_sekkei3_NAME</f>
        <v>橋上　眞光</v>
      </c>
      <c r="L21" s="1884"/>
      <c r="M21" s="1884"/>
      <c r="N21" s="1884"/>
      <c r="O21" s="1884"/>
      <c r="P21" s="1884"/>
      <c r="Q21" s="1884"/>
      <c r="R21" s="1884"/>
      <c r="S21" s="1884"/>
      <c r="T21" s="1884"/>
      <c r="U21" s="1884"/>
      <c r="V21" s="1884"/>
      <c r="W21" s="1884"/>
      <c r="X21" s="1884"/>
      <c r="Y21" s="1884"/>
      <c r="Z21" s="1884"/>
      <c r="AA21" s="1884"/>
      <c r="AB21" s="1884"/>
      <c r="AC21" s="1884"/>
      <c r="AD21" s="1884"/>
      <c r="AE21" s="1884"/>
      <c r="AF21" s="1884"/>
      <c r="AG21" s="1884"/>
      <c r="AH21" s="1884"/>
      <c r="AI21" s="1884"/>
      <c r="AJ21" s="1884"/>
      <c r="AK21" s="1884"/>
      <c r="AL21" s="1884"/>
      <c r="AM21" s="1884"/>
      <c r="AN21" s="1884"/>
    </row>
    <row r="22" spans="1:40" ht="15" customHeight="1">
      <c r="B22" s="902" t="s">
        <v>3588</v>
      </c>
      <c r="K22" s="1885" t="str">
        <f>cst_wskakunin_sekkei3_JIMU_SIKAKU</f>
        <v>一級</v>
      </c>
      <c r="L22" s="1886"/>
      <c r="M22" s="1886"/>
      <c r="N22" s="902" t="s">
        <v>3490</v>
      </c>
      <c r="T22" s="1885" t="str">
        <f>cst_wskakunin_sekkei3_JIMU_TOUROKU_KIKAN</f>
        <v>東京都</v>
      </c>
      <c r="U22" s="1886"/>
      <c r="V22" s="1886"/>
      <c r="W22" s="1886"/>
      <c r="AC22" s="944" t="s">
        <v>3587</v>
      </c>
      <c r="AD22" s="1885" t="str">
        <f>cst_wskakunin_sekkei3_JIMU_NO</f>
        <v>11111</v>
      </c>
      <c r="AE22" s="1886"/>
      <c r="AF22" s="1886"/>
      <c r="AG22" s="1886"/>
      <c r="AH22" s="1884"/>
      <c r="AI22" s="902" t="s">
        <v>381</v>
      </c>
    </row>
    <row r="23" spans="1:40" ht="15" customHeight="1">
      <c r="K23" s="1851" t="str">
        <f>cst_wskakunin_sekkei3_JIMU_NAME</f>
        <v>一級建築士事務所　UHEC</v>
      </c>
      <c r="L23" s="1884"/>
      <c r="M23" s="1884"/>
      <c r="N23" s="1884"/>
      <c r="O23" s="1884"/>
      <c r="P23" s="1884"/>
      <c r="Q23" s="1884"/>
      <c r="R23" s="1884"/>
      <c r="S23" s="1884"/>
      <c r="T23" s="1884"/>
      <c r="U23" s="1884"/>
      <c r="V23" s="1884"/>
      <c r="W23" s="1884"/>
      <c r="X23" s="1884"/>
      <c r="Y23" s="1884"/>
      <c r="Z23" s="1884"/>
      <c r="AA23" s="1884"/>
      <c r="AB23" s="1884"/>
      <c r="AC23" s="1884"/>
      <c r="AD23" s="1884"/>
      <c r="AE23" s="1884"/>
      <c r="AF23" s="1884"/>
      <c r="AG23" s="1884"/>
      <c r="AH23" s="1884"/>
      <c r="AI23" s="1884"/>
      <c r="AJ23" s="1884"/>
      <c r="AK23" s="1884"/>
      <c r="AL23" s="1884"/>
      <c r="AM23" s="1884"/>
      <c r="AN23" s="1884"/>
    </row>
    <row r="24" spans="1:40" ht="15" customHeight="1">
      <c r="B24" s="902" t="s">
        <v>3586</v>
      </c>
      <c r="K24" s="902" t="s">
        <v>3558</v>
      </c>
      <c r="L24" s="1851" t="str">
        <f>cst_wskakunin_sekkei3_ZIP</f>
        <v>105-0001</v>
      </c>
      <c r="M24" s="1884"/>
      <c r="N24" s="1884"/>
      <c r="O24" s="1884"/>
      <c r="Q24" s="1856" t="str">
        <f>cst_wskakunin_sekkei3__address</f>
        <v>東京都港区虎ノ門1-1-21</v>
      </c>
      <c r="R24" s="1856"/>
      <c r="S24" s="1856"/>
      <c r="T24" s="1856"/>
      <c r="U24" s="1856"/>
      <c r="V24" s="1856"/>
      <c r="W24" s="1856"/>
      <c r="X24" s="1856"/>
      <c r="Y24" s="1856"/>
      <c r="Z24" s="1856"/>
      <c r="AA24" s="1856"/>
      <c r="AB24" s="1856"/>
      <c r="AC24" s="1856"/>
      <c r="AD24" s="1856"/>
      <c r="AE24" s="1856"/>
      <c r="AF24" s="1856"/>
      <c r="AG24" s="1856"/>
      <c r="AH24" s="1856"/>
      <c r="AI24" s="1856"/>
      <c r="AJ24" s="1856"/>
      <c r="AK24" s="1856"/>
      <c r="AL24" s="1856"/>
      <c r="AM24" s="1856"/>
      <c r="AN24" s="1856"/>
    </row>
    <row r="25" spans="1:40" ht="15" customHeight="1">
      <c r="B25" s="902" t="s">
        <v>3555</v>
      </c>
      <c r="K25" s="1851" t="str">
        <f>cst_wskakunin_sekkei3_TEL</f>
        <v>03-3504-2386</v>
      </c>
      <c r="L25" s="1884"/>
      <c r="M25" s="1884"/>
      <c r="N25" s="1884"/>
      <c r="O25" s="1884"/>
      <c r="P25" s="1884"/>
      <c r="R25" s="1921" t="s">
        <v>3640</v>
      </c>
      <c r="S25" s="1921"/>
      <c r="T25" s="1921"/>
      <c r="U25" s="1921"/>
      <c r="V25" s="1921"/>
      <c r="W25" s="1921"/>
      <c r="X25" s="1921"/>
      <c r="Y25" s="1921"/>
      <c r="Z25" s="1921"/>
      <c r="AA25" s="1921"/>
      <c r="AB25" s="1921"/>
      <c r="AC25" s="1922"/>
      <c r="AD25" s="1856" t="str">
        <f>cst_wskakunin_sekkei3_DOC</f>
        <v>意匠図</v>
      </c>
      <c r="AE25" s="1856"/>
      <c r="AF25" s="1856"/>
      <c r="AG25" s="1856"/>
      <c r="AH25" s="1856"/>
      <c r="AI25" s="1856"/>
      <c r="AJ25" s="1856"/>
      <c r="AK25" s="1856"/>
      <c r="AL25" s="1856"/>
      <c r="AM25" s="1856"/>
      <c r="AN25" s="1856"/>
    </row>
    <row r="26" spans="1:40" ht="15" customHeight="1">
      <c r="K26" s="927"/>
      <c r="L26" s="943"/>
      <c r="M26" s="943"/>
      <c r="N26" s="943"/>
      <c r="O26" s="943"/>
      <c r="P26" s="943"/>
      <c r="AC26" s="952"/>
      <c r="AD26" s="952"/>
      <c r="AE26" s="952"/>
      <c r="AF26" s="952"/>
      <c r="AG26" s="952"/>
      <c r="AH26" s="952"/>
      <c r="AI26" s="952"/>
      <c r="AJ26" s="952"/>
      <c r="AK26" s="952"/>
      <c r="AL26" s="952"/>
      <c r="AM26" s="952"/>
      <c r="AN26" s="952"/>
    </row>
    <row r="27" spans="1:40" ht="15" customHeight="1">
      <c r="K27" s="927"/>
      <c r="L27" s="943"/>
      <c r="M27" s="943"/>
      <c r="N27" s="943"/>
      <c r="O27" s="943"/>
      <c r="P27" s="943"/>
    </row>
    <row r="28" spans="1:40" ht="15" customHeight="1">
      <c r="A28" s="1923" t="s">
        <v>3643</v>
      </c>
      <c r="B28" s="1923"/>
      <c r="C28" s="1923"/>
      <c r="D28" s="1923"/>
      <c r="E28" s="1923"/>
      <c r="F28" s="1923"/>
      <c r="G28" s="1923"/>
      <c r="H28" s="1923"/>
      <c r="I28" s="1923"/>
      <c r="J28" s="1923"/>
    </row>
    <row r="29" spans="1:40" ht="15" customHeight="1">
      <c r="B29" s="902" t="s">
        <v>3642</v>
      </c>
      <c r="K29" s="927"/>
      <c r="L29" s="943"/>
      <c r="M29" s="943"/>
      <c r="N29" s="943"/>
      <c r="O29" s="943"/>
      <c r="P29" s="943"/>
      <c r="AC29" s="952"/>
      <c r="AD29" s="952"/>
      <c r="AE29" s="952"/>
      <c r="AF29" s="952"/>
      <c r="AG29" s="952"/>
      <c r="AH29" s="952"/>
      <c r="AI29" s="952"/>
      <c r="AJ29" s="952"/>
      <c r="AK29" s="952"/>
      <c r="AL29" s="952"/>
      <c r="AM29" s="952"/>
      <c r="AN29" s="952"/>
    </row>
    <row r="30" spans="1:40" ht="15" customHeight="1">
      <c r="B30" s="902" t="s">
        <v>3590</v>
      </c>
      <c r="K30" s="1879" t="s">
        <v>120</v>
      </c>
      <c r="L30" s="1880"/>
      <c r="M30" s="1880"/>
      <c r="N30" s="902" t="s">
        <v>3494</v>
      </c>
      <c r="T30" s="1882" t="s">
        <v>145</v>
      </c>
      <c r="U30" s="1883"/>
      <c r="V30" s="1883"/>
      <c r="W30" s="1883"/>
      <c r="X30" s="1883"/>
      <c r="Y30" s="1883"/>
      <c r="AC30" s="944" t="s">
        <v>3589</v>
      </c>
      <c r="AD30" s="1879"/>
      <c r="AE30" s="1880"/>
      <c r="AF30" s="1880"/>
      <c r="AG30" s="1880"/>
      <c r="AH30" s="1881"/>
      <c r="AI30" s="902" t="s">
        <v>381</v>
      </c>
    </row>
    <row r="31" spans="1:40" ht="15" customHeight="1">
      <c r="B31" s="902" t="s">
        <v>3556</v>
      </c>
      <c r="K31" s="1859"/>
      <c r="L31" s="1881"/>
      <c r="M31" s="1881"/>
      <c r="N31" s="1881"/>
      <c r="O31" s="1881"/>
      <c r="P31" s="1881"/>
      <c r="Q31" s="1881"/>
      <c r="R31" s="1881"/>
      <c r="S31" s="1881"/>
      <c r="T31" s="1881"/>
      <c r="U31" s="1881"/>
      <c r="V31" s="1881"/>
      <c r="W31" s="1881"/>
      <c r="X31" s="1881"/>
      <c r="Y31" s="1881"/>
      <c r="Z31" s="1881"/>
      <c r="AA31" s="1881"/>
      <c r="AB31" s="1881"/>
      <c r="AC31" s="1881"/>
      <c r="AD31" s="1881"/>
      <c r="AE31" s="1881"/>
      <c r="AF31" s="1881"/>
      <c r="AG31" s="1881"/>
      <c r="AH31" s="1881"/>
      <c r="AI31" s="1881"/>
      <c r="AJ31" s="1881"/>
      <c r="AK31" s="1881"/>
      <c r="AL31" s="1881"/>
      <c r="AM31" s="1881"/>
      <c r="AN31" s="1881"/>
    </row>
    <row r="32" spans="1:40" ht="15" customHeight="1">
      <c r="B32" s="902" t="s">
        <v>3588</v>
      </c>
      <c r="K32" s="1879" t="s">
        <v>120</v>
      </c>
      <c r="L32" s="1880"/>
      <c r="M32" s="1880"/>
      <c r="N32" s="902" t="s">
        <v>3490</v>
      </c>
      <c r="T32" s="1879"/>
      <c r="U32" s="1880"/>
      <c r="V32" s="1880"/>
      <c r="W32" s="1880"/>
      <c r="AC32" s="944" t="s">
        <v>3587</v>
      </c>
      <c r="AD32" s="1879"/>
      <c r="AE32" s="1880"/>
      <c r="AF32" s="1880"/>
      <c r="AG32" s="1880"/>
      <c r="AH32" s="1881"/>
      <c r="AI32" s="902" t="s">
        <v>381</v>
      </c>
    </row>
    <row r="33" spans="2:40" ht="15" customHeight="1">
      <c r="K33" s="1859"/>
      <c r="L33" s="1881"/>
      <c r="M33" s="1881"/>
      <c r="N33" s="1881"/>
      <c r="O33" s="1881"/>
      <c r="P33" s="1881"/>
      <c r="Q33" s="1881"/>
      <c r="R33" s="1881"/>
      <c r="S33" s="1881"/>
      <c r="T33" s="1881"/>
      <c r="U33" s="1881"/>
      <c r="V33" s="1881"/>
      <c r="W33" s="1881"/>
      <c r="X33" s="1881"/>
      <c r="Y33" s="1881"/>
      <c r="Z33" s="1881"/>
      <c r="AA33" s="1881"/>
      <c r="AB33" s="1881"/>
      <c r="AC33" s="1881"/>
      <c r="AD33" s="1881"/>
      <c r="AE33" s="1881"/>
      <c r="AF33" s="1881"/>
      <c r="AG33" s="1881"/>
      <c r="AH33" s="1881"/>
      <c r="AI33" s="1881"/>
      <c r="AJ33" s="1881"/>
      <c r="AK33" s="1881"/>
      <c r="AL33" s="1881"/>
      <c r="AM33" s="1881"/>
      <c r="AN33" s="1881"/>
    </row>
    <row r="34" spans="2:40" ht="15" customHeight="1">
      <c r="B34" s="902" t="s">
        <v>3586</v>
      </c>
      <c r="K34" s="902" t="s">
        <v>3558</v>
      </c>
      <c r="L34" s="1874"/>
      <c r="M34" s="1897"/>
      <c r="N34" s="1897"/>
      <c r="O34" s="1897"/>
      <c r="Q34" s="1876"/>
      <c r="R34" s="1876"/>
      <c r="S34" s="1876"/>
      <c r="T34" s="1876"/>
      <c r="U34" s="1876"/>
      <c r="V34" s="1876"/>
      <c r="W34" s="1876"/>
      <c r="X34" s="1876"/>
      <c r="Y34" s="1876"/>
      <c r="Z34" s="1876"/>
      <c r="AA34" s="1876"/>
      <c r="AB34" s="1876"/>
      <c r="AC34" s="1876"/>
      <c r="AD34" s="1876"/>
      <c r="AE34" s="1876"/>
      <c r="AF34" s="1876"/>
      <c r="AG34" s="1876"/>
      <c r="AH34" s="1876"/>
      <c r="AI34" s="1876"/>
      <c r="AJ34" s="1876"/>
      <c r="AK34" s="1876"/>
      <c r="AL34" s="1876"/>
      <c r="AM34" s="1876"/>
      <c r="AN34" s="1876"/>
    </row>
    <row r="35" spans="2:40" ht="15" customHeight="1">
      <c r="B35" s="902" t="s">
        <v>3555</v>
      </c>
      <c r="K35" s="1874"/>
      <c r="L35" s="1897"/>
      <c r="M35" s="1897"/>
      <c r="N35" s="1897"/>
      <c r="O35" s="1897"/>
      <c r="P35" s="1897"/>
      <c r="R35" s="1921" t="s">
        <v>3640</v>
      </c>
      <c r="S35" s="1921"/>
      <c r="T35" s="1921"/>
      <c r="U35" s="1921"/>
      <c r="V35" s="1921"/>
      <c r="W35" s="1921"/>
      <c r="X35" s="1921"/>
      <c r="Y35" s="1921"/>
      <c r="Z35" s="1921"/>
      <c r="AA35" s="1921"/>
      <c r="AB35" s="1921"/>
      <c r="AC35" s="1922"/>
      <c r="AD35" s="1876"/>
      <c r="AE35" s="1876"/>
      <c r="AF35" s="1876"/>
      <c r="AG35" s="1876"/>
      <c r="AH35" s="1876"/>
      <c r="AI35" s="1876"/>
      <c r="AJ35" s="1876"/>
      <c r="AK35" s="1876"/>
      <c r="AL35" s="1876"/>
      <c r="AM35" s="1876"/>
      <c r="AN35" s="1876"/>
    </row>
    <row r="36" spans="2:40" ht="15" customHeight="1">
      <c r="K36" s="927"/>
      <c r="L36" s="943"/>
      <c r="M36" s="943"/>
      <c r="N36" s="943"/>
      <c r="O36" s="943"/>
      <c r="P36" s="943"/>
      <c r="AC36" s="952"/>
      <c r="AD36" s="952"/>
      <c r="AE36" s="952"/>
      <c r="AF36" s="952"/>
      <c r="AG36" s="952"/>
      <c r="AH36" s="952"/>
      <c r="AI36" s="952"/>
      <c r="AJ36" s="952"/>
      <c r="AK36" s="952"/>
      <c r="AL36" s="952"/>
      <c r="AM36" s="952"/>
      <c r="AN36" s="952"/>
    </row>
    <row r="37" spans="2:40" ht="15" customHeight="1">
      <c r="B37" s="902" t="s">
        <v>3641</v>
      </c>
      <c r="K37" s="927"/>
      <c r="L37" s="943"/>
      <c r="M37" s="943"/>
      <c r="N37" s="943"/>
      <c r="O37" s="943"/>
      <c r="P37" s="943"/>
      <c r="AC37" s="952"/>
      <c r="AD37" s="952"/>
      <c r="AE37" s="952"/>
      <c r="AF37" s="952"/>
      <c r="AG37" s="952"/>
      <c r="AH37" s="952"/>
      <c r="AI37" s="952"/>
      <c r="AJ37" s="952"/>
      <c r="AK37" s="952"/>
      <c r="AL37" s="952"/>
      <c r="AM37" s="952"/>
      <c r="AN37" s="952"/>
    </row>
    <row r="38" spans="2:40" ht="15" customHeight="1">
      <c r="B38" s="902" t="s">
        <v>3590</v>
      </c>
      <c r="K38" s="1879" t="s">
        <v>120</v>
      </c>
      <c r="L38" s="1880"/>
      <c r="M38" s="1880"/>
      <c r="N38" s="902" t="s">
        <v>3494</v>
      </c>
      <c r="T38" s="1882" t="s">
        <v>145</v>
      </c>
      <c r="U38" s="1883"/>
      <c r="V38" s="1883"/>
      <c r="W38" s="1883"/>
      <c r="X38" s="1883"/>
      <c r="Y38" s="1883"/>
      <c r="AC38" s="944" t="s">
        <v>3589</v>
      </c>
      <c r="AD38" s="1879"/>
      <c r="AE38" s="1880"/>
      <c r="AF38" s="1880"/>
      <c r="AG38" s="1880"/>
      <c r="AH38" s="1881"/>
      <c r="AI38" s="902" t="s">
        <v>381</v>
      </c>
    </row>
    <row r="39" spans="2:40" ht="15" customHeight="1">
      <c r="B39" s="902" t="s">
        <v>3556</v>
      </c>
      <c r="K39" s="1859"/>
      <c r="L39" s="1881"/>
      <c r="M39" s="1881"/>
      <c r="N39" s="1881"/>
      <c r="O39" s="1881"/>
      <c r="P39" s="1881"/>
      <c r="Q39" s="1881"/>
      <c r="R39" s="1881"/>
      <c r="S39" s="1881"/>
      <c r="T39" s="1881"/>
      <c r="U39" s="1881"/>
      <c r="V39" s="1881"/>
      <c r="W39" s="1881"/>
      <c r="X39" s="1881"/>
      <c r="Y39" s="1881"/>
      <c r="Z39" s="1881"/>
      <c r="AA39" s="1881"/>
      <c r="AB39" s="1881"/>
      <c r="AC39" s="1881"/>
      <c r="AD39" s="1881"/>
      <c r="AE39" s="1881"/>
      <c r="AF39" s="1881"/>
      <c r="AG39" s="1881"/>
      <c r="AH39" s="1881"/>
      <c r="AI39" s="1881"/>
      <c r="AJ39" s="1881"/>
      <c r="AK39" s="1881"/>
      <c r="AL39" s="1881"/>
      <c r="AM39" s="1881"/>
      <c r="AN39" s="1881"/>
    </row>
    <row r="40" spans="2:40" ht="15" customHeight="1">
      <c r="B40" s="902" t="s">
        <v>3588</v>
      </c>
      <c r="K40" s="1879" t="s">
        <v>120</v>
      </c>
      <c r="L40" s="1880"/>
      <c r="M40" s="1880"/>
      <c r="N40" s="902" t="s">
        <v>3490</v>
      </c>
      <c r="T40" s="1879"/>
      <c r="U40" s="1880"/>
      <c r="V40" s="1880"/>
      <c r="W40" s="1880"/>
      <c r="AC40" s="944" t="s">
        <v>3587</v>
      </c>
      <c r="AD40" s="1879"/>
      <c r="AE40" s="1880"/>
      <c r="AF40" s="1880"/>
      <c r="AG40" s="1880"/>
      <c r="AH40" s="1881"/>
      <c r="AI40" s="902" t="s">
        <v>381</v>
      </c>
    </row>
    <row r="41" spans="2:40" ht="15" customHeight="1">
      <c r="K41" s="1859"/>
      <c r="L41" s="1881"/>
      <c r="M41" s="1881"/>
      <c r="N41" s="1881"/>
      <c r="O41" s="1881"/>
      <c r="P41" s="1881"/>
      <c r="Q41" s="1881"/>
      <c r="R41" s="1881"/>
      <c r="S41" s="1881"/>
      <c r="T41" s="1881"/>
      <c r="U41" s="1881"/>
      <c r="V41" s="1881"/>
      <c r="W41" s="1881"/>
      <c r="X41" s="1881"/>
      <c r="Y41" s="1881"/>
      <c r="Z41" s="1881"/>
      <c r="AA41" s="1881"/>
      <c r="AB41" s="1881"/>
      <c r="AC41" s="1881"/>
      <c r="AD41" s="1881"/>
      <c r="AE41" s="1881"/>
      <c r="AF41" s="1881"/>
      <c r="AG41" s="1881"/>
      <c r="AH41" s="1881"/>
      <c r="AI41" s="1881"/>
      <c r="AJ41" s="1881"/>
      <c r="AK41" s="1881"/>
      <c r="AL41" s="1881"/>
      <c r="AM41" s="1881"/>
      <c r="AN41" s="1881"/>
    </row>
    <row r="42" spans="2:40" ht="15" customHeight="1">
      <c r="B42" s="902" t="s">
        <v>3586</v>
      </c>
      <c r="K42" s="902" t="s">
        <v>3558</v>
      </c>
      <c r="L42" s="1874"/>
      <c r="M42" s="1897"/>
      <c r="N42" s="1897"/>
      <c r="O42" s="1897"/>
      <c r="Q42" s="1876"/>
      <c r="R42" s="1876"/>
      <c r="S42" s="1876"/>
      <c r="T42" s="1876"/>
      <c r="U42" s="1876"/>
      <c r="V42" s="1876"/>
      <c r="W42" s="1876"/>
      <c r="X42" s="1876"/>
      <c r="Y42" s="1876"/>
      <c r="Z42" s="1876"/>
      <c r="AA42" s="1876"/>
      <c r="AB42" s="1876"/>
      <c r="AC42" s="1876"/>
      <c r="AD42" s="1876"/>
      <c r="AE42" s="1876"/>
      <c r="AF42" s="1876"/>
      <c r="AG42" s="1876"/>
      <c r="AH42" s="1876"/>
      <c r="AI42" s="1876"/>
      <c r="AJ42" s="1876"/>
      <c r="AK42" s="1876"/>
      <c r="AL42" s="1876"/>
      <c r="AM42" s="1876"/>
      <c r="AN42" s="1876"/>
    </row>
    <row r="43" spans="2:40" ht="15" customHeight="1">
      <c r="B43" s="902" t="s">
        <v>3555</v>
      </c>
      <c r="K43" s="1874"/>
      <c r="L43" s="1897"/>
      <c r="M43" s="1897"/>
      <c r="N43" s="1897"/>
      <c r="O43" s="1897"/>
      <c r="P43" s="1897"/>
      <c r="R43" s="1921" t="s">
        <v>3640</v>
      </c>
      <c r="S43" s="1921"/>
      <c r="T43" s="1921"/>
      <c r="U43" s="1921"/>
      <c r="V43" s="1921"/>
      <c r="W43" s="1921"/>
      <c r="X43" s="1921"/>
      <c r="Y43" s="1921"/>
      <c r="Z43" s="1921"/>
      <c r="AA43" s="1921"/>
      <c r="AB43" s="1921"/>
      <c r="AC43" s="1922"/>
      <c r="AD43" s="1876"/>
      <c r="AE43" s="1876"/>
      <c r="AF43" s="1876"/>
      <c r="AG43" s="1876"/>
      <c r="AH43" s="1876"/>
      <c r="AI43" s="1876"/>
      <c r="AJ43" s="1876"/>
      <c r="AK43" s="1876"/>
      <c r="AL43" s="1876"/>
      <c r="AM43" s="1876"/>
      <c r="AN43" s="1876"/>
    </row>
    <row r="44" spans="2:40" ht="15.75" customHeight="1"/>
    <row r="45" spans="2:40" ht="15" customHeight="1">
      <c r="B45" s="902" t="s">
        <v>3590</v>
      </c>
      <c r="K45" s="1879" t="s">
        <v>120</v>
      </c>
      <c r="L45" s="1879"/>
      <c r="M45" s="1879"/>
      <c r="N45" s="902" t="s">
        <v>3494</v>
      </c>
      <c r="T45" s="1882" t="s">
        <v>145</v>
      </c>
      <c r="U45" s="1882"/>
      <c r="V45" s="1882"/>
      <c r="W45" s="1882"/>
      <c r="X45" s="1882"/>
      <c r="Y45" s="1882"/>
      <c r="AC45" s="944" t="s">
        <v>3589</v>
      </c>
      <c r="AD45" s="1879"/>
      <c r="AE45" s="1879"/>
      <c r="AF45" s="1879"/>
      <c r="AG45" s="1879"/>
      <c r="AH45" s="1879"/>
      <c r="AI45" s="902" t="s">
        <v>381</v>
      </c>
    </row>
    <row r="46" spans="2:40" ht="15" customHeight="1">
      <c r="B46" s="902" t="s">
        <v>3556</v>
      </c>
      <c r="K46" s="1859"/>
      <c r="L46" s="1859"/>
      <c r="M46" s="1859"/>
      <c r="N46" s="1859"/>
      <c r="O46" s="1859"/>
      <c r="P46" s="1859"/>
      <c r="Q46" s="1859"/>
      <c r="R46" s="1859"/>
      <c r="S46" s="1859"/>
      <c r="T46" s="1859"/>
      <c r="U46" s="1859"/>
      <c r="V46" s="1859"/>
      <c r="W46" s="1859"/>
      <c r="X46" s="1859"/>
      <c r="Y46" s="1859"/>
      <c r="Z46" s="1859"/>
      <c r="AA46" s="1859"/>
      <c r="AB46" s="1859"/>
      <c r="AC46" s="1859"/>
      <c r="AD46" s="1859"/>
      <c r="AE46" s="1859"/>
      <c r="AF46" s="1859"/>
      <c r="AG46" s="1859"/>
      <c r="AH46" s="1859"/>
      <c r="AI46" s="1859"/>
      <c r="AJ46" s="1859"/>
      <c r="AK46" s="1859"/>
      <c r="AL46" s="1859"/>
      <c r="AM46" s="1859"/>
      <c r="AN46" s="1859"/>
    </row>
    <row r="47" spans="2:40" ht="15" customHeight="1">
      <c r="B47" s="902" t="s">
        <v>3588</v>
      </c>
      <c r="K47" s="1879" t="s">
        <v>120</v>
      </c>
      <c r="L47" s="1879"/>
      <c r="M47" s="1879"/>
      <c r="N47" s="902" t="s">
        <v>3490</v>
      </c>
      <c r="T47" s="1879"/>
      <c r="U47" s="1879"/>
      <c r="V47" s="1879"/>
      <c r="W47" s="1879"/>
      <c r="AC47" s="944" t="s">
        <v>3587</v>
      </c>
      <c r="AD47" s="1879"/>
      <c r="AE47" s="1879"/>
      <c r="AF47" s="1879"/>
      <c r="AG47" s="1879"/>
      <c r="AH47" s="1879"/>
      <c r="AI47" s="902" t="s">
        <v>381</v>
      </c>
    </row>
    <row r="48" spans="2:40" ht="15" customHeight="1">
      <c r="K48" s="1859"/>
      <c r="L48" s="1859"/>
      <c r="M48" s="1859"/>
      <c r="N48" s="1859"/>
      <c r="O48" s="1859"/>
      <c r="P48" s="1859"/>
      <c r="Q48" s="1859"/>
      <c r="R48" s="1859"/>
      <c r="S48" s="1859"/>
      <c r="T48" s="1859"/>
      <c r="U48" s="1859"/>
      <c r="V48" s="1859"/>
      <c r="W48" s="1859"/>
      <c r="X48" s="1859"/>
      <c r="Y48" s="1859"/>
      <c r="Z48" s="1859"/>
      <c r="AA48" s="1859"/>
      <c r="AB48" s="1859"/>
      <c r="AC48" s="1859"/>
      <c r="AD48" s="1859"/>
      <c r="AE48" s="1859"/>
      <c r="AF48" s="1859"/>
      <c r="AG48" s="1859"/>
      <c r="AH48" s="1859"/>
      <c r="AI48" s="1859"/>
      <c r="AJ48" s="1859"/>
      <c r="AK48" s="1859"/>
      <c r="AL48" s="1859"/>
      <c r="AM48" s="1859"/>
      <c r="AN48" s="1859"/>
    </row>
    <row r="49" spans="2:40" ht="15" customHeight="1">
      <c r="B49" s="902" t="s">
        <v>3586</v>
      </c>
      <c r="K49" s="902" t="s">
        <v>3558</v>
      </c>
      <c r="L49" s="1874"/>
      <c r="M49" s="1874"/>
      <c r="N49" s="1874"/>
      <c r="O49" s="1874"/>
      <c r="Q49" s="1876"/>
      <c r="R49" s="1876"/>
      <c r="S49" s="1876"/>
      <c r="T49" s="1876"/>
      <c r="U49" s="1876"/>
      <c r="V49" s="1876"/>
      <c r="W49" s="1876"/>
      <c r="X49" s="1876"/>
      <c r="Y49" s="1876"/>
      <c r="Z49" s="1876"/>
      <c r="AA49" s="1876"/>
      <c r="AB49" s="1876"/>
      <c r="AC49" s="1876"/>
      <c r="AD49" s="1876"/>
      <c r="AE49" s="1876"/>
      <c r="AF49" s="1876"/>
      <c r="AG49" s="1876"/>
      <c r="AH49" s="1876"/>
      <c r="AI49" s="1876"/>
      <c r="AJ49" s="1876"/>
      <c r="AK49" s="1876"/>
      <c r="AL49" s="1876"/>
      <c r="AM49" s="1876"/>
      <c r="AN49" s="1876"/>
    </row>
    <row r="50" spans="2:40" ht="15" customHeight="1">
      <c r="B50" s="902" t="s">
        <v>3555</v>
      </c>
      <c r="K50" s="1874"/>
      <c r="L50" s="1874"/>
      <c r="M50" s="1874"/>
      <c r="N50" s="1874"/>
      <c r="O50" s="1874"/>
      <c r="P50" s="1874"/>
      <c r="R50" s="1921" t="s">
        <v>3640</v>
      </c>
      <c r="S50" s="1921"/>
      <c r="T50" s="1921"/>
      <c r="U50" s="1921"/>
      <c r="V50" s="1921"/>
      <c r="W50" s="1921"/>
      <c r="X50" s="1921"/>
      <c r="Y50" s="1921"/>
      <c r="Z50" s="1921"/>
      <c r="AA50" s="1921"/>
      <c r="AB50" s="1921"/>
      <c r="AC50" s="1921"/>
      <c r="AD50" s="1876"/>
      <c r="AE50" s="1876"/>
      <c r="AF50" s="1876"/>
      <c r="AG50" s="1876"/>
      <c r="AH50" s="1876"/>
      <c r="AI50" s="1876"/>
      <c r="AJ50" s="1876"/>
      <c r="AK50" s="1876"/>
      <c r="AL50" s="1876"/>
      <c r="AM50" s="1876"/>
      <c r="AN50" s="1876"/>
    </row>
  </sheetData>
  <mergeCells count="80">
    <mergeCell ref="K6:AN6"/>
    <mergeCell ref="K7:M7"/>
    <mergeCell ref="T7:W7"/>
    <mergeCell ref="AD7:AH7"/>
    <mergeCell ref="A3:J3"/>
    <mergeCell ref="K5:M5"/>
    <mergeCell ref="T5:Y5"/>
    <mergeCell ref="AD5:AH5"/>
    <mergeCell ref="A28:J28"/>
    <mergeCell ref="K30:M30"/>
    <mergeCell ref="T30:Y30"/>
    <mergeCell ref="AD30:AH30"/>
    <mergeCell ref="K8:AN8"/>
    <mergeCell ref="L9:O9"/>
    <mergeCell ref="Q9:AN9"/>
    <mergeCell ref="K10:P10"/>
    <mergeCell ref="R10:AC10"/>
    <mergeCell ref="AD10:AN10"/>
    <mergeCell ref="K15:M15"/>
    <mergeCell ref="T15:W15"/>
    <mergeCell ref="AD15:AH15"/>
    <mergeCell ref="K16:AN16"/>
    <mergeCell ref="K13:M13"/>
    <mergeCell ref="T13:Y13"/>
    <mergeCell ref="AD13:AH13"/>
    <mergeCell ref="K14:AN14"/>
    <mergeCell ref="K20:M20"/>
    <mergeCell ref="T20:Y20"/>
    <mergeCell ref="AD20:AH20"/>
    <mergeCell ref="K21:AN21"/>
    <mergeCell ref="L17:O17"/>
    <mergeCell ref="Q17:AN17"/>
    <mergeCell ref="K18:P18"/>
    <mergeCell ref="R18:AC18"/>
    <mergeCell ref="AD18:AN18"/>
    <mergeCell ref="K22:M22"/>
    <mergeCell ref="T22:W22"/>
    <mergeCell ref="AD22:AH22"/>
    <mergeCell ref="K23:AN23"/>
    <mergeCell ref="K40:M40"/>
    <mergeCell ref="T40:W40"/>
    <mergeCell ref="AD40:AH40"/>
    <mergeCell ref="L24:O24"/>
    <mergeCell ref="Q24:AN24"/>
    <mergeCell ref="K25:P25"/>
    <mergeCell ref="R35:AC35"/>
    <mergeCell ref="AD35:AN35"/>
    <mergeCell ref="K31:AN31"/>
    <mergeCell ref="K32:M32"/>
    <mergeCell ref="T32:W32"/>
    <mergeCell ref="AD32:AH32"/>
    <mergeCell ref="L42:O42"/>
    <mergeCell ref="Q42:AN42"/>
    <mergeCell ref="R25:AC25"/>
    <mergeCell ref="AD25:AN25"/>
    <mergeCell ref="K33:AN33"/>
    <mergeCell ref="L34:O34"/>
    <mergeCell ref="Q34:AN34"/>
    <mergeCell ref="K35:P35"/>
    <mergeCell ref="K41:AN41"/>
    <mergeCell ref="K38:M38"/>
    <mergeCell ref="T38:Y38"/>
    <mergeCell ref="AD38:AH38"/>
    <mergeCell ref="K39:AN39"/>
    <mergeCell ref="K43:P43"/>
    <mergeCell ref="R43:AC43"/>
    <mergeCell ref="AD43:AN43"/>
    <mergeCell ref="K50:P50"/>
    <mergeCell ref="R50:AC50"/>
    <mergeCell ref="AD50:AN50"/>
    <mergeCell ref="K45:M45"/>
    <mergeCell ref="T45:Y45"/>
    <mergeCell ref="AD45:AH45"/>
    <mergeCell ref="K46:AN46"/>
    <mergeCell ref="K47:M47"/>
    <mergeCell ref="T47:W47"/>
    <mergeCell ref="AD47:AH47"/>
    <mergeCell ref="K48:AN48"/>
    <mergeCell ref="L49:O49"/>
    <mergeCell ref="Q49:AN49"/>
  </mergeCells>
  <phoneticPr fontId="122"/>
  <dataValidations count="2">
    <dataValidation type="list" allowBlank="1" showInputMessage="1" showErrorMessage="1" sqref="K30:M30 K32:M32 K38:M38 K40:M40 K45:M45 K47:M47" xr:uid="{00000000-0002-0000-2900-000000000000}">
      <formula1>"一級,二級"</formula1>
    </dataValidation>
    <dataValidation type="list" allowBlank="1" showInputMessage="1" sqref="K5:M5 K7:M7 K13:M13 K15:M15 K20:M20 K22:M22" xr:uid="{00000000-0002-0000-2900-000001000000}">
      <formula1>"一級,二級"</formula1>
    </dataValidation>
  </dataValidations>
  <pageMargins left="0.74803149606299213" right="0.74803149606299213" top="0.98425196850393704" bottom="0.78740157480314965" header="0.51181102362204722" footer="0.51181102362204722"/>
  <pageSetup paperSize="9" scale="98" orientation="portrait" blackAndWhite="1"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J51"/>
  <sheetViews>
    <sheetView zoomScaleNormal="100" zoomScaleSheetLayoutView="100" workbookViewId="0">
      <selection activeCell="K15" sqref="K15"/>
    </sheetView>
  </sheetViews>
  <sheetFormatPr defaultColWidth="2.33203125" defaultRowHeight="18" customHeight="1"/>
  <cols>
    <col min="1" max="25" width="2.33203125" style="954" customWidth="1"/>
    <col min="26" max="26" width="2.44140625" style="954" customWidth="1"/>
    <col min="27" max="27" width="2.33203125" style="954" customWidth="1"/>
    <col min="28" max="16384" width="2.33203125" style="954"/>
  </cols>
  <sheetData>
    <row r="1" spans="1:36" ht="18" customHeight="1">
      <c r="A1" s="954" t="s">
        <v>3663</v>
      </c>
    </row>
    <row r="2" spans="1:36" ht="18" customHeight="1">
      <c r="A2" s="1955" t="s">
        <v>3662</v>
      </c>
      <c r="B2" s="1955"/>
      <c r="C2" s="1955"/>
      <c r="D2" s="1955"/>
      <c r="E2" s="1955"/>
      <c r="F2" s="1955"/>
      <c r="G2" s="1955"/>
      <c r="H2" s="1955"/>
      <c r="I2" s="1955"/>
      <c r="J2" s="1955"/>
      <c r="K2" s="1955"/>
      <c r="L2" s="1955"/>
      <c r="M2" s="1955"/>
      <c r="N2" s="1955"/>
      <c r="O2" s="1955"/>
      <c r="P2" s="1955"/>
      <c r="Q2" s="1955"/>
      <c r="R2" s="1955"/>
      <c r="S2" s="1955"/>
      <c r="T2" s="1955"/>
      <c r="U2" s="1955"/>
      <c r="V2" s="1955"/>
      <c r="W2" s="1955"/>
      <c r="X2" s="1955"/>
      <c r="Y2" s="1955"/>
      <c r="Z2" s="1955"/>
      <c r="AA2" s="1955"/>
      <c r="AB2" s="1955"/>
      <c r="AC2" s="1955"/>
      <c r="AD2" s="1955"/>
      <c r="AE2" s="1955"/>
      <c r="AF2" s="1955"/>
      <c r="AG2" s="1955"/>
      <c r="AH2" s="1955"/>
      <c r="AI2" s="1955"/>
      <c r="AJ2" s="1955"/>
    </row>
    <row r="3" spans="1:36" ht="18" customHeight="1">
      <c r="A3" s="1956"/>
      <c r="B3" s="1956"/>
      <c r="C3" s="1956"/>
      <c r="D3" s="1956"/>
      <c r="E3" s="1956"/>
      <c r="F3" s="1956"/>
      <c r="G3" s="1956"/>
      <c r="H3" s="1956"/>
      <c r="I3" s="1956"/>
      <c r="J3" s="1956"/>
      <c r="K3" s="1956"/>
      <c r="L3" s="1956"/>
      <c r="M3" s="1956"/>
      <c r="N3" s="1956"/>
      <c r="O3" s="1956"/>
      <c r="P3" s="1956"/>
      <c r="Q3" s="1956"/>
      <c r="R3" s="1956"/>
      <c r="S3" s="1956"/>
      <c r="T3" s="1956"/>
      <c r="U3" s="1956"/>
      <c r="V3" s="1956"/>
      <c r="W3" s="1956"/>
      <c r="X3" s="1956"/>
      <c r="Y3" s="1956"/>
      <c r="Z3" s="1956"/>
      <c r="AA3" s="1956"/>
      <c r="AB3" s="1956"/>
      <c r="AC3" s="1956"/>
      <c r="AD3" s="1956"/>
      <c r="AE3" s="1956"/>
      <c r="AF3" s="1956"/>
      <c r="AG3" s="1956"/>
      <c r="AH3" s="1956"/>
      <c r="AI3" s="1956"/>
      <c r="AJ3" s="1956"/>
    </row>
    <row r="4" spans="1:36" ht="18" customHeight="1">
      <c r="Z4" s="1963" t="s">
        <v>3329</v>
      </c>
      <c r="AA4" s="1963"/>
      <c r="AB4" s="1963"/>
      <c r="AC4" s="1963"/>
      <c r="AD4" s="1963"/>
      <c r="AE4" s="1963"/>
      <c r="AF4" s="1963"/>
      <c r="AG4" s="1963"/>
      <c r="AH4" s="1963"/>
      <c r="AI4" s="1963"/>
      <c r="AJ4" s="1963"/>
    </row>
    <row r="5" spans="1:36" ht="18" customHeight="1">
      <c r="A5" s="954" t="s">
        <v>3267</v>
      </c>
    </row>
    <row r="8" spans="1:36" ht="18" customHeight="1">
      <c r="S8" s="1005" t="s">
        <v>3661</v>
      </c>
      <c r="U8" s="1931" t="str">
        <f>cst_wskakunin_owner1_JIMU_NAME</f>
        <v>株式会社ユーイック不動産</v>
      </c>
      <c r="V8" s="1931"/>
      <c r="W8" s="1931"/>
      <c r="X8" s="1931"/>
      <c r="Y8" s="1931"/>
      <c r="Z8" s="1931"/>
      <c r="AA8" s="1931"/>
      <c r="AB8" s="1931"/>
      <c r="AC8" s="1931"/>
      <c r="AD8" s="1931"/>
      <c r="AE8" s="1931"/>
      <c r="AF8" s="1931"/>
      <c r="AG8" s="1931"/>
      <c r="AH8" s="1931"/>
      <c r="AI8" s="1931"/>
    </row>
    <row r="9" spans="1:36" ht="18" customHeight="1">
      <c r="P9" s="1005"/>
      <c r="U9" s="1931" t="str">
        <f>cst_wskakunin_owner1_POST</f>
        <v>代表取締役社長</v>
      </c>
      <c r="V9" s="1931"/>
      <c r="W9" s="1931"/>
      <c r="X9" s="1931"/>
      <c r="Y9" s="1931"/>
      <c r="Z9" s="1931"/>
      <c r="AA9" s="1931"/>
      <c r="AB9" s="1931"/>
      <c r="AC9" s="1931"/>
      <c r="AD9" s="1931"/>
      <c r="AE9" s="1931"/>
      <c r="AF9" s="1931"/>
      <c r="AG9" s="1931"/>
      <c r="AH9" s="1931"/>
      <c r="AI9" s="1931"/>
    </row>
    <row r="10" spans="1:36" ht="18" customHeight="1">
      <c r="U10" s="1931" t="str">
        <f>cst_wskakunin_owner1_NAME</f>
        <v>野崎　豊</v>
      </c>
      <c r="V10" s="1931"/>
      <c r="W10" s="1931"/>
      <c r="X10" s="1931"/>
      <c r="Y10" s="1931"/>
      <c r="Z10" s="1931"/>
      <c r="AA10" s="1931"/>
      <c r="AB10" s="1931"/>
      <c r="AC10" s="1931"/>
      <c r="AD10" s="1931"/>
      <c r="AE10" s="1931"/>
      <c r="AF10" s="1931"/>
      <c r="AG10" s="1931"/>
      <c r="AH10" s="1931"/>
      <c r="AI10" s="1931"/>
      <c r="AJ10" s="1005"/>
    </row>
    <row r="11" spans="1:36" ht="18" customHeight="1">
      <c r="S11" s="1005"/>
      <c r="U11" s="1006"/>
      <c r="V11" s="1006"/>
      <c r="W11" s="1006"/>
      <c r="X11" s="1006"/>
      <c r="Y11" s="1006"/>
      <c r="Z11" s="1006"/>
      <c r="AA11" s="1006"/>
      <c r="AB11" s="1006"/>
      <c r="AC11" s="1006"/>
      <c r="AD11" s="1006"/>
      <c r="AE11" s="1006"/>
      <c r="AF11" s="1006"/>
      <c r="AG11" s="1006"/>
      <c r="AH11" s="1006"/>
      <c r="AI11" s="1006"/>
      <c r="AJ11" s="1005"/>
    </row>
    <row r="12" spans="1:36" ht="18" customHeight="1">
      <c r="A12" s="954" t="s">
        <v>3660</v>
      </c>
    </row>
    <row r="13" spans="1:36" ht="18" customHeight="1">
      <c r="A13" s="954" t="s">
        <v>3659</v>
      </c>
    </row>
    <row r="15" spans="1:36" ht="18" customHeight="1">
      <c r="A15" s="1957" t="s">
        <v>3274</v>
      </c>
      <c r="B15" s="1958"/>
      <c r="C15" s="1958"/>
      <c r="D15" s="1958"/>
      <c r="E15" s="1958"/>
      <c r="F15" s="1958"/>
      <c r="G15" s="1958"/>
      <c r="H15" s="1958"/>
      <c r="I15" s="1958"/>
      <c r="J15" s="1959"/>
      <c r="K15" s="1960" t="str">
        <f>cst_wskakunin_BUILD_NAME</f>
        <v>テスト新築工事</v>
      </c>
      <c r="L15" s="1961"/>
      <c r="M15" s="1961"/>
      <c r="N15" s="1961"/>
      <c r="O15" s="1961"/>
      <c r="P15" s="1961"/>
      <c r="Q15" s="1961"/>
      <c r="R15" s="1961"/>
      <c r="S15" s="1961"/>
      <c r="T15" s="1961"/>
      <c r="U15" s="1961"/>
      <c r="V15" s="1961"/>
      <c r="W15" s="1961"/>
      <c r="X15" s="1961"/>
      <c r="Y15" s="1961"/>
      <c r="Z15" s="1961"/>
      <c r="AA15" s="1961"/>
      <c r="AB15" s="1961"/>
      <c r="AC15" s="1961"/>
      <c r="AD15" s="1961"/>
      <c r="AE15" s="1961"/>
      <c r="AF15" s="1961"/>
      <c r="AG15" s="1961"/>
      <c r="AH15" s="1961"/>
      <c r="AI15" s="1961"/>
      <c r="AJ15" s="1962"/>
    </row>
    <row r="16" spans="1:36" ht="21" customHeight="1">
      <c r="A16" s="1941" t="s">
        <v>3658</v>
      </c>
      <c r="B16" s="1942"/>
      <c r="C16" s="1942"/>
      <c r="D16" s="1942"/>
      <c r="E16" s="1942"/>
      <c r="F16" s="1942"/>
      <c r="G16" s="1942"/>
      <c r="H16" s="1942"/>
      <c r="I16" s="1942"/>
      <c r="J16" s="1943"/>
      <c r="K16" s="1004"/>
      <c r="L16" s="1944">
        <f ca="1">cst_ISSUE_DATE_select</f>
        <v>45922</v>
      </c>
      <c r="M16" s="1944"/>
      <c r="N16" s="1944"/>
      <c r="O16" s="1944"/>
      <c r="P16" s="1944"/>
      <c r="Q16" s="1944"/>
      <c r="R16" s="1944"/>
      <c r="S16" s="1944"/>
      <c r="T16" s="1944"/>
      <c r="U16" s="1944"/>
      <c r="V16" s="1944"/>
      <c r="W16" s="1002"/>
      <c r="X16" s="1953" t="str">
        <f ca="1">cst_ISSUE_NO_select</f>
        <v>第UHEC建確R070030号</v>
      </c>
      <c r="Y16" s="1953"/>
      <c r="Z16" s="1953"/>
      <c r="AA16" s="1953"/>
      <c r="AB16" s="1953"/>
      <c r="AC16" s="1953"/>
      <c r="AD16" s="1953"/>
      <c r="AE16" s="1953"/>
      <c r="AF16" s="1953"/>
      <c r="AG16" s="1953"/>
      <c r="AH16" s="1953"/>
      <c r="AI16" s="1953"/>
      <c r="AJ16" s="1954"/>
    </row>
    <row r="17" spans="1:36" ht="21" customHeight="1">
      <c r="A17" s="1941" t="s">
        <v>3657</v>
      </c>
      <c r="B17" s="1942"/>
      <c r="C17" s="1942"/>
      <c r="D17" s="1942"/>
      <c r="E17" s="1942"/>
      <c r="F17" s="1942"/>
      <c r="G17" s="1942"/>
      <c r="H17" s="1942"/>
      <c r="I17" s="1942"/>
      <c r="J17" s="1943"/>
      <c r="K17" s="1003"/>
      <c r="M17" s="1951" t="s">
        <v>3656</v>
      </c>
      <c r="N17" s="1951"/>
      <c r="O17" s="1951"/>
      <c r="P17" s="1951"/>
      <c r="Q17" s="1951"/>
      <c r="R17" s="1951"/>
      <c r="S17" s="1002"/>
      <c r="T17" s="1002"/>
      <c r="U17" s="1002"/>
      <c r="V17" s="1002"/>
      <c r="W17" s="1924" t="s">
        <v>3655</v>
      </c>
      <c r="X17" s="1924"/>
      <c r="Y17" s="1924"/>
      <c r="Z17" s="1924"/>
      <c r="AA17" s="1924"/>
      <c r="AB17" s="1924"/>
      <c r="AC17" s="1924"/>
      <c r="AD17" s="1002"/>
      <c r="AE17" s="1001"/>
      <c r="AF17" s="1948" t="s">
        <v>3654</v>
      </c>
      <c r="AG17" s="1949"/>
      <c r="AH17" s="1949"/>
      <c r="AI17" s="1949"/>
      <c r="AJ17" s="1950"/>
    </row>
    <row r="18" spans="1:36" ht="18" customHeight="1">
      <c r="A18" s="1935" t="s">
        <v>3653</v>
      </c>
      <c r="B18" s="1936"/>
      <c r="C18" s="1000"/>
      <c r="D18" s="999"/>
      <c r="E18" s="999"/>
      <c r="F18" s="998"/>
      <c r="G18" s="998"/>
      <c r="H18" s="998"/>
      <c r="I18" s="998"/>
      <c r="J18" s="998"/>
      <c r="K18" s="998"/>
      <c r="L18" s="998"/>
      <c r="M18" s="998"/>
      <c r="N18" s="998"/>
      <c r="O18" s="998"/>
      <c r="P18" s="998"/>
      <c r="Q18" s="998"/>
      <c r="R18" s="998"/>
      <c r="S18" s="998"/>
      <c r="T18" s="998"/>
      <c r="U18" s="998"/>
      <c r="V18" s="998"/>
      <c r="W18" s="998"/>
      <c r="X18" s="998"/>
      <c r="Y18" s="998"/>
      <c r="Z18" s="998"/>
      <c r="AA18" s="998"/>
      <c r="AB18" s="998"/>
      <c r="AC18" s="998"/>
      <c r="AD18" s="998"/>
      <c r="AE18" s="998"/>
      <c r="AF18" s="993"/>
      <c r="AJ18" s="980"/>
    </row>
    <row r="19" spans="1:36" ht="18" customHeight="1">
      <c r="A19" s="1937"/>
      <c r="B19" s="1938"/>
      <c r="C19" s="989"/>
      <c r="D19" s="988"/>
      <c r="E19" s="988"/>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97"/>
      <c r="AD19" s="997"/>
      <c r="AE19" s="997"/>
      <c r="AF19" s="996"/>
      <c r="AG19" s="995"/>
      <c r="AH19" s="995"/>
      <c r="AI19" s="995"/>
      <c r="AJ19" s="994"/>
    </row>
    <row r="20" spans="1:36" ht="18" customHeight="1">
      <c r="A20" s="1937"/>
      <c r="B20" s="1938"/>
      <c r="C20" s="989"/>
      <c r="D20" s="988"/>
      <c r="E20" s="988"/>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93"/>
      <c r="AJ20" s="980"/>
    </row>
    <row r="21" spans="1:36" ht="18" customHeight="1">
      <c r="A21" s="1937"/>
      <c r="B21" s="1938"/>
      <c r="C21" s="989"/>
      <c r="D21" s="988"/>
      <c r="E21" s="988"/>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93"/>
      <c r="AJ21" s="980"/>
    </row>
    <row r="22" spans="1:36" ht="18" customHeight="1">
      <c r="A22" s="1937"/>
      <c r="B22" s="1938"/>
      <c r="C22" s="989"/>
      <c r="D22" s="988"/>
      <c r="E22" s="988"/>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93"/>
      <c r="AJ22" s="980"/>
    </row>
    <row r="23" spans="1:36" ht="18" customHeight="1">
      <c r="A23" s="1937"/>
      <c r="B23" s="1938"/>
      <c r="C23" s="989"/>
      <c r="D23" s="988"/>
      <c r="E23" s="988"/>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93"/>
      <c r="AJ23" s="980"/>
    </row>
    <row r="24" spans="1:36" ht="18" customHeight="1">
      <c r="A24" s="1937"/>
      <c r="B24" s="1938"/>
      <c r="C24" s="989"/>
      <c r="D24" s="988"/>
      <c r="E24" s="988"/>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93"/>
      <c r="AJ24" s="980"/>
    </row>
    <row r="25" spans="1:36" ht="18" customHeight="1">
      <c r="A25" s="1937"/>
      <c r="B25" s="1938"/>
      <c r="C25" s="989"/>
      <c r="D25" s="988"/>
      <c r="E25" s="988"/>
      <c r="F25" s="986"/>
      <c r="G25" s="986"/>
      <c r="H25" s="986"/>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93"/>
      <c r="AJ25" s="980"/>
    </row>
    <row r="26" spans="1:36" ht="18" customHeight="1">
      <c r="A26" s="1937"/>
      <c r="B26" s="1938"/>
      <c r="C26" s="989"/>
      <c r="D26" s="988"/>
      <c r="E26" s="988"/>
      <c r="F26" s="986"/>
      <c r="G26" s="987"/>
      <c r="H26" s="987"/>
      <c r="I26" s="986"/>
      <c r="J26" s="986"/>
      <c r="K26" s="986"/>
      <c r="L26" s="984"/>
      <c r="M26" s="983"/>
      <c r="N26" s="983"/>
      <c r="O26" s="983"/>
      <c r="P26" s="983"/>
      <c r="Q26" s="983"/>
      <c r="R26" s="983"/>
      <c r="S26" s="985"/>
      <c r="T26" s="985"/>
      <c r="U26" s="985"/>
      <c r="V26" s="985"/>
      <c r="W26" s="985"/>
      <c r="X26" s="985"/>
      <c r="Y26" s="985"/>
      <c r="Z26" s="985"/>
      <c r="AA26" s="985"/>
      <c r="AB26" s="985"/>
      <c r="AC26" s="985"/>
      <c r="AD26" s="985"/>
      <c r="AE26" s="985"/>
      <c r="AF26" s="993"/>
      <c r="AJ26" s="980"/>
    </row>
    <row r="27" spans="1:36" ht="18" customHeight="1">
      <c r="A27" s="1937"/>
      <c r="B27" s="1938"/>
      <c r="C27" s="989"/>
      <c r="D27" s="988"/>
      <c r="E27" s="988"/>
      <c r="F27" s="987"/>
      <c r="G27" s="987"/>
      <c r="H27" s="987"/>
      <c r="I27" s="986"/>
      <c r="J27" s="986"/>
      <c r="K27" s="986"/>
      <c r="L27" s="984"/>
      <c r="M27" s="983"/>
      <c r="N27" s="983"/>
      <c r="O27" s="983"/>
      <c r="P27" s="983"/>
      <c r="Q27" s="983"/>
      <c r="R27" s="983"/>
      <c r="S27" s="985"/>
      <c r="T27" s="985"/>
      <c r="U27" s="985"/>
      <c r="V27" s="985"/>
      <c r="W27" s="985"/>
      <c r="X27" s="985"/>
      <c r="Y27" s="985"/>
      <c r="Z27" s="985"/>
      <c r="AA27" s="985"/>
      <c r="AB27" s="985"/>
      <c r="AC27" s="985"/>
      <c r="AD27" s="985"/>
      <c r="AE27" s="985"/>
      <c r="AF27" s="993"/>
      <c r="AJ27" s="980"/>
    </row>
    <row r="28" spans="1:36" ht="18" customHeight="1">
      <c r="A28" s="1937"/>
      <c r="B28" s="1938"/>
      <c r="C28" s="989"/>
      <c r="D28" s="988"/>
      <c r="E28" s="988"/>
      <c r="F28" s="985"/>
      <c r="G28" s="985"/>
      <c r="H28" s="985"/>
      <c r="I28" s="987"/>
      <c r="J28" s="987"/>
      <c r="K28" s="987"/>
      <c r="L28" s="986"/>
      <c r="M28" s="986"/>
      <c r="N28" s="986"/>
      <c r="O28" s="986"/>
      <c r="P28" s="986"/>
      <c r="Q28" s="986"/>
      <c r="R28" s="986"/>
      <c r="S28" s="986"/>
      <c r="T28" s="986"/>
      <c r="U28" s="986"/>
      <c r="V28" s="986"/>
      <c r="W28" s="986"/>
      <c r="X28" s="986"/>
      <c r="Y28" s="986"/>
      <c r="Z28" s="986"/>
      <c r="AA28" s="986"/>
      <c r="AB28" s="986"/>
      <c r="AC28" s="986"/>
      <c r="AD28" s="986"/>
      <c r="AE28" s="986"/>
      <c r="AF28" s="992"/>
      <c r="AG28" s="991"/>
      <c r="AH28" s="991"/>
      <c r="AI28" s="991"/>
      <c r="AJ28" s="990"/>
    </row>
    <row r="29" spans="1:36" ht="18" customHeight="1">
      <c r="A29" s="1937"/>
      <c r="B29" s="1938"/>
      <c r="C29" s="989"/>
      <c r="D29" s="988"/>
      <c r="E29" s="988"/>
      <c r="F29" s="985"/>
      <c r="G29" s="985"/>
      <c r="H29" s="985"/>
      <c r="I29" s="987"/>
      <c r="J29" s="987"/>
      <c r="K29" s="987"/>
      <c r="L29" s="986"/>
      <c r="M29" s="986"/>
      <c r="N29" s="986"/>
      <c r="O29" s="986"/>
      <c r="P29" s="986"/>
      <c r="Q29" s="986"/>
      <c r="R29" s="986"/>
      <c r="S29" s="986"/>
      <c r="T29" s="986"/>
      <c r="U29" s="986"/>
      <c r="V29" s="986"/>
      <c r="W29" s="986"/>
      <c r="X29" s="986"/>
      <c r="Y29" s="986"/>
      <c r="Z29" s="986"/>
      <c r="AA29" s="986"/>
      <c r="AB29" s="986"/>
      <c r="AC29" s="986"/>
      <c r="AD29" s="986"/>
      <c r="AE29" s="986"/>
      <c r="AF29" s="992"/>
      <c r="AG29" s="991"/>
      <c r="AH29" s="991"/>
      <c r="AI29" s="991"/>
      <c r="AJ29" s="990"/>
    </row>
    <row r="30" spans="1:36" ht="18" customHeight="1">
      <c r="A30" s="1937"/>
      <c r="B30" s="1938"/>
      <c r="C30" s="989"/>
      <c r="D30" s="988"/>
      <c r="E30" s="988"/>
      <c r="F30" s="985"/>
      <c r="G30" s="985"/>
      <c r="H30" s="985"/>
      <c r="I30" s="987"/>
      <c r="J30" s="987"/>
      <c r="K30" s="987"/>
      <c r="L30" s="986"/>
      <c r="M30" s="986"/>
      <c r="N30" s="986"/>
      <c r="O30" s="986"/>
      <c r="P30" s="986"/>
      <c r="Q30" s="986"/>
      <c r="R30" s="986"/>
      <c r="S30" s="986"/>
      <c r="T30" s="986"/>
      <c r="U30" s="986"/>
      <c r="V30" s="986"/>
      <c r="W30" s="986"/>
      <c r="X30" s="986"/>
      <c r="Y30" s="986"/>
      <c r="Z30" s="986"/>
      <c r="AA30" s="986"/>
      <c r="AB30" s="986"/>
      <c r="AC30" s="986"/>
      <c r="AD30" s="986"/>
      <c r="AE30" s="986"/>
      <c r="AF30" s="992"/>
      <c r="AG30" s="991"/>
      <c r="AH30" s="991"/>
      <c r="AI30" s="991"/>
      <c r="AJ30" s="990"/>
    </row>
    <row r="31" spans="1:36" ht="18" customHeight="1">
      <c r="A31" s="1937"/>
      <c r="B31" s="1938"/>
      <c r="C31" s="989"/>
      <c r="D31" s="988"/>
      <c r="E31" s="988"/>
      <c r="F31" s="985"/>
      <c r="G31" s="985"/>
      <c r="H31" s="985"/>
      <c r="I31" s="987"/>
      <c r="J31" s="987"/>
      <c r="K31" s="987"/>
      <c r="L31" s="986"/>
      <c r="M31" s="986"/>
      <c r="N31" s="986"/>
      <c r="O31" s="986"/>
      <c r="P31" s="986"/>
      <c r="Q31" s="986"/>
      <c r="R31" s="986"/>
      <c r="S31" s="986"/>
      <c r="T31" s="986"/>
      <c r="U31" s="986"/>
      <c r="V31" s="986"/>
      <c r="W31" s="986"/>
      <c r="X31" s="986"/>
      <c r="Y31" s="986"/>
      <c r="Z31" s="986"/>
      <c r="AA31" s="986"/>
      <c r="AB31" s="986"/>
      <c r="AC31" s="986"/>
      <c r="AD31" s="986"/>
      <c r="AE31" s="986"/>
      <c r="AF31" s="992"/>
      <c r="AG31" s="991"/>
      <c r="AH31" s="991"/>
      <c r="AI31" s="991"/>
      <c r="AJ31" s="990"/>
    </row>
    <row r="32" spans="1:36" ht="18" customHeight="1">
      <c r="A32" s="1937"/>
      <c r="B32" s="1938"/>
      <c r="C32" s="989"/>
      <c r="D32" s="988"/>
      <c r="E32" s="988"/>
      <c r="F32" s="985"/>
      <c r="G32" s="985"/>
      <c r="H32" s="985"/>
      <c r="I32" s="987"/>
      <c r="J32" s="987"/>
      <c r="K32" s="987"/>
      <c r="L32" s="986"/>
      <c r="M32" s="986"/>
      <c r="N32" s="986"/>
      <c r="O32" s="986"/>
      <c r="P32" s="986"/>
      <c r="Q32" s="986"/>
      <c r="R32" s="986"/>
      <c r="S32" s="986"/>
      <c r="T32" s="986"/>
      <c r="U32" s="986"/>
      <c r="V32" s="986"/>
      <c r="W32" s="986"/>
      <c r="X32" s="986"/>
      <c r="Y32" s="986"/>
      <c r="Z32" s="986"/>
      <c r="AA32" s="986"/>
      <c r="AB32" s="986"/>
      <c r="AC32" s="986"/>
      <c r="AD32" s="986"/>
      <c r="AE32" s="986"/>
      <c r="AF32" s="992"/>
      <c r="AG32" s="991"/>
      <c r="AH32" s="991"/>
      <c r="AI32" s="991"/>
      <c r="AJ32" s="990"/>
    </row>
    <row r="33" spans="1:36" ht="18" customHeight="1">
      <c r="A33" s="1937"/>
      <c r="B33" s="1938"/>
      <c r="C33" s="989"/>
      <c r="D33" s="988"/>
      <c r="E33" s="988"/>
      <c r="F33" s="985"/>
      <c r="G33" s="985"/>
      <c r="H33" s="985"/>
      <c r="I33" s="987"/>
      <c r="J33" s="987"/>
      <c r="K33" s="987"/>
      <c r="L33" s="986"/>
      <c r="M33" s="986"/>
      <c r="N33" s="986"/>
      <c r="O33" s="986"/>
      <c r="P33" s="986"/>
      <c r="Q33" s="986"/>
      <c r="R33" s="986"/>
      <c r="S33" s="986"/>
      <c r="T33" s="986"/>
      <c r="U33" s="986"/>
      <c r="V33" s="986"/>
      <c r="W33" s="986"/>
      <c r="X33" s="986"/>
      <c r="Y33" s="986"/>
      <c r="Z33" s="986"/>
      <c r="AA33" s="986"/>
      <c r="AB33" s="986"/>
      <c r="AC33" s="986"/>
      <c r="AD33" s="986"/>
      <c r="AE33" s="986"/>
      <c r="AF33" s="992"/>
      <c r="AG33" s="991"/>
      <c r="AH33" s="991"/>
      <c r="AI33" s="991"/>
      <c r="AJ33" s="990"/>
    </row>
    <row r="34" spans="1:36" ht="18" customHeight="1">
      <c r="A34" s="1937"/>
      <c r="B34" s="1938"/>
      <c r="C34" s="989"/>
      <c r="D34" s="988"/>
      <c r="E34" s="988"/>
      <c r="F34" s="986"/>
      <c r="G34" s="987"/>
      <c r="H34" s="987"/>
      <c r="I34" s="986"/>
      <c r="J34" s="986"/>
      <c r="K34" s="986"/>
      <c r="L34" s="984"/>
      <c r="M34" s="983"/>
      <c r="N34" s="983"/>
      <c r="O34" s="983"/>
      <c r="P34" s="983"/>
      <c r="Q34" s="983"/>
      <c r="R34" s="983"/>
      <c r="S34" s="985"/>
      <c r="T34" s="984"/>
      <c r="U34" s="983"/>
      <c r="V34" s="983"/>
      <c r="W34" s="983"/>
      <c r="X34" s="983"/>
      <c r="Y34" s="983"/>
      <c r="Z34" s="983"/>
      <c r="AA34" s="983"/>
      <c r="AB34" s="985"/>
      <c r="AC34" s="984"/>
      <c r="AD34" s="983"/>
      <c r="AE34" s="983"/>
      <c r="AF34" s="982"/>
      <c r="AG34" s="981"/>
      <c r="AH34" s="981"/>
      <c r="AI34" s="981"/>
      <c r="AJ34" s="980"/>
    </row>
    <row r="35" spans="1:36" ht="18" customHeight="1">
      <c r="A35" s="1937"/>
      <c r="B35" s="1938"/>
      <c r="C35" s="979"/>
      <c r="D35" s="978"/>
      <c r="E35" s="978"/>
      <c r="F35" s="976"/>
      <c r="G35" s="977"/>
      <c r="H35" s="977"/>
      <c r="I35" s="976"/>
      <c r="J35" s="976"/>
      <c r="K35" s="976"/>
      <c r="L35" s="974"/>
      <c r="M35" s="973"/>
      <c r="N35" s="973"/>
      <c r="O35" s="973"/>
      <c r="P35" s="973"/>
      <c r="Q35" s="973"/>
      <c r="R35" s="973"/>
      <c r="S35" s="975"/>
      <c r="T35" s="974"/>
      <c r="U35" s="973"/>
      <c r="V35" s="973"/>
      <c r="W35" s="973"/>
      <c r="X35" s="973"/>
      <c r="Y35" s="973"/>
      <c r="Z35" s="973"/>
      <c r="AA35" s="973"/>
      <c r="AB35" s="975"/>
      <c r="AC35" s="974"/>
      <c r="AD35" s="973"/>
      <c r="AE35" s="973"/>
      <c r="AF35" s="972"/>
      <c r="AG35" s="971"/>
      <c r="AH35" s="971"/>
      <c r="AI35" s="971"/>
      <c r="AJ35" s="970"/>
    </row>
    <row r="36" spans="1:36" ht="18" customHeight="1">
      <c r="A36" s="1939"/>
      <c r="B36" s="1940"/>
      <c r="C36" s="1945" t="s">
        <v>3652</v>
      </c>
      <c r="D36" s="1946"/>
      <c r="E36" s="1946"/>
      <c r="F36" s="1946"/>
      <c r="G36" s="1946"/>
      <c r="H36" s="1946"/>
      <c r="I36" s="1946"/>
      <c r="J36" s="1946"/>
      <c r="K36" s="1946"/>
      <c r="L36" s="1946"/>
      <c r="M36" s="1946"/>
      <c r="N36" s="1946"/>
      <c r="O36" s="1946"/>
      <c r="P36" s="1946"/>
      <c r="Q36" s="1946"/>
      <c r="R36" s="1946"/>
      <c r="S36" s="1946"/>
      <c r="T36" s="1946"/>
      <c r="U36" s="1946"/>
      <c r="V36" s="1946"/>
      <c r="W36" s="1946"/>
      <c r="X36" s="1946"/>
      <c r="Y36" s="1946"/>
      <c r="Z36" s="1946"/>
      <c r="AA36" s="1946"/>
      <c r="AB36" s="1946"/>
      <c r="AC36" s="1946"/>
      <c r="AD36" s="1946"/>
      <c r="AE36" s="1946"/>
      <c r="AF36" s="1946"/>
      <c r="AG36" s="1946"/>
      <c r="AH36" s="1946"/>
      <c r="AI36" s="1946"/>
      <c r="AJ36" s="1947"/>
    </row>
    <row r="37" spans="1:36" ht="6" customHeight="1"/>
    <row r="38" spans="1:36" ht="13.95" customHeight="1">
      <c r="A38" s="955" t="s">
        <v>3253</v>
      </c>
      <c r="B38" s="969"/>
      <c r="L38" s="968"/>
      <c r="M38" s="967"/>
      <c r="N38" s="967"/>
      <c r="O38" s="967"/>
      <c r="P38" s="967"/>
      <c r="Q38" s="967"/>
      <c r="R38" s="967"/>
      <c r="S38" s="967"/>
      <c r="T38" s="967"/>
      <c r="U38" s="967"/>
      <c r="V38" s="967"/>
      <c r="W38" s="967"/>
      <c r="X38" s="1932" t="s">
        <v>3258</v>
      </c>
      <c r="Y38" s="1933"/>
      <c r="Z38" s="1933"/>
      <c r="AA38" s="1933"/>
      <c r="AB38" s="1933"/>
      <c r="AC38" s="1933"/>
      <c r="AD38" s="1933"/>
      <c r="AE38" s="1933"/>
      <c r="AF38" s="1933"/>
      <c r="AG38" s="1933"/>
      <c r="AH38" s="1933"/>
      <c r="AI38" s="1933"/>
      <c r="AJ38" s="1934"/>
    </row>
    <row r="39" spans="1:36" ht="13.95" customHeight="1">
      <c r="A39" s="958" t="s">
        <v>2677</v>
      </c>
      <c r="B39" s="1952" t="s">
        <v>3651</v>
      </c>
      <c r="C39" s="1952"/>
      <c r="D39" s="1952"/>
      <c r="E39" s="1952"/>
      <c r="F39" s="1952"/>
      <c r="G39" s="1952"/>
      <c r="H39" s="1952"/>
      <c r="I39" s="1952"/>
      <c r="J39" s="1952"/>
      <c r="K39" s="1952"/>
      <c r="L39" s="1952"/>
      <c r="M39" s="1952"/>
      <c r="N39" s="1952"/>
      <c r="O39" s="1952"/>
      <c r="P39" s="1952"/>
      <c r="Q39" s="1952"/>
      <c r="R39" s="1952"/>
      <c r="S39" s="1952"/>
      <c r="T39" s="1952"/>
      <c r="U39" s="1952"/>
      <c r="V39" s="1952"/>
      <c r="W39" s="967"/>
      <c r="X39" s="966"/>
      <c r="Y39" s="965"/>
      <c r="Z39" s="965"/>
      <c r="AA39" s="965"/>
      <c r="AB39" s="965"/>
      <c r="AC39" s="965"/>
      <c r="AD39" s="965"/>
      <c r="AE39" s="965"/>
      <c r="AF39" s="965"/>
      <c r="AG39" s="965"/>
      <c r="AH39" s="965"/>
      <c r="AI39" s="965"/>
      <c r="AJ39" s="964"/>
    </row>
    <row r="40" spans="1:36" ht="13.95" customHeight="1">
      <c r="B40" s="1952"/>
      <c r="C40" s="1952"/>
      <c r="D40" s="1952"/>
      <c r="E40" s="1952"/>
      <c r="F40" s="1952"/>
      <c r="G40" s="1952"/>
      <c r="H40" s="1952"/>
      <c r="I40" s="1952"/>
      <c r="J40" s="1952"/>
      <c r="K40" s="1952"/>
      <c r="L40" s="1952"/>
      <c r="M40" s="1952"/>
      <c r="N40" s="1952"/>
      <c r="O40" s="1952"/>
      <c r="P40" s="1952"/>
      <c r="Q40" s="1952"/>
      <c r="R40" s="1952"/>
      <c r="S40" s="1952"/>
      <c r="T40" s="1952"/>
      <c r="U40" s="1952"/>
      <c r="V40" s="1952"/>
      <c r="W40" s="956"/>
      <c r="X40" s="963"/>
      <c r="Y40" s="956"/>
      <c r="Z40" s="956"/>
      <c r="AA40" s="956"/>
      <c r="AB40" s="956"/>
      <c r="AC40" s="956"/>
      <c r="AD40" s="956"/>
      <c r="AE40" s="956"/>
      <c r="AF40" s="956"/>
      <c r="AG40" s="956"/>
      <c r="AH40" s="956"/>
      <c r="AI40" s="956"/>
      <c r="AJ40" s="962"/>
    </row>
    <row r="41" spans="1:36" ht="13.95" customHeight="1">
      <c r="B41" s="1952"/>
      <c r="C41" s="1952"/>
      <c r="D41" s="1952"/>
      <c r="E41" s="1952"/>
      <c r="F41" s="1952"/>
      <c r="G41" s="1952"/>
      <c r="H41" s="1952"/>
      <c r="I41" s="1952"/>
      <c r="J41" s="1952"/>
      <c r="K41" s="1952"/>
      <c r="L41" s="1952"/>
      <c r="M41" s="1952"/>
      <c r="N41" s="1952"/>
      <c r="O41" s="1952"/>
      <c r="P41" s="1952"/>
      <c r="Q41" s="1952"/>
      <c r="R41" s="1952"/>
      <c r="S41" s="1952"/>
      <c r="T41" s="1952"/>
      <c r="U41" s="1952"/>
      <c r="V41" s="1952"/>
      <c r="W41" s="956"/>
      <c r="X41" s="963"/>
      <c r="Y41" s="956"/>
      <c r="Z41" s="956"/>
      <c r="AA41" s="956"/>
      <c r="AB41" s="956"/>
      <c r="AC41" s="956"/>
      <c r="AD41" s="956"/>
      <c r="AE41" s="956"/>
      <c r="AF41" s="956"/>
      <c r="AG41" s="956"/>
      <c r="AH41" s="956"/>
      <c r="AI41" s="956"/>
      <c r="AJ41" s="962"/>
    </row>
    <row r="42" spans="1:36" ht="13.95" customHeight="1">
      <c r="B42" s="1952"/>
      <c r="C42" s="1952"/>
      <c r="D42" s="1952"/>
      <c r="E42" s="1952"/>
      <c r="F42" s="1952"/>
      <c r="G42" s="1952"/>
      <c r="H42" s="1952"/>
      <c r="I42" s="1952"/>
      <c r="J42" s="1952"/>
      <c r="K42" s="1952"/>
      <c r="L42" s="1952"/>
      <c r="M42" s="1952"/>
      <c r="N42" s="1952"/>
      <c r="O42" s="1952"/>
      <c r="P42" s="1952"/>
      <c r="Q42" s="1952"/>
      <c r="R42" s="1952"/>
      <c r="S42" s="1952"/>
      <c r="T42" s="1952"/>
      <c r="U42" s="1952"/>
      <c r="V42" s="1952"/>
      <c r="W42" s="956"/>
      <c r="X42" s="963"/>
      <c r="Y42" s="956"/>
      <c r="Z42" s="956"/>
      <c r="AA42" s="956"/>
      <c r="AB42" s="956"/>
      <c r="AC42" s="956"/>
      <c r="AD42" s="956"/>
      <c r="AE42" s="956"/>
      <c r="AF42" s="956"/>
      <c r="AG42" s="956"/>
      <c r="AH42" s="956"/>
      <c r="AI42" s="956"/>
      <c r="AJ42" s="962"/>
    </row>
    <row r="43" spans="1:36" ht="13.95" customHeight="1">
      <c r="A43" s="958" t="s">
        <v>2678</v>
      </c>
      <c r="B43" s="1952" t="s">
        <v>3650</v>
      </c>
      <c r="C43" s="1952"/>
      <c r="D43" s="1952"/>
      <c r="E43" s="1952"/>
      <c r="F43" s="1952"/>
      <c r="G43" s="1952"/>
      <c r="H43" s="1952"/>
      <c r="I43" s="1952"/>
      <c r="J43" s="1952"/>
      <c r="K43" s="1952"/>
      <c r="L43" s="1952"/>
      <c r="M43" s="1952"/>
      <c r="N43" s="1952"/>
      <c r="O43" s="1952"/>
      <c r="P43" s="1952"/>
      <c r="Q43" s="1952"/>
      <c r="R43" s="1952"/>
      <c r="S43" s="1952"/>
      <c r="T43" s="1952"/>
      <c r="U43" s="1952"/>
      <c r="V43" s="1952"/>
      <c r="W43" s="956"/>
      <c r="X43" s="963"/>
      <c r="Y43" s="956"/>
      <c r="Z43" s="956"/>
      <c r="AA43" s="956"/>
      <c r="AB43" s="956"/>
      <c r="AC43" s="956"/>
      <c r="AD43" s="956"/>
      <c r="AE43" s="956"/>
      <c r="AF43" s="956"/>
      <c r="AG43" s="956"/>
      <c r="AH43" s="956"/>
      <c r="AI43" s="956"/>
      <c r="AJ43" s="962"/>
    </row>
    <row r="44" spans="1:36" ht="13.95" customHeight="1">
      <c r="B44" s="1952"/>
      <c r="C44" s="1952"/>
      <c r="D44" s="1952"/>
      <c r="E44" s="1952"/>
      <c r="F44" s="1952"/>
      <c r="G44" s="1952"/>
      <c r="H44" s="1952"/>
      <c r="I44" s="1952"/>
      <c r="J44" s="1952"/>
      <c r="K44" s="1952"/>
      <c r="L44" s="1952"/>
      <c r="M44" s="1952"/>
      <c r="N44" s="1952"/>
      <c r="O44" s="1952"/>
      <c r="P44" s="1952"/>
      <c r="Q44" s="1952"/>
      <c r="R44" s="1952"/>
      <c r="S44" s="1952"/>
      <c r="T44" s="1952"/>
      <c r="U44" s="1952"/>
      <c r="V44" s="1952"/>
      <c r="W44" s="956"/>
      <c r="X44" s="963"/>
      <c r="Y44" s="956"/>
      <c r="Z44" s="956"/>
      <c r="AA44" s="956"/>
      <c r="AB44" s="956"/>
      <c r="AC44" s="956"/>
      <c r="AD44" s="956"/>
      <c r="AE44" s="956"/>
      <c r="AF44" s="956"/>
      <c r="AG44" s="956"/>
      <c r="AH44" s="956"/>
      <c r="AI44" s="956"/>
      <c r="AJ44" s="962"/>
    </row>
    <row r="45" spans="1:36" ht="13.95" customHeight="1">
      <c r="B45" s="1952"/>
      <c r="C45" s="1952"/>
      <c r="D45" s="1952"/>
      <c r="E45" s="1952"/>
      <c r="F45" s="1952"/>
      <c r="G45" s="1952"/>
      <c r="H45" s="1952"/>
      <c r="I45" s="1952"/>
      <c r="J45" s="1952"/>
      <c r="K45" s="1952"/>
      <c r="L45" s="1952"/>
      <c r="M45" s="1952"/>
      <c r="N45" s="1952"/>
      <c r="O45" s="1952"/>
      <c r="P45" s="1952"/>
      <c r="Q45" s="1952"/>
      <c r="R45" s="1952"/>
      <c r="S45" s="1952"/>
      <c r="T45" s="1952"/>
      <c r="U45" s="1952"/>
      <c r="V45" s="1952"/>
      <c r="W45" s="956"/>
      <c r="X45" s="961"/>
      <c r="Y45" s="960"/>
      <c r="Z45" s="960"/>
      <c r="AA45" s="960"/>
      <c r="AB45" s="960"/>
      <c r="AC45" s="960"/>
      <c r="AD45" s="960"/>
      <c r="AE45" s="960"/>
      <c r="AF45" s="960"/>
      <c r="AG45" s="960"/>
      <c r="AH45" s="960"/>
      <c r="AI45" s="960"/>
      <c r="AJ45" s="959"/>
    </row>
    <row r="46" spans="1:36" ht="10.95" customHeight="1">
      <c r="A46" s="958" t="s">
        <v>3107</v>
      </c>
      <c r="B46" s="1952" t="s">
        <v>3649</v>
      </c>
      <c r="C46" s="1952"/>
      <c r="D46" s="1952"/>
      <c r="E46" s="1952"/>
      <c r="F46" s="1952"/>
      <c r="G46" s="1952"/>
      <c r="H46" s="1952"/>
      <c r="I46" s="1952"/>
      <c r="J46" s="1952"/>
      <c r="K46" s="1952"/>
      <c r="L46" s="1952"/>
      <c r="M46" s="1952"/>
      <c r="N46" s="1952"/>
      <c r="O46" s="1952"/>
      <c r="P46" s="1952"/>
      <c r="Q46" s="1952"/>
      <c r="R46" s="1952"/>
      <c r="S46" s="1952"/>
      <c r="T46" s="1952"/>
      <c r="U46" s="1952"/>
      <c r="V46" s="1952"/>
      <c r="W46" s="956"/>
      <c r="X46" s="1964" t="s">
        <v>3271</v>
      </c>
      <c r="Y46" s="1965"/>
      <c r="Z46" s="1965"/>
      <c r="AA46" s="1966"/>
      <c r="AB46" s="1925" t="s">
        <v>3648</v>
      </c>
      <c r="AC46" s="1926"/>
      <c r="AD46" s="1927"/>
      <c r="AE46" s="1925" t="s">
        <v>54</v>
      </c>
      <c r="AF46" s="1926"/>
      <c r="AG46" s="1927"/>
      <c r="AH46" s="1925" t="s">
        <v>3647</v>
      </c>
      <c r="AI46" s="1926"/>
      <c r="AJ46" s="1927"/>
    </row>
    <row r="47" spans="1:36" ht="13.95" customHeight="1">
      <c r="A47" s="955"/>
      <c r="B47" s="1952"/>
      <c r="C47" s="1952"/>
      <c r="D47" s="1952"/>
      <c r="E47" s="1952"/>
      <c r="F47" s="1952"/>
      <c r="G47" s="1952"/>
      <c r="H47" s="1952"/>
      <c r="I47" s="1952"/>
      <c r="J47" s="1952"/>
      <c r="K47" s="1952"/>
      <c r="L47" s="1952"/>
      <c r="M47" s="1952"/>
      <c r="N47" s="1952"/>
      <c r="O47" s="1952"/>
      <c r="P47" s="1952"/>
      <c r="Q47" s="1952"/>
      <c r="R47" s="1952"/>
      <c r="S47" s="1952"/>
      <c r="T47" s="1952"/>
      <c r="U47" s="1952"/>
      <c r="V47" s="1952"/>
      <c r="W47" s="957"/>
      <c r="X47" s="1967"/>
      <c r="Y47" s="1968"/>
      <c r="Z47" s="1968"/>
      <c r="AA47" s="1969"/>
      <c r="AB47" s="1928"/>
      <c r="AC47" s="1929"/>
      <c r="AD47" s="1930"/>
      <c r="AE47" s="1928"/>
      <c r="AF47" s="1929"/>
      <c r="AG47" s="1930"/>
      <c r="AH47" s="1928"/>
      <c r="AI47" s="1929"/>
      <c r="AJ47" s="1930"/>
    </row>
    <row r="48" spans="1:36" ht="13.95" customHeight="1">
      <c r="B48" s="1952"/>
      <c r="C48" s="1952"/>
      <c r="D48" s="1952"/>
      <c r="E48" s="1952"/>
      <c r="F48" s="1952"/>
      <c r="G48" s="1952"/>
      <c r="H48" s="1952"/>
      <c r="I48" s="1952"/>
      <c r="J48" s="1952"/>
      <c r="K48" s="1952"/>
      <c r="L48" s="1952"/>
      <c r="M48" s="1952"/>
      <c r="N48" s="1952"/>
      <c r="O48" s="1952"/>
      <c r="P48" s="1952"/>
      <c r="Q48" s="1952"/>
      <c r="R48" s="1952"/>
      <c r="S48" s="1952"/>
      <c r="T48" s="1952"/>
      <c r="U48" s="1952"/>
      <c r="V48" s="1952"/>
      <c r="W48" s="957"/>
      <c r="X48" s="1971"/>
      <c r="Y48" s="1971"/>
      <c r="Z48" s="1971"/>
      <c r="AA48" s="1971"/>
      <c r="AB48" s="1971"/>
      <c r="AC48" s="1971"/>
      <c r="AD48" s="1971"/>
      <c r="AE48" s="1971"/>
      <c r="AF48" s="1971"/>
      <c r="AG48" s="1971"/>
      <c r="AH48" s="1971"/>
      <c r="AI48" s="1971"/>
      <c r="AJ48" s="1971"/>
    </row>
    <row r="49" spans="1:36" s="955" customFormat="1" ht="13.95" customHeight="1">
      <c r="A49" s="958" t="s">
        <v>3340</v>
      </c>
      <c r="B49" s="958" t="s">
        <v>3250</v>
      </c>
      <c r="C49" s="954"/>
      <c r="D49" s="954"/>
      <c r="E49" s="954"/>
      <c r="F49" s="954"/>
      <c r="G49" s="954"/>
      <c r="H49" s="954"/>
      <c r="I49" s="954"/>
      <c r="J49" s="954"/>
      <c r="K49" s="954"/>
      <c r="L49" s="954"/>
      <c r="M49" s="954"/>
      <c r="N49" s="954"/>
      <c r="O49" s="954"/>
      <c r="P49" s="954"/>
      <c r="Q49" s="954"/>
      <c r="R49" s="954"/>
      <c r="S49" s="954"/>
      <c r="T49" s="954"/>
      <c r="U49" s="954"/>
      <c r="V49" s="954"/>
      <c r="W49" s="957"/>
      <c r="X49" s="1971"/>
      <c r="Y49" s="1971"/>
      <c r="Z49" s="1971"/>
      <c r="AA49" s="1971"/>
      <c r="AB49" s="1971"/>
      <c r="AC49" s="1971"/>
      <c r="AD49" s="1971"/>
      <c r="AE49" s="1971"/>
      <c r="AF49" s="1971"/>
      <c r="AG49" s="1971"/>
      <c r="AH49" s="1971"/>
      <c r="AI49" s="1971"/>
      <c r="AJ49" s="1971"/>
    </row>
    <row r="50" spans="1:36" s="955" customFormat="1" ht="13.95" customHeight="1">
      <c r="A50" s="954"/>
      <c r="B50" s="954"/>
      <c r="C50" s="954"/>
      <c r="D50" s="954"/>
      <c r="E50" s="954"/>
      <c r="F50" s="954"/>
      <c r="G50" s="954"/>
      <c r="H50" s="954"/>
      <c r="I50" s="954"/>
      <c r="J50" s="954"/>
      <c r="K50" s="954"/>
      <c r="L50" s="954"/>
      <c r="M50" s="954"/>
      <c r="N50" s="954"/>
      <c r="O50" s="954"/>
      <c r="P50" s="954"/>
      <c r="Q50" s="954"/>
      <c r="R50" s="954"/>
      <c r="S50" s="954"/>
      <c r="T50" s="954"/>
      <c r="U50" s="954"/>
      <c r="V50" s="954"/>
      <c r="W50" s="957"/>
      <c r="X50" s="1972"/>
      <c r="Y50" s="1972"/>
      <c r="Z50" s="1972"/>
      <c r="AA50" s="1972"/>
      <c r="AB50" s="1972"/>
      <c r="AC50" s="1972"/>
      <c r="AD50" s="1972"/>
      <c r="AE50" s="1972"/>
      <c r="AF50" s="1972"/>
      <c r="AG50" s="1972"/>
      <c r="AH50" s="1972"/>
      <c r="AI50" s="1972"/>
      <c r="AJ50" s="1972"/>
    </row>
    <row r="51" spans="1:36" s="955" customFormat="1" ht="13.95" customHeight="1">
      <c r="A51" s="954"/>
      <c r="B51" s="954"/>
      <c r="C51" s="954"/>
      <c r="D51" s="954"/>
      <c r="E51" s="954"/>
      <c r="F51" s="954"/>
      <c r="G51" s="954"/>
      <c r="H51" s="954"/>
      <c r="I51" s="954"/>
      <c r="J51" s="954"/>
      <c r="K51" s="954"/>
      <c r="L51" s="954"/>
      <c r="M51" s="954"/>
      <c r="N51" s="954"/>
      <c r="O51" s="954"/>
      <c r="P51" s="954"/>
      <c r="Q51" s="954"/>
      <c r="R51" s="954"/>
      <c r="S51" s="954"/>
      <c r="T51" s="954"/>
      <c r="U51" s="954"/>
      <c r="V51" s="954"/>
      <c r="W51" s="956"/>
      <c r="X51" s="1970" t="s">
        <v>3646</v>
      </c>
      <c r="Y51" s="1970"/>
      <c r="Z51" s="1970"/>
      <c r="AA51" s="1970"/>
      <c r="AB51" s="1970" t="s">
        <v>3646</v>
      </c>
      <c r="AC51" s="1970"/>
      <c r="AD51" s="1970"/>
      <c r="AE51" s="1970" t="s">
        <v>3646</v>
      </c>
      <c r="AF51" s="1970"/>
      <c r="AG51" s="1970"/>
      <c r="AH51" s="1970" t="s">
        <v>3646</v>
      </c>
      <c r="AI51" s="1970"/>
      <c r="AJ51" s="1970"/>
    </row>
  </sheetData>
  <mergeCells count="33">
    <mergeCell ref="X46:AA47"/>
    <mergeCell ref="AH46:AJ47"/>
    <mergeCell ref="AH51:AJ51"/>
    <mergeCell ref="AE51:AG51"/>
    <mergeCell ref="AB51:AD51"/>
    <mergeCell ref="X51:AA51"/>
    <mergeCell ref="AH48:AJ50"/>
    <mergeCell ref="AE48:AG50"/>
    <mergeCell ref="AB48:AD50"/>
    <mergeCell ref="X48:AA50"/>
    <mergeCell ref="A2:AJ2"/>
    <mergeCell ref="A3:AJ3"/>
    <mergeCell ref="U8:AI8"/>
    <mergeCell ref="U9:AI9"/>
    <mergeCell ref="A15:J15"/>
    <mergeCell ref="K15:AJ15"/>
    <mergeCell ref="Z4:AJ4"/>
    <mergeCell ref="W17:AC17"/>
    <mergeCell ref="AE46:AG47"/>
    <mergeCell ref="U10:AI10"/>
    <mergeCell ref="X38:AJ38"/>
    <mergeCell ref="A18:B36"/>
    <mergeCell ref="A16:J16"/>
    <mergeCell ref="A17:J17"/>
    <mergeCell ref="L16:V16"/>
    <mergeCell ref="C36:AJ36"/>
    <mergeCell ref="AF17:AJ17"/>
    <mergeCell ref="M17:R17"/>
    <mergeCell ref="AB46:AD47"/>
    <mergeCell ref="B39:V42"/>
    <mergeCell ref="X16:AJ16"/>
    <mergeCell ref="B46:V48"/>
    <mergeCell ref="B43:V45"/>
  </mergeCells>
  <phoneticPr fontId="122"/>
  <dataValidations count="2">
    <dataValidation type="list" allowBlank="1" showInputMessage="1" sqref="W17" xr:uid="{00000000-0002-0000-2A00-000000000000}">
      <formula1>"□完了検査,■完了検査"</formula1>
    </dataValidation>
    <dataValidation type="list" allowBlank="1" showInputMessage="1" sqref="M17" xr:uid="{00000000-0002-0000-2A00-000001000000}">
      <formula1>"□中間検査,■中間検査"</formula1>
    </dataValidation>
  </dataValidations>
  <printOptions horizontalCentered="1"/>
  <pageMargins left="0.98425196850393704" right="0.78740157480314965" top="0.31496062992125984" bottom="0.19685039370078741" header="0.35433070866141736" footer="0.19685039370078741"/>
  <pageSetup paperSize="9" scale="98" orientation="portrait" blackAndWhite="1" r:id="rId1"/>
  <headerFooter alignWithMargins="0">
    <oddFooter>&amp;R&amp;8 20250401</oddFooter>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I32"/>
  <sheetViews>
    <sheetView zoomScale="115" zoomScaleNormal="115" workbookViewId="0"/>
  </sheetViews>
  <sheetFormatPr defaultColWidth="2.33203125" defaultRowHeight="18" customHeight="1"/>
  <cols>
    <col min="1" max="1" width="2.33203125" style="1007" customWidth="1"/>
    <col min="2" max="16384" width="2.33203125" style="1007"/>
  </cols>
  <sheetData>
    <row r="1" spans="1:35" s="1009" customFormat="1" ht="17.25" customHeight="1">
      <c r="A1" s="1007" t="s">
        <v>3664</v>
      </c>
      <c r="E1" s="1007"/>
    </row>
    <row r="2" spans="1:35" ht="18" customHeight="1">
      <c r="A2" s="1007" t="s">
        <v>3663</v>
      </c>
    </row>
    <row r="5" spans="1:35" ht="18" customHeight="1">
      <c r="S5" s="1008" t="s">
        <v>3661</v>
      </c>
      <c r="U5" s="1973" t="str">
        <f>cst_wskakunin_owner2_JIMU_NAME</f>
        <v/>
      </c>
      <c r="V5" s="1973"/>
      <c r="W5" s="1973"/>
      <c r="X5" s="1973"/>
      <c r="Y5" s="1973"/>
      <c r="Z5" s="1973"/>
      <c r="AA5" s="1973"/>
      <c r="AB5" s="1973"/>
      <c r="AC5" s="1973"/>
      <c r="AD5" s="1973"/>
      <c r="AE5" s="1973"/>
      <c r="AF5" s="1973"/>
      <c r="AG5" s="1973"/>
      <c r="AH5" s="1973"/>
      <c r="AI5" s="1973"/>
    </row>
    <row r="6" spans="1:35" ht="18" customHeight="1">
      <c r="P6" s="1008"/>
      <c r="U6" s="1973" t="str">
        <f>cst_wskakunin_owner2_POST</f>
        <v/>
      </c>
      <c r="V6" s="1973"/>
      <c r="W6" s="1973"/>
      <c r="X6" s="1973"/>
      <c r="Y6" s="1973"/>
      <c r="Z6" s="1973"/>
      <c r="AA6" s="1973"/>
      <c r="AB6" s="1973"/>
      <c r="AC6" s="1973"/>
      <c r="AD6" s="1973"/>
      <c r="AE6" s="1973"/>
      <c r="AF6" s="1973"/>
      <c r="AG6" s="1973"/>
      <c r="AH6" s="1973"/>
      <c r="AI6" s="1973"/>
    </row>
    <row r="7" spans="1:35" ht="18" customHeight="1">
      <c r="U7" s="1973" t="str">
        <f>cst_wskakunin_owner2_NAME</f>
        <v/>
      </c>
      <c r="V7" s="1973"/>
      <c r="W7" s="1973"/>
      <c r="X7" s="1973"/>
      <c r="Y7" s="1973"/>
      <c r="Z7" s="1973"/>
      <c r="AA7" s="1973"/>
      <c r="AB7" s="1973"/>
      <c r="AC7" s="1973"/>
      <c r="AD7" s="1973"/>
      <c r="AE7" s="1973"/>
      <c r="AF7" s="1973"/>
      <c r="AG7" s="1973"/>
      <c r="AH7" s="1973"/>
      <c r="AI7" s="1973"/>
    </row>
    <row r="8" spans="1:35" ht="18" customHeight="1">
      <c r="AI8" s="1008"/>
    </row>
    <row r="9" spans="1:35" ht="18" customHeight="1">
      <c r="S9" s="1008" t="s">
        <v>3661</v>
      </c>
      <c r="U9" s="1973" t="str">
        <f>cst_wskakunin_owner3_JIMU_NAME</f>
        <v/>
      </c>
      <c r="V9" s="1973"/>
      <c r="W9" s="1973"/>
      <c r="X9" s="1973"/>
      <c r="Y9" s="1973"/>
      <c r="Z9" s="1973"/>
      <c r="AA9" s="1973"/>
      <c r="AB9" s="1973"/>
      <c r="AC9" s="1973"/>
      <c r="AD9" s="1973"/>
      <c r="AE9" s="1973"/>
      <c r="AF9" s="1973"/>
      <c r="AG9" s="1973"/>
      <c r="AH9" s="1973"/>
      <c r="AI9" s="1973"/>
    </row>
    <row r="10" spans="1:35" ht="18" customHeight="1">
      <c r="P10" s="1008"/>
      <c r="U10" s="1973" t="str">
        <f>cst_wskakunin_owner3_POST</f>
        <v/>
      </c>
      <c r="V10" s="1973"/>
      <c r="W10" s="1973"/>
      <c r="X10" s="1973"/>
      <c r="Y10" s="1973"/>
      <c r="Z10" s="1973"/>
      <c r="AA10" s="1973"/>
      <c r="AB10" s="1973"/>
      <c r="AC10" s="1973"/>
      <c r="AD10" s="1973"/>
      <c r="AE10" s="1973"/>
      <c r="AF10" s="1973"/>
      <c r="AG10" s="1973"/>
      <c r="AH10" s="1973"/>
      <c r="AI10" s="1973"/>
    </row>
    <row r="11" spans="1:35" ht="18" customHeight="1">
      <c r="U11" s="1973" t="str">
        <f>cst_wskakunin_owner3_NAME</f>
        <v/>
      </c>
      <c r="V11" s="1973"/>
      <c r="W11" s="1973"/>
      <c r="X11" s="1973"/>
      <c r="Y11" s="1973"/>
      <c r="Z11" s="1973"/>
      <c r="AA11" s="1973"/>
      <c r="AB11" s="1973"/>
      <c r="AC11" s="1973"/>
      <c r="AD11" s="1973"/>
      <c r="AE11" s="1973"/>
      <c r="AF11" s="1973"/>
      <c r="AG11" s="1973"/>
      <c r="AH11" s="1973"/>
      <c r="AI11" s="1973"/>
    </row>
    <row r="13" spans="1:35" ht="18" customHeight="1">
      <c r="S13" s="1008" t="s">
        <v>3661</v>
      </c>
      <c r="U13" s="1973" t="str">
        <f>cst_wskakunin_owner4_JIMU_NAME</f>
        <v/>
      </c>
      <c r="V13" s="1973"/>
      <c r="W13" s="1973"/>
      <c r="X13" s="1973"/>
      <c r="Y13" s="1973"/>
      <c r="Z13" s="1973"/>
      <c r="AA13" s="1973"/>
      <c r="AB13" s="1973"/>
      <c r="AC13" s="1973"/>
      <c r="AD13" s="1973"/>
      <c r="AE13" s="1973"/>
      <c r="AF13" s="1973"/>
      <c r="AG13" s="1973"/>
      <c r="AH13" s="1973"/>
      <c r="AI13" s="1973"/>
    </row>
    <row r="14" spans="1:35" ht="18" customHeight="1">
      <c r="P14" s="1008"/>
      <c r="U14" s="1973" t="str">
        <f>cst_wskakunin_owner4_POST</f>
        <v/>
      </c>
      <c r="V14" s="1973"/>
      <c r="W14" s="1973"/>
      <c r="X14" s="1973"/>
      <c r="Y14" s="1973"/>
      <c r="Z14" s="1973"/>
      <c r="AA14" s="1973"/>
      <c r="AB14" s="1973"/>
      <c r="AC14" s="1973"/>
      <c r="AD14" s="1973"/>
      <c r="AE14" s="1973"/>
      <c r="AF14" s="1973"/>
      <c r="AG14" s="1973"/>
      <c r="AH14" s="1973"/>
      <c r="AI14" s="1973"/>
    </row>
    <row r="15" spans="1:35" ht="18" customHeight="1">
      <c r="U15" s="1973" t="str">
        <f>cst_wskakunin_owner4_NAME</f>
        <v/>
      </c>
      <c r="V15" s="1973"/>
      <c r="W15" s="1973"/>
      <c r="X15" s="1973"/>
      <c r="Y15" s="1973"/>
      <c r="Z15" s="1973"/>
      <c r="AA15" s="1973"/>
      <c r="AB15" s="1973"/>
      <c r="AC15" s="1973"/>
      <c r="AD15" s="1973"/>
      <c r="AE15" s="1973"/>
      <c r="AF15" s="1973"/>
      <c r="AG15" s="1973"/>
      <c r="AH15" s="1973"/>
      <c r="AI15" s="1973"/>
    </row>
    <row r="16" spans="1:35" ht="18" customHeight="1">
      <c r="AI16" s="1008"/>
    </row>
    <row r="17" spans="16:35" ht="18" customHeight="1">
      <c r="S17" s="1008" t="s">
        <v>3661</v>
      </c>
      <c r="U17" s="1973" t="str">
        <f>cst_wskakunin_owner5_JIMU_NAME</f>
        <v/>
      </c>
      <c r="V17" s="1973"/>
      <c r="W17" s="1973"/>
      <c r="X17" s="1973"/>
      <c r="Y17" s="1973"/>
      <c r="Z17" s="1973"/>
      <c r="AA17" s="1973"/>
      <c r="AB17" s="1973"/>
      <c r="AC17" s="1973"/>
      <c r="AD17" s="1973"/>
      <c r="AE17" s="1973"/>
      <c r="AF17" s="1973"/>
      <c r="AG17" s="1973"/>
      <c r="AH17" s="1973"/>
      <c r="AI17" s="1973"/>
    </row>
    <row r="18" spans="16:35" ht="18" customHeight="1">
      <c r="P18" s="1008"/>
      <c r="U18" s="1973" t="str">
        <f>cst_wskakunin_owner5_POST</f>
        <v/>
      </c>
      <c r="V18" s="1973"/>
      <c r="W18" s="1973"/>
      <c r="X18" s="1973"/>
      <c r="Y18" s="1973"/>
      <c r="Z18" s="1973"/>
      <c r="AA18" s="1973"/>
      <c r="AB18" s="1973"/>
      <c r="AC18" s="1973"/>
      <c r="AD18" s="1973"/>
      <c r="AE18" s="1973"/>
      <c r="AF18" s="1973"/>
      <c r="AG18" s="1973"/>
      <c r="AH18" s="1973"/>
      <c r="AI18" s="1973"/>
    </row>
    <row r="19" spans="16:35" ht="18" customHeight="1">
      <c r="U19" s="1973" t="str">
        <f>cst_wskakunin_owner5_NAME</f>
        <v/>
      </c>
      <c r="V19" s="1973"/>
      <c r="W19" s="1973"/>
      <c r="X19" s="1973"/>
      <c r="Y19" s="1973"/>
      <c r="Z19" s="1973"/>
      <c r="AA19" s="1973"/>
      <c r="AB19" s="1973"/>
      <c r="AC19" s="1973"/>
      <c r="AD19" s="1973"/>
      <c r="AE19" s="1973"/>
      <c r="AF19" s="1973"/>
      <c r="AG19" s="1973"/>
      <c r="AH19" s="1973"/>
      <c r="AI19" s="1973"/>
    </row>
    <row r="21" spans="16:35" ht="18" customHeight="1">
      <c r="S21" s="1008" t="s">
        <v>3661</v>
      </c>
      <c r="U21" s="1973" t="str">
        <f>cst_wskakunin_owner6_JIMU_NAME</f>
        <v/>
      </c>
      <c r="V21" s="1973"/>
      <c r="W21" s="1973"/>
      <c r="X21" s="1973"/>
      <c r="Y21" s="1973"/>
      <c r="Z21" s="1973"/>
      <c r="AA21" s="1973"/>
      <c r="AB21" s="1973"/>
      <c r="AC21" s="1973"/>
      <c r="AD21" s="1973"/>
      <c r="AE21" s="1973"/>
      <c r="AF21" s="1973"/>
      <c r="AG21" s="1973"/>
      <c r="AH21" s="1973"/>
      <c r="AI21" s="1973"/>
    </row>
    <row r="22" spans="16:35" ht="18" customHeight="1">
      <c r="P22" s="1008"/>
      <c r="U22" s="1973" t="str">
        <f>cst_wskakunin_owner6_POST</f>
        <v/>
      </c>
      <c r="V22" s="1973"/>
      <c r="W22" s="1973"/>
      <c r="X22" s="1973"/>
      <c r="Y22" s="1973"/>
      <c r="Z22" s="1973"/>
      <c r="AA22" s="1973"/>
      <c r="AB22" s="1973"/>
      <c r="AC22" s="1973"/>
      <c r="AD22" s="1973"/>
      <c r="AE22" s="1973"/>
      <c r="AF22" s="1973"/>
      <c r="AG22" s="1973"/>
      <c r="AH22" s="1973"/>
      <c r="AI22" s="1973"/>
    </row>
    <row r="23" spans="16:35" ht="18" customHeight="1">
      <c r="U23" s="1973" t="str">
        <f>cst_wskakunin_owner6_NAME</f>
        <v/>
      </c>
      <c r="V23" s="1973"/>
      <c r="W23" s="1973"/>
      <c r="X23" s="1973"/>
      <c r="Y23" s="1973"/>
      <c r="Z23" s="1973"/>
      <c r="AA23" s="1973"/>
      <c r="AB23" s="1973"/>
      <c r="AC23" s="1973"/>
      <c r="AD23" s="1973"/>
      <c r="AE23" s="1973"/>
      <c r="AF23" s="1973"/>
      <c r="AG23" s="1973"/>
      <c r="AH23" s="1973"/>
      <c r="AI23" s="1973"/>
    </row>
    <row r="24" spans="16:35" ht="18" customHeight="1">
      <c r="AI24" s="1008"/>
    </row>
    <row r="25" spans="16:35" ht="18" customHeight="1">
      <c r="S25" s="1008" t="s">
        <v>3661</v>
      </c>
      <c r="U25" s="1973" t="str">
        <f>cst_wskakunin_owner7_JIMU_NAME</f>
        <v/>
      </c>
      <c r="V25" s="1973"/>
      <c r="W25" s="1973"/>
      <c r="X25" s="1973"/>
      <c r="Y25" s="1973"/>
      <c r="Z25" s="1973"/>
      <c r="AA25" s="1973"/>
      <c r="AB25" s="1973"/>
      <c r="AC25" s="1973"/>
      <c r="AD25" s="1973"/>
      <c r="AE25" s="1973"/>
      <c r="AF25" s="1973"/>
      <c r="AG25" s="1973"/>
      <c r="AH25" s="1973"/>
      <c r="AI25" s="1973"/>
    </row>
    <row r="26" spans="16:35" ht="18" customHeight="1">
      <c r="P26" s="1008"/>
      <c r="U26" s="1973" t="str">
        <f>cst_wskakunin_owner7_POST</f>
        <v/>
      </c>
      <c r="V26" s="1973"/>
      <c r="W26" s="1973"/>
      <c r="X26" s="1973"/>
      <c r="Y26" s="1973"/>
      <c r="Z26" s="1973"/>
      <c r="AA26" s="1973"/>
      <c r="AB26" s="1973"/>
      <c r="AC26" s="1973"/>
      <c r="AD26" s="1973"/>
      <c r="AE26" s="1973"/>
      <c r="AF26" s="1973"/>
      <c r="AG26" s="1973"/>
      <c r="AH26" s="1973"/>
      <c r="AI26" s="1973"/>
    </row>
    <row r="27" spans="16:35" ht="18" customHeight="1">
      <c r="U27" s="1973" t="str">
        <f>cst_wskakunin_owner7_NAME</f>
        <v/>
      </c>
      <c r="V27" s="1973"/>
      <c r="W27" s="1973"/>
      <c r="X27" s="1973"/>
      <c r="Y27" s="1973"/>
      <c r="Z27" s="1973"/>
      <c r="AA27" s="1973"/>
      <c r="AB27" s="1973"/>
      <c r="AC27" s="1973"/>
      <c r="AD27" s="1973"/>
      <c r="AE27" s="1973"/>
      <c r="AF27" s="1973"/>
      <c r="AG27" s="1973"/>
      <c r="AH27" s="1973"/>
      <c r="AI27" s="1973"/>
    </row>
    <row r="29" spans="16:35" ht="18" customHeight="1">
      <c r="S29" s="1008" t="s">
        <v>3661</v>
      </c>
      <c r="U29" s="1973" t="str">
        <f>cst_wskakunin_owner8_JIMU_NAME</f>
        <v/>
      </c>
      <c r="V29" s="1973"/>
      <c r="W29" s="1973"/>
      <c r="X29" s="1973"/>
      <c r="Y29" s="1973"/>
      <c r="Z29" s="1973"/>
      <c r="AA29" s="1973"/>
      <c r="AB29" s="1973"/>
      <c r="AC29" s="1973"/>
      <c r="AD29" s="1973"/>
      <c r="AE29" s="1973"/>
      <c r="AF29" s="1973"/>
      <c r="AG29" s="1973"/>
      <c r="AH29" s="1973"/>
      <c r="AI29" s="1973"/>
    </row>
    <row r="30" spans="16:35" ht="18" customHeight="1">
      <c r="P30" s="1008"/>
      <c r="U30" s="1973" t="str">
        <f>cst_wskakunin_owner8_POST</f>
        <v/>
      </c>
      <c r="V30" s="1973"/>
      <c r="W30" s="1973"/>
      <c r="X30" s="1973"/>
      <c r="Y30" s="1973"/>
      <c r="Z30" s="1973"/>
      <c r="AA30" s="1973"/>
      <c r="AB30" s="1973"/>
      <c r="AC30" s="1973"/>
      <c r="AD30" s="1973"/>
      <c r="AE30" s="1973"/>
      <c r="AF30" s="1973"/>
      <c r="AG30" s="1973"/>
      <c r="AH30" s="1973"/>
      <c r="AI30" s="1973"/>
    </row>
    <row r="31" spans="16:35" ht="18" customHeight="1">
      <c r="U31" s="1973" t="str">
        <f>cst_wskakunin_owner8_NAME</f>
        <v/>
      </c>
      <c r="V31" s="1973"/>
      <c r="W31" s="1973"/>
      <c r="X31" s="1973"/>
      <c r="Y31" s="1973"/>
      <c r="Z31" s="1973"/>
      <c r="AA31" s="1973"/>
      <c r="AB31" s="1973"/>
      <c r="AC31" s="1973"/>
      <c r="AD31" s="1973"/>
      <c r="AE31" s="1973"/>
      <c r="AF31" s="1973"/>
      <c r="AG31" s="1973"/>
      <c r="AH31" s="1973"/>
      <c r="AI31" s="1973"/>
    </row>
    <row r="32" spans="16:35" ht="18" customHeight="1">
      <c r="AI32" s="1008"/>
    </row>
  </sheetData>
  <mergeCells count="21">
    <mergeCell ref="U31:AI31"/>
    <mergeCell ref="U17:AI17"/>
    <mergeCell ref="U18:AI18"/>
    <mergeCell ref="U19:AI19"/>
    <mergeCell ref="U21:AI21"/>
    <mergeCell ref="U22:AI22"/>
    <mergeCell ref="U23:AI23"/>
    <mergeCell ref="U25:AI25"/>
    <mergeCell ref="U26:AI26"/>
    <mergeCell ref="U29:AI29"/>
    <mergeCell ref="U27:AI27"/>
    <mergeCell ref="U11:AI11"/>
    <mergeCell ref="U13:AI13"/>
    <mergeCell ref="U14:AI14"/>
    <mergeCell ref="U15:AI15"/>
    <mergeCell ref="U30:AI30"/>
    <mergeCell ref="U5:AI5"/>
    <mergeCell ref="U6:AI6"/>
    <mergeCell ref="U7:AI7"/>
    <mergeCell ref="U9:AI9"/>
    <mergeCell ref="U10:AI10"/>
  </mergeCells>
  <phoneticPr fontId="122"/>
  <pageMargins left="0.98425196850393704" right="0.78740157480314965" top="0.39370078740157483" bottom="0.39370078740157483" header="0.51181102362204722" footer="0.51181102362204722"/>
  <pageSetup paperSize="9" orientation="portrait" blackAndWhite="1"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U113"/>
  <sheetViews>
    <sheetView tabSelected="1" view="pageBreakPreview" zoomScale="78" zoomScaleNormal="100" zoomScaleSheetLayoutView="78" workbookViewId="0">
      <selection activeCell="C7" sqref="C7:R7"/>
    </sheetView>
  </sheetViews>
  <sheetFormatPr defaultColWidth="9" defaultRowHeight="13.2"/>
  <cols>
    <col min="1" max="2" width="2.6640625" style="1024" customWidth="1"/>
    <col min="3" max="3" width="9.77734375" style="1024" customWidth="1"/>
    <col min="4" max="4" width="12.44140625" style="1024" bestFit="1" customWidth="1"/>
    <col min="5" max="5" width="2.88671875" style="1024" customWidth="1"/>
    <col min="6" max="6" width="5.6640625" style="1024" customWidth="1"/>
    <col min="7" max="7" width="2.33203125" style="1024" customWidth="1"/>
    <col min="8" max="12" width="6.6640625" style="1024" customWidth="1"/>
    <col min="13" max="13" width="5.109375" style="1024" customWidth="1"/>
    <col min="14" max="14" width="2.109375" style="1024" customWidth="1"/>
    <col min="15" max="15" width="7" style="1024" customWidth="1"/>
    <col min="16" max="16" width="6.6640625" style="1024" customWidth="1"/>
    <col min="17" max="17" width="7" style="1024" customWidth="1"/>
    <col min="18" max="18" width="17.44140625" style="1024" customWidth="1"/>
    <col min="19" max="19" width="2.6640625" style="1024" customWidth="1"/>
    <col min="20" max="20" width="9" style="1024" customWidth="1"/>
    <col min="21" max="16384" width="9" style="1024"/>
  </cols>
  <sheetData>
    <row r="1" spans="1:19">
      <c r="A1" s="1282" t="s">
        <v>4178</v>
      </c>
      <c r="M1" s="1979" t="s">
        <v>4192</v>
      </c>
      <c r="N1" s="1979"/>
      <c r="O1" s="1979"/>
      <c r="P1" s="1979"/>
      <c r="Q1" s="1979"/>
      <c r="R1" s="1979"/>
    </row>
    <row r="2" spans="1:19" ht="26.25" customHeight="1">
      <c r="A2" s="2043" t="s">
        <v>3704</v>
      </c>
      <c r="B2" s="2043"/>
      <c r="C2" s="2043"/>
      <c r="D2" s="2043"/>
      <c r="E2" s="2043"/>
      <c r="F2" s="2043"/>
      <c r="G2" s="2043"/>
      <c r="H2" s="2043"/>
      <c r="I2" s="2043"/>
      <c r="J2" s="2043"/>
      <c r="K2" s="2043"/>
      <c r="L2" s="2043"/>
      <c r="M2" s="2043"/>
      <c r="N2" s="2043"/>
      <c r="O2" s="2043"/>
      <c r="P2" s="2043"/>
      <c r="Q2" s="2043"/>
      <c r="R2" s="2043"/>
      <c r="S2" s="1295"/>
    </row>
    <row r="3" spans="1:19" ht="19.8" customHeight="1" thickBot="1">
      <c r="A3" s="1025"/>
      <c r="B3" s="2044" t="s">
        <v>4183</v>
      </c>
      <c r="C3" s="2044"/>
      <c r="D3" s="2044"/>
      <c r="E3" s="2044"/>
      <c r="F3" s="2044"/>
      <c r="G3" s="2044"/>
      <c r="H3" s="2044"/>
      <c r="I3" s="2044"/>
      <c r="J3" s="2044"/>
      <c r="K3" s="2044"/>
      <c r="L3" s="2044"/>
      <c r="M3" s="2044"/>
      <c r="N3" s="2044"/>
      <c r="O3" s="2044"/>
      <c r="P3" s="2044"/>
      <c r="Q3" s="2044"/>
      <c r="R3" s="2044"/>
      <c r="S3" s="1025"/>
    </row>
    <row r="4" spans="1:19" ht="34.950000000000003" customHeight="1" thickBot="1">
      <c r="A4" s="1025"/>
      <c r="B4" s="2054" t="s">
        <v>3707</v>
      </c>
      <c r="C4" s="2055"/>
      <c r="D4" s="2055"/>
      <c r="E4" s="1026" t="s">
        <v>3708</v>
      </c>
      <c r="F4" s="2056"/>
      <c r="G4" s="2056"/>
      <c r="H4" s="2056"/>
      <c r="I4" s="2056"/>
      <c r="J4" s="2056"/>
      <c r="K4" s="2056"/>
      <c r="L4" s="2056"/>
      <c r="M4" s="2056"/>
      <c r="N4" s="2056"/>
      <c r="O4" s="2056"/>
      <c r="P4" s="2056"/>
      <c r="Q4" s="2056"/>
      <c r="R4" s="2057"/>
      <c r="S4" s="1027"/>
    </row>
    <row r="5" spans="1:19" ht="6" customHeight="1">
      <c r="A5" s="1025"/>
      <c r="B5" s="1028"/>
      <c r="C5" s="1028"/>
      <c r="D5" s="1028"/>
      <c r="E5" s="1028"/>
      <c r="F5" s="1029"/>
      <c r="G5" s="1029"/>
      <c r="H5" s="1029"/>
      <c r="I5" s="1029"/>
      <c r="J5" s="1029"/>
      <c r="K5" s="1029"/>
      <c r="L5" s="1029"/>
      <c r="M5" s="1029"/>
      <c r="N5" s="1029"/>
      <c r="O5" s="1029"/>
      <c r="P5" s="1029"/>
      <c r="Q5" s="1029"/>
      <c r="R5" s="1025"/>
      <c r="S5" s="1025"/>
    </row>
    <row r="6" spans="1:19" ht="19.95" customHeight="1">
      <c r="A6" s="1025"/>
      <c r="B6" s="1290"/>
      <c r="C6" s="1302" t="s">
        <v>4185</v>
      </c>
      <c r="D6" s="1291"/>
      <c r="E6" s="1291"/>
      <c r="F6" s="1291"/>
      <c r="G6" s="1291"/>
      <c r="H6" s="1291"/>
      <c r="I6" s="1291"/>
      <c r="J6" s="1291"/>
      <c r="K6" s="1302" t="s">
        <v>4186</v>
      </c>
      <c r="L6" s="1291"/>
      <c r="M6" s="1291"/>
      <c r="N6" s="1291"/>
      <c r="O6" s="1291"/>
      <c r="P6" s="1291"/>
      <c r="Q6" s="1291"/>
      <c r="R6" s="1291"/>
      <c r="S6" s="1030"/>
    </row>
    <row r="7" spans="1:19" ht="13.8" customHeight="1">
      <c r="A7" s="1025"/>
      <c r="B7" s="1028"/>
      <c r="C7" s="2045" t="s">
        <v>4190</v>
      </c>
      <c r="D7" s="2045"/>
      <c r="E7" s="2045"/>
      <c r="F7" s="2045"/>
      <c r="G7" s="2045"/>
      <c r="H7" s="2045"/>
      <c r="I7" s="2045"/>
      <c r="J7" s="2045"/>
      <c r="K7" s="2045"/>
      <c r="L7" s="2045"/>
      <c r="M7" s="2045"/>
      <c r="N7" s="2045"/>
      <c r="O7" s="2045"/>
      <c r="P7" s="2045"/>
      <c r="Q7" s="2045"/>
      <c r="R7" s="2045"/>
      <c r="S7" s="1025"/>
    </row>
    <row r="8" spans="1:19" ht="7.8" customHeight="1">
      <c r="A8" s="1025"/>
      <c r="B8" s="1028"/>
      <c r="C8" s="1303"/>
      <c r="D8" s="1296"/>
      <c r="E8" s="1296"/>
      <c r="F8" s="1296"/>
      <c r="G8" s="1296"/>
      <c r="H8" s="1296"/>
      <c r="I8" s="1296"/>
      <c r="J8" s="1296"/>
      <c r="K8" s="1296"/>
      <c r="L8" s="1296"/>
      <c r="M8" s="1296"/>
      <c r="N8" s="1296"/>
      <c r="O8" s="1296"/>
      <c r="P8" s="1296"/>
      <c r="Q8" s="1296"/>
      <c r="R8" s="1296"/>
      <c r="S8" s="1025"/>
    </row>
    <row r="9" spans="1:19" s="1037" customFormat="1" ht="19.95" customHeight="1">
      <c r="A9" s="1029"/>
      <c r="B9" s="1029"/>
      <c r="C9" s="1974" t="s">
        <v>4188</v>
      </c>
      <c r="D9" s="1974"/>
      <c r="E9" s="1075"/>
      <c r="F9" s="1075" t="s">
        <v>4187</v>
      </c>
      <c r="G9" s="1075"/>
      <c r="H9" s="1975" t="s">
        <v>4191</v>
      </c>
      <c r="I9" s="1975"/>
      <c r="J9" s="1975"/>
      <c r="K9" s="1975"/>
      <c r="L9" s="1975"/>
      <c r="M9" s="1975"/>
      <c r="N9" s="1042"/>
      <c r="O9" s="1064"/>
      <c r="P9" s="1042" t="s">
        <v>4189</v>
      </c>
      <c r="Q9" s="1042"/>
      <c r="R9" s="1042"/>
      <c r="S9" s="1029"/>
    </row>
    <row r="10" spans="1:19" ht="9.6" customHeight="1">
      <c r="A10" s="1025"/>
      <c r="B10" s="1028"/>
      <c r="C10" s="1303"/>
      <c r="D10" s="1296"/>
      <c r="E10" s="1296"/>
      <c r="F10" s="1296"/>
      <c r="G10" s="1296"/>
      <c r="H10" s="1296"/>
      <c r="I10" s="1296"/>
      <c r="J10" s="1296"/>
      <c r="K10" s="1296"/>
      <c r="L10" s="1296"/>
      <c r="M10" s="1296"/>
      <c r="N10" s="1296"/>
      <c r="O10" s="1296"/>
      <c r="P10" s="1296"/>
      <c r="Q10" s="1296"/>
      <c r="R10" s="1296"/>
      <c r="S10" s="1025"/>
    </row>
    <row r="11" spans="1:19" ht="15" customHeight="1">
      <c r="A11" s="1031" t="s">
        <v>3709</v>
      </c>
      <c r="B11" s="1028"/>
      <c r="C11" s="1028"/>
      <c r="D11" s="1029" t="s">
        <v>3710</v>
      </c>
      <c r="E11" s="1032"/>
      <c r="F11" s="1028"/>
      <c r="G11" s="1028"/>
      <c r="H11" s="1028"/>
      <c r="I11" s="1028"/>
      <c r="J11" s="1028"/>
      <c r="K11" s="1028"/>
      <c r="L11" s="1029"/>
      <c r="M11" s="1029"/>
      <c r="N11" s="1029"/>
      <c r="O11" s="1029"/>
      <c r="P11" s="1029"/>
      <c r="Q11" s="1029"/>
      <c r="R11" s="1025"/>
      <c r="S11" s="1025"/>
    </row>
    <row r="12" spans="1:19" ht="8.4" customHeight="1">
      <c r="A12" s="1033"/>
      <c r="B12" s="1029"/>
      <c r="C12" s="1029"/>
      <c r="D12" s="1029"/>
      <c r="E12" s="1034"/>
      <c r="F12" s="1029"/>
      <c r="G12" s="1029"/>
      <c r="H12" s="1029"/>
      <c r="I12" s="1029"/>
      <c r="J12" s="1029"/>
      <c r="K12" s="1029"/>
      <c r="L12" s="1029"/>
      <c r="M12" s="1029"/>
      <c r="N12" s="1029"/>
      <c r="O12" s="1029"/>
      <c r="P12" s="1029"/>
      <c r="Q12" s="1029"/>
      <c r="R12" s="1025"/>
      <c r="S12" s="1025"/>
    </row>
    <row r="13" spans="1:19" s="1037" customFormat="1" ht="13.2" customHeight="1">
      <c r="A13" s="1033"/>
      <c r="B13" s="1035" t="s">
        <v>3711</v>
      </c>
      <c r="C13" s="1035"/>
      <c r="D13" s="1029"/>
      <c r="E13" s="1036"/>
      <c r="F13" s="1029"/>
      <c r="G13" s="1029"/>
      <c r="H13" s="1029"/>
      <c r="I13" s="1029"/>
      <c r="J13" s="1029"/>
      <c r="K13" s="1029"/>
      <c r="L13" s="1029"/>
      <c r="M13" s="1029"/>
      <c r="N13" s="1029"/>
      <c r="O13" s="1029"/>
      <c r="P13" s="1029"/>
      <c r="Q13" s="1029"/>
      <c r="R13" s="1029"/>
      <c r="S13" s="1029"/>
    </row>
    <row r="14" spans="1:19" ht="5.0999999999999996" customHeight="1" thickBot="1">
      <c r="A14" s="1025"/>
      <c r="B14" s="1025"/>
      <c r="C14" s="1025"/>
      <c r="D14" s="1025"/>
      <c r="E14" s="1025"/>
      <c r="F14" s="1025"/>
      <c r="G14" s="1025"/>
      <c r="H14" s="1025"/>
      <c r="I14" s="1025"/>
      <c r="J14" s="1025"/>
      <c r="K14" s="1025"/>
      <c r="L14" s="1025"/>
      <c r="M14" s="1025"/>
      <c r="N14" s="1025"/>
      <c r="O14" s="1025"/>
      <c r="P14" s="1025"/>
      <c r="Q14" s="1025"/>
      <c r="R14" s="1025"/>
      <c r="S14" s="1025"/>
    </row>
    <row r="15" spans="1:19" ht="30" customHeight="1">
      <c r="A15" s="1025"/>
      <c r="B15" s="1025"/>
      <c r="C15" s="2058" t="s">
        <v>4176</v>
      </c>
      <c r="D15" s="2060"/>
      <c r="E15" s="2061"/>
      <c r="F15" s="2061"/>
      <c r="G15" s="2061"/>
      <c r="H15" s="2061"/>
      <c r="I15" s="2061"/>
      <c r="J15" s="2061"/>
      <c r="K15" s="2061"/>
      <c r="L15" s="2061"/>
      <c r="M15" s="2061"/>
      <c r="N15" s="2061"/>
      <c r="O15" s="2061"/>
      <c r="P15" s="2061"/>
      <c r="Q15" s="2061"/>
      <c r="R15" s="2062"/>
      <c r="S15" s="1025"/>
    </row>
    <row r="16" spans="1:19" ht="17.25" customHeight="1" thickBot="1">
      <c r="A16" s="1025"/>
      <c r="B16" s="1025"/>
      <c r="C16" s="2059"/>
      <c r="D16" s="2063" t="s">
        <v>3712</v>
      </c>
      <c r="E16" s="2064"/>
      <c r="F16" s="2064"/>
      <c r="G16" s="2064"/>
      <c r="H16" s="2064"/>
      <c r="I16" s="2064"/>
      <c r="J16" s="2064"/>
      <c r="K16" s="2064"/>
      <c r="L16" s="2064"/>
      <c r="M16" s="2064"/>
      <c r="N16" s="2064"/>
      <c r="O16" s="2064"/>
      <c r="P16" s="2064"/>
      <c r="Q16" s="2064"/>
      <c r="R16" s="2065"/>
      <c r="S16" s="1025"/>
    </row>
    <row r="17" spans="1:19" ht="22.2" customHeight="1" thickTop="1">
      <c r="A17" s="1025"/>
      <c r="B17" s="1025"/>
      <c r="C17" s="1983" t="s">
        <v>3713</v>
      </c>
      <c r="D17" s="1038" t="s">
        <v>35</v>
      </c>
      <c r="E17" s="1986"/>
      <c r="F17" s="1987"/>
      <c r="G17" s="1987"/>
      <c r="H17" s="1987"/>
      <c r="I17" s="1987"/>
      <c r="J17" s="1987"/>
      <c r="K17" s="1987"/>
      <c r="L17" s="1987"/>
      <c r="M17" s="1987"/>
      <c r="N17" s="1987"/>
      <c r="O17" s="1987"/>
      <c r="P17" s="1987"/>
      <c r="Q17" s="1987"/>
      <c r="R17" s="1988"/>
      <c r="S17" s="1025"/>
    </row>
    <row r="18" spans="1:19" ht="22.2" customHeight="1">
      <c r="A18" s="1025"/>
      <c r="B18" s="1025"/>
      <c r="C18" s="1984"/>
      <c r="D18" s="1039" t="s">
        <v>3714</v>
      </c>
      <c r="E18" s="1989"/>
      <c r="F18" s="1990"/>
      <c r="G18" s="1990"/>
      <c r="H18" s="1990"/>
      <c r="I18" s="1990"/>
      <c r="J18" s="1990"/>
      <c r="K18" s="1990"/>
      <c r="L18" s="1990"/>
      <c r="M18" s="1990"/>
      <c r="N18" s="1990"/>
      <c r="O18" s="1991" t="s">
        <v>3715</v>
      </c>
      <c r="P18" s="1991"/>
      <c r="Q18" s="1992"/>
      <c r="R18" s="1993"/>
      <c r="S18" s="1025"/>
    </row>
    <row r="19" spans="1:19" ht="22.2" customHeight="1">
      <c r="A19" s="1025"/>
      <c r="B19" s="1025"/>
      <c r="C19" s="1984"/>
      <c r="D19" s="1039" t="s">
        <v>9</v>
      </c>
      <c r="E19" s="1289" t="s">
        <v>3558</v>
      </c>
      <c r="F19" s="1288"/>
      <c r="G19" s="1288"/>
      <c r="H19" s="1297"/>
      <c r="I19" s="1283"/>
      <c r="J19" s="1283"/>
      <c r="K19" s="1283"/>
      <c r="L19" s="1283"/>
      <c r="M19" s="1283"/>
      <c r="N19" s="1283"/>
      <c r="O19" s="1283"/>
      <c r="P19" s="1283"/>
      <c r="Q19" s="1283"/>
      <c r="R19" s="1284"/>
      <c r="S19" s="1025"/>
    </row>
    <row r="20" spans="1:19" ht="22.2" customHeight="1">
      <c r="A20" s="1025"/>
      <c r="B20" s="1025"/>
      <c r="C20" s="1984"/>
      <c r="D20" s="1039" t="s">
        <v>10</v>
      </c>
      <c r="E20" s="1285"/>
      <c r="F20" s="1286"/>
      <c r="G20" s="1286"/>
      <c r="H20" s="1286"/>
      <c r="I20" s="1286"/>
      <c r="J20" s="1286"/>
      <c r="K20" s="1286"/>
      <c r="L20" s="1286"/>
      <c r="M20" s="1286"/>
      <c r="N20" s="1286"/>
      <c r="O20" s="1286"/>
      <c r="P20" s="1286"/>
      <c r="Q20" s="1286"/>
      <c r="R20" s="1287"/>
      <c r="S20" s="1025"/>
    </row>
    <row r="21" spans="1:19" ht="22.2" customHeight="1" thickBot="1">
      <c r="A21" s="1025"/>
      <c r="B21" s="1025"/>
      <c r="C21" s="1985"/>
      <c r="D21" s="1040" t="s">
        <v>3716</v>
      </c>
      <c r="E21" s="1994"/>
      <c r="F21" s="1977"/>
      <c r="G21" s="1977"/>
      <c r="H21" s="1977"/>
      <c r="I21" s="1977"/>
      <c r="J21" s="1977"/>
      <c r="K21" s="1977"/>
      <c r="L21" s="1977"/>
      <c r="M21" s="1977"/>
      <c r="N21" s="1995"/>
      <c r="O21" s="1996" t="s">
        <v>3717</v>
      </c>
      <c r="P21" s="1997"/>
      <c r="Q21" s="1998">
        <v>1</v>
      </c>
      <c r="R21" s="1999"/>
      <c r="S21" s="1025"/>
    </row>
    <row r="22" spans="1:19" ht="15" customHeight="1">
      <c r="A22" s="1025"/>
      <c r="B22" s="1025"/>
      <c r="C22" s="1041"/>
      <c r="D22" s="1041"/>
      <c r="E22" s="1042"/>
      <c r="F22" s="1043"/>
      <c r="G22" s="1043"/>
      <c r="H22" s="1043"/>
      <c r="I22" s="1043"/>
      <c r="J22" s="1043"/>
      <c r="K22" s="1043"/>
      <c r="L22" s="1043"/>
      <c r="M22" s="1043"/>
      <c r="N22" s="1043"/>
      <c r="O22" s="1043"/>
      <c r="P22" s="1043"/>
      <c r="Q22" s="1043"/>
      <c r="R22" s="1043"/>
      <c r="S22" s="1025"/>
    </row>
    <row r="23" spans="1:19" ht="18" customHeight="1">
      <c r="A23" s="1025"/>
      <c r="B23" s="1044" t="s">
        <v>3718</v>
      </c>
      <c r="C23" s="1045"/>
      <c r="D23" s="1045"/>
      <c r="E23" s="1045"/>
      <c r="F23" s="1045"/>
      <c r="G23" s="1045"/>
      <c r="H23" s="1045"/>
      <c r="I23" s="1045"/>
      <c r="J23" s="1045"/>
      <c r="K23" s="1045"/>
      <c r="L23" s="1045"/>
      <c r="M23" s="1045"/>
      <c r="N23" s="1045"/>
      <c r="O23" s="1045"/>
      <c r="P23" s="1045"/>
      <c r="Q23" s="1045"/>
      <c r="R23" s="1045"/>
      <c r="S23" s="1025"/>
    </row>
    <row r="24" spans="1:19" ht="5.0999999999999996" customHeight="1" thickBot="1">
      <c r="A24" s="1025"/>
      <c r="B24" s="1025"/>
      <c r="C24" s="1045"/>
      <c r="D24" s="1045"/>
      <c r="E24" s="1045"/>
      <c r="F24" s="1045"/>
      <c r="G24" s="1045"/>
      <c r="H24" s="1045"/>
      <c r="I24" s="1045"/>
      <c r="J24" s="1045"/>
      <c r="K24" s="1045"/>
      <c r="L24" s="1045"/>
      <c r="M24" s="1045"/>
      <c r="N24" s="1045"/>
      <c r="O24" s="1045"/>
      <c r="P24" s="1045"/>
      <c r="Q24" s="1045"/>
      <c r="R24" s="1045"/>
      <c r="S24" s="1025"/>
    </row>
    <row r="25" spans="1:19" ht="31.95" customHeight="1" thickBot="1">
      <c r="A25" s="1025"/>
      <c r="B25" s="1025"/>
      <c r="C25" s="1046" t="s">
        <v>4177</v>
      </c>
      <c r="D25" s="1980"/>
      <c r="E25" s="1981"/>
      <c r="F25" s="1981"/>
      <c r="G25" s="1981"/>
      <c r="H25" s="1981"/>
      <c r="I25" s="1981"/>
      <c r="J25" s="1981"/>
      <c r="K25" s="1981"/>
      <c r="L25" s="1981"/>
      <c r="M25" s="1981"/>
      <c r="N25" s="1981"/>
      <c r="O25" s="1981"/>
      <c r="P25" s="1981"/>
      <c r="Q25" s="1981"/>
      <c r="R25" s="1982"/>
      <c r="S25" s="1025"/>
    </row>
    <row r="26" spans="1:19" ht="22.2" customHeight="1" thickTop="1">
      <c r="A26" s="1025"/>
      <c r="B26" s="1025"/>
      <c r="C26" s="1983" t="s">
        <v>3713</v>
      </c>
      <c r="D26" s="1038" t="s">
        <v>35</v>
      </c>
      <c r="E26" s="1986"/>
      <c r="F26" s="1987"/>
      <c r="G26" s="1987"/>
      <c r="H26" s="1987"/>
      <c r="I26" s="1987"/>
      <c r="J26" s="1987"/>
      <c r="K26" s="1987"/>
      <c r="L26" s="1987"/>
      <c r="M26" s="1987"/>
      <c r="N26" s="1987"/>
      <c r="O26" s="1987"/>
      <c r="P26" s="1987"/>
      <c r="Q26" s="1987"/>
      <c r="R26" s="1988"/>
      <c r="S26" s="1025"/>
    </row>
    <row r="27" spans="1:19" ht="22.2" customHeight="1">
      <c r="A27" s="1025"/>
      <c r="B27" s="1025"/>
      <c r="C27" s="1984"/>
      <c r="D27" s="1039" t="s">
        <v>3714</v>
      </c>
      <c r="E27" s="1989"/>
      <c r="F27" s="1990"/>
      <c r="G27" s="1990"/>
      <c r="H27" s="1990"/>
      <c r="I27" s="1990"/>
      <c r="J27" s="1990"/>
      <c r="K27" s="1990"/>
      <c r="L27" s="1990"/>
      <c r="M27" s="1990"/>
      <c r="N27" s="1990"/>
      <c r="O27" s="1991" t="s">
        <v>3715</v>
      </c>
      <c r="P27" s="1991"/>
      <c r="Q27" s="1992"/>
      <c r="R27" s="1993"/>
      <c r="S27" s="1025"/>
    </row>
    <row r="28" spans="1:19" ht="22.2" customHeight="1">
      <c r="A28" s="1025"/>
      <c r="B28" s="1025"/>
      <c r="C28" s="1984"/>
      <c r="D28" s="1039" t="s">
        <v>9</v>
      </c>
      <c r="E28" s="1289" t="s">
        <v>3558</v>
      </c>
      <c r="F28" s="1288"/>
      <c r="G28" s="1288"/>
      <c r="H28" s="1297"/>
      <c r="I28" s="1283"/>
      <c r="J28" s="1283"/>
      <c r="K28" s="1283"/>
      <c r="L28" s="1283"/>
      <c r="M28" s="1283"/>
      <c r="N28" s="1283"/>
      <c r="O28" s="1283"/>
      <c r="P28" s="1283"/>
      <c r="Q28" s="1283"/>
      <c r="R28" s="1284"/>
      <c r="S28" s="1025"/>
    </row>
    <row r="29" spans="1:19" ht="22.2" customHeight="1">
      <c r="A29" s="1025"/>
      <c r="B29" s="1025"/>
      <c r="C29" s="1984"/>
      <c r="D29" s="1039" t="s">
        <v>10</v>
      </c>
      <c r="E29" s="1285"/>
      <c r="F29" s="1286"/>
      <c r="G29" s="1286"/>
      <c r="H29" s="1286"/>
      <c r="I29" s="1286"/>
      <c r="J29" s="1286"/>
      <c r="K29" s="1286"/>
      <c r="L29" s="1286"/>
      <c r="M29" s="1286"/>
      <c r="N29" s="1286"/>
      <c r="O29" s="1286"/>
      <c r="P29" s="1286"/>
      <c r="Q29" s="1286"/>
      <c r="R29" s="1287"/>
      <c r="S29" s="1025"/>
    </row>
    <row r="30" spans="1:19" ht="22.2" customHeight="1" thickBot="1">
      <c r="A30" s="1025"/>
      <c r="B30" s="1025"/>
      <c r="C30" s="1984"/>
      <c r="D30" s="1040" t="s">
        <v>3716</v>
      </c>
      <c r="E30" s="1994"/>
      <c r="F30" s="1977"/>
      <c r="G30" s="1977"/>
      <c r="H30" s="1977"/>
      <c r="I30" s="1977"/>
      <c r="J30" s="1977"/>
      <c r="K30" s="1977"/>
      <c r="L30" s="1977"/>
      <c r="M30" s="1977"/>
      <c r="N30" s="1995"/>
      <c r="O30" s="1996" t="s">
        <v>3717</v>
      </c>
      <c r="P30" s="1997"/>
      <c r="Q30" s="1998">
        <v>1</v>
      </c>
      <c r="R30" s="1999"/>
      <c r="S30" s="1025"/>
    </row>
    <row r="31" spans="1:19" ht="15" customHeight="1">
      <c r="A31" s="1025"/>
      <c r="B31" s="1025"/>
      <c r="C31" s="1047"/>
      <c r="D31" s="1047"/>
      <c r="E31" s="1048"/>
      <c r="F31" s="1049"/>
      <c r="G31" s="1049"/>
      <c r="H31" s="1049"/>
      <c r="I31" s="1049"/>
      <c r="J31" s="1049"/>
      <c r="K31" s="1049"/>
      <c r="L31" s="1049"/>
      <c r="M31" s="1049"/>
      <c r="N31" s="1049"/>
      <c r="O31" s="1049"/>
      <c r="P31" s="1049"/>
      <c r="Q31" s="1049"/>
      <c r="R31" s="1049"/>
      <c r="S31" s="1025"/>
    </row>
    <row r="32" spans="1:19" ht="18" customHeight="1">
      <c r="A32" s="1025"/>
      <c r="B32" s="1044" t="s">
        <v>3719</v>
      </c>
      <c r="C32" s="1045"/>
      <c r="D32" s="1045"/>
      <c r="E32" s="1045"/>
      <c r="F32" s="1045"/>
      <c r="G32" s="1045"/>
      <c r="H32" s="1045"/>
      <c r="I32" s="1045"/>
      <c r="J32" s="1045"/>
      <c r="K32" s="1045"/>
      <c r="L32" s="1045"/>
      <c r="M32" s="1045"/>
      <c r="N32" s="1045"/>
      <c r="O32" s="1045"/>
      <c r="P32" s="1045"/>
      <c r="Q32" s="1045"/>
      <c r="R32" s="1045"/>
      <c r="S32" s="1025"/>
    </row>
    <row r="33" spans="1:19" ht="5.0999999999999996" customHeight="1" thickBot="1">
      <c r="A33" s="1025"/>
      <c r="B33" s="1025"/>
      <c r="C33" s="1045"/>
      <c r="D33" s="1045"/>
      <c r="E33" s="1045"/>
      <c r="F33" s="1045"/>
      <c r="G33" s="1045"/>
      <c r="H33" s="1045"/>
      <c r="I33" s="1045"/>
      <c r="J33" s="1045"/>
      <c r="K33" s="1045"/>
      <c r="L33" s="1045"/>
      <c r="M33" s="1045"/>
      <c r="N33" s="1045"/>
      <c r="O33" s="1045"/>
      <c r="P33" s="1045"/>
      <c r="Q33" s="1045"/>
      <c r="R33" s="1045"/>
      <c r="S33" s="1025"/>
    </row>
    <row r="34" spans="1:19" ht="31.95" customHeight="1" thickBot="1">
      <c r="A34" s="1025"/>
      <c r="B34" s="1025"/>
      <c r="C34" s="1046" t="s">
        <v>4177</v>
      </c>
      <c r="D34" s="1980"/>
      <c r="E34" s="1981"/>
      <c r="F34" s="1981"/>
      <c r="G34" s="1981"/>
      <c r="H34" s="1981"/>
      <c r="I34" s="1981"/>
      <c r="J34" s="1981"/>
      <c r="K34" s="1981"/>
      <c r="L34" s="1981"/>
      <c r="M34" s="1981"/>
      <c r="N34" s="1981"/>
      <c r="O34" s="1981"/>
      <c r="P34" s="1981"/>
      <c r="Q34" s="1981"/>
      <c r="R34" s="1982"/>
      <c r="S34" s="1025"/>
    </row>
    <row r="35" spans="1:19" ht="22.2" customHeight="1" thickTop="1">
      <c r="A35" s="1025"/>
      <c r="B35" s="1025"/>
      <c r="C35" s="1983" t="s">
        <v>3713</v>
      </c>
      <c r="D35" s="1038" t="s">
        <v>35</v>
      </c>
      <c r="E35" s="1986"/>
      <c r="F35" s="1987"/>
      <c r="G35" s="1987"/>
      <c r="H35" s="1987"/>
      <c r="I35" s="1987"/>
      <c r="J35" s="1987"/>
      <c r="K35" s="1987"/>
      <c r="L35" s="1987"/>
      <c r="M35" s="1987"/>
      <c r="N35" s="1987"/>
      <c r="O35" s="1987"/>
      <c r="P35" s="1987"/>
      <c r="Q35" s="1987"/>
      <c r="R35" s="1988"/>
      <c r="S35" s="1025"/>
    </row>
    <row r="36" spans="1:19" ht="22.2" customHeight="1">
      <c r="A36" s="1025"/>
      <c r="B36" s="1025"/>
      <c r="C36" s="1984"/>
      <c r="D36" s="1039" t="s">
        <v>3714</v>
      </c>
      <c r="E36" s="1989"/>
      <c r="F36" s="1990"/>
      <c r="G36" s="1990"/>
      <c r="H36" s="1990"/>
      <c r="I36" s="1990"/>
      <c r="J36" s="1990"/>
      <c r="K36" s="1990"/>
      <c r="L36" s="1990"/>
      <c r="M36" s="1990"/>
      <c r="N36" s="1990"/>
      <c r="O36" s="1991" t="s">
        <v>3715</v>
      </c>
      <c r="P36" s="1991"/>
      <c r="Q36" s="1992"/>
      <c r="R36" s="1993"/>
      <c r="S36" s="1025"/>
    </row>
    <row r="37" spans="1:19" ht="22.2" customHeight="1">
      <c r="A37" s="1025"/>
      <c r="B37" s="1025"/>
      <c r="C37" s="1984"/>
      <c r="D37" s="1039" t="s">
        <v>9</v>
      </c>
      <c r="E37" s="1289" t="s">
        <v>3558</v>
      </c>
      <c r="F37" s="1288"/>
      <c r="G37" s="1288"/>
      <c r="H37" s="1297"/>
      <c r="I37" s="1283"/>
      <c r="J37" s="1283"/>
      <c r="K37" s="1283"/>
      <c r="L37" s="1283"/>
      <c r="M37" s="1283"/>
      <c r="N37" s="1283"/>
      <c r="O37" s="1283"/>
      <c r="P37" s="1283"/>
      <c r="Q37" s="1283"/>
      <c r="R37" s="1284"/>
      <c r="S37" s="1025"/>
    </row>
    <row r="38" spans="1:19" ht="22.2" customHeight="1">
      <c r="A38" s="1025"/>
      <c r="B38" s="1025"/>
      <c r="C38" s="1984"/>
      <c r="D38" s="1039" t="s">
        <v>10</v>
      </c>
      <c r="E38" s="1285"/>
      <c r="F38" s="1286"/>
      <c r="G38" s="1286"/>
      <c r="H38" s="1286"/>
      <c r="I38" s="1286"/>
      <c r="J38" s="1286"/>
      <c r="K38" s="1286"/>
      <c r="L38" s="1286"/>
      <c r="M38" s="1286"/>
      <c r="N38" s="1286"/>
      <c r="O38" s="1286"/>
      <c r="P38" s="1286"/>
      <c r="Q38" s="1286"/>
      <c r="R38" s="1287"/>
      <c r="S38" s="1025"/>
    </row>
    <row r="39" spans="1:19" ht="22.2" customHeight="1" thickBot="1">
      <c r="A39" s="1025"/>
      <c r="B39" s="1025"/>
      <c r="C39" s="1985"/>
      <c r="D39" s="1040" t="s">
        <v>3716</v>
      </c>
      <c r="E39" s="1994"/>
      <c r="F39" s="1977"/>
      <c r="G39" s="1977"/>
      <c r="H39" s="1977"/>
      <c r="I39" s="1977"/>
      <c r="J39" s="1977"/>
      <c r="K39" s="1977"/>
      <c r="L39" s="1977"/>
      <c r="M39" s="1977"/>
      <c r="N39" s="1995"/>
      <c r="O39" s="1996" t="s">
        <v>3717</v>
      </c>
      <c r="P39" s="1997"/>
      <c r="Q39" s="1998">
        <v>1</v>
      </c>
      <c r="R39" s="1999"/>
      <c r="S39" s="1025"/>
    </row>
    <row r="40" spans="1:19" ht="15" customHeight="1">
      <c r="A40" s="1025"/>
      <c r="B40" s="1025"/>
      <c r="C40" s="1025"/>
      <c r="D40" s="1025"/>
      <c r="E40" s="1025"/>
      <c r="F40" s="1025"/>
      <c r="G40" s="1025"/>
      <c r="H40" s="1025"/>
      <c r="I40" s="1025"/>
      <c r="J40" s="1025"/>
      <c r="K40" s="1025"/>
      <c r="L40" s="1025"/>
      <c r="M40" s="1025"/>
      <c r="N40" s="1025"/>
      <c r="O40" s="1025"/>
      <c r="P40" s="1025"/>
      <c r="Q40" s="1025"/>
      <c r="R40" s="1025"/>
      <c r="S40" s="1025"/>
    </row>
    <row r="41" spans="1:19" s="1037" customFormat="1" ht="15" customHeight="1">
      <c r="A41" s="1050" t="s">
        <v>3720</v>
      </c>
      <c r="B41" s="1028"/>
      <c r="C41" s="1028"/>
      <c r="D41" s="1028"/>
      <c r="E41" s="1051" t="s">
        <v>3721</v>
      </c>
      <c r="F41" s="1051"/>
      <c r="G41" s="1029"/>
      <c r="H41" s="1029"/>
      <c r="I41" s="1029"/>
      <c r="J41" s="1029"/>
      <c r="K41" s="1029"/>
      <c r="L41" s="1029"/>
      <c r="M41" s="1029"/>
      <c r="N41" s="1029"/>
      <c r="O41" s="1029"/>
      <c r="P41" s="1029"/>
      <c r="Q41" s="1029"/>
      <c r="R41" s="1029"/>
      <c r="S41" s="1029"/>
    </row>
    <row r="42" spans="1:19" s="1037" customFormat="1" ht="15" customHeight="1">
      <c r="A42" s="1033"/>
      <c r="B42" s="1029"/>
      <c r="C42" s="1029"/>
      <c r="D42" s="1029"/>
      <c r="E42" s="1051" t="s">
        <v>3722</v>
      </c>
      <c r="F42" s="1029"/>
      <c r="G42" s="1029"/>
      <c r="H42" s="1029"/>
      <c r="I42" s="1029"/>
      <c r="J42" s="1029"/>
      <c r="K42" s="1029"/>
      <c r="L42" s="1029"/>
      <c r="M42" s="1029"/>
      <c r="N42" s="1029"/>
      <c r="O42" s="1029"/>
      <c r="P42" s="1029"/>
      <c r="Q42" s="1029"/>
      <c r="R42" s="1029"/>
      <c r="S42" s="1029"/>
    </row>
    <row r="43" spans="1:19" ht="4.5" customHeight="1" thickBot="1">
      <c r="A43" s="1025"/>
      <c r="B43" s="1025"/>
      <c r="C43" s="1025"/>
      <c r="D43" s="1025"/>
      <c r="E43" s="1025"/>
      <c r="F43" s="1025"/>
      <c r="G43" s="1025"/>
      <c r="H43" s="1025"/>
      <c r="I43" s="1025"/>
      <c r="J43" s="1025"/>
      <c r="K43" s="1025"/>
      <c r="L43" s="1025"/>
      <c r="M43" s="1025"/>
      <c r="N43" s="1025"/>
      <c r="O43" s="1025"/>
      <c r="P43" s="1025"/>
      <c r="Q43" s="1025"/>
      <c r="R43" s="1025"/>
      <c r="S43" s="1025"/>
    </row>
    <row r="44" spans="1:19" ht="22.2" customHeight="1">
      <c r="A44" s="1025"/>
      <c r="B44" s="1025"/>
      <c r="C44" s="2046" t="s">
        <v>3713</v>
      </c>
      <c r="D44" s="1052" t="s">
        <v>35</v>
      </c>
      <c r="E44" s="2050"/>
      <c r="F44" s="2007"/>
      <c r="G44" s="2007"/>
      <c r="H44" s="2007"/>
      <c r="I44" s="2007"/>
      <c r="J44" s="2007"/>
      <c r="K44" s="2007"/>
      <c r="L44" s="2007"/>
      <c r="M44" s="2007"/>
      <c r="N44" s="2007"/>
      <c r="O44" s="2007"/>
      <c r="P44" s="2007"/>
      <c r="Q44" s="2007"/>
      <c r="R44" s="2008"/>
      <c r="S44" s="1025"/>
    </row>
    <row r="45" spans="1:19" ht="22.2" customHeight="1">
      <c r="A45" s="1025"/>
      <c r="B45" s="1025"/>
      <c r="C45" s="1984"/>
      <c r="D45" s="1039" t="s">
        <v>3714</v>
      </c>
      <c r="E45" s="1989"/>
      <c r="F45" s="1990"/>
      <c r="G45" s="1990"/>
      <c r="H45" s="1990"/>
      <c r="I45" s="1990"/>
      <c r="J45" s="1990"/>
      <c r="K45" s="1990"/>
      <c r="L45" s="1990"/>
      <c r="M45" s="1990"/>
      <c r="N45" s="1990"/>
      <c r="O45" s="1991" t="s">
        <v>3715</v>
      </c>
      <c r="P45" s="1991"/>
      <c r="Q45" s="1992"/>
      <c r="R45" s="1993"/>
      <c r="S45" s="1025"/>
    </row>
    <row r="46" spans="1:19" ht="22.2" customHeight="1">
      <c r="A46" s="1025"/>
      <c r="B46" s="1025"/>
      <c r="C46" s="1984"/>
      <c r="D46" s="1039" t="s">
        <v>9</v>
      </c>
      <c r="E46" s="1298" t="s">
        <v>3558</v>
      </c>
      <c r="F46" s="1299"/>
      <c r="G46" s="1299"/>
      <c r="H46" s="1301"/>
      <c r="I46" s="1299"/>
      <c r="J46" s="1299"/>
      <c r="K46" s="1299"/>
      <c r="L46" s="1299"/>
      <c r="M46" s="1299"/>
      <c r="N46" s="1299"/>
      <c r="O46" s="1299"/>
      <c r="P46" s="1299"/>
      <c r="Q46" s="1299"/>
      <c r="R46" s="1300"/>
      <c r="S46" s="1025"/>
    </row>
    <row r="47" spans="1:19" ht="22.2" customHeight="1" thickBot="1">
      <c r="A47" s="1025"/>
      <c r="B47" s="1025"/>
      <c r="C47" s="1985"/>
      <c r="D47" s="1053" t="s">
        <v>10</v>
      </c>
      <c r="E47" s="2051"/>
      <c r="F47" s="2052"/>
      <c r="G47" s="2052"/>
      <c r="H47" s="2052"/>
      <c r="I47" s="2052"/>
      <c r="J47" s="2052"/>
      <c r="K47" s="2052"/>
      <c r="L47" s="2052"/>
      <c r="M47" s="2052"/>
      <c r="N47" s="2052"/>
      <c r="O47" s="2052"/>
      <c r="P47" s="2052"/>
      <c r="Q47" s="2052"/>
      <c r="R47" s="2053"/>
      <c r="S47" s="1025"/>
    </row>
    <row r="48" spans="1:19" ht="22.2" customHeight="1">
      <c r="A48" s="1025"/>
      <c r="B48" s="1025"/>
      <c r="C48" s="2046" t="s">
        <v>3723</v>
      </c>
      <c r="D48" s="2047" t="s">
        <v>4179</v>
      </c>
      <c r="E48" s="2048"/>
      <c r="F48" s="2048"/>
      <c r="G48" s="2048"/>
      <c r="H48" s="2048"/>
      <c r="I48" s="2048"/>
      <c r="J48" s="2048"/>
      <c r="K48" s="2048"/>
      <c r="L48" s="2048"/>
      <c r="M48" s="2048"/>
      <c r="N48" s="2048"/>
      <c r="O48" s="2048"/>
      <c r="P48" s="2048"/>
      <c r="Q48" s="2048"/>
      <c r="R48" s="2049"/>
      <c r="S48" s="1025"/>
    </row>
    <row r="49" spans="1:19" ht="22.2" customHeight="1">
      <c r="A49" s="1025"/>
      <c r="B49" s="1025"/>
      <c r="C49" s="1984"/>
      <c r="D49" s="1292" t="s">
        <v>421</v>
      </c>
      <c r="E49" s="1293" t="s">
        <v>4180</v>
      </c>
      <c r="F49" s="1293"/>
      <c r="G49" s="1293"/>
      <c r="H49" s="1293"/>
      <c r="I49" s="1293"/>
      <c r="J49" s="1293"/>
      <c r="K49" s="1293"/>
      <c r="L49" s="1293"/>
      <c r="M49" s="1293"/>
      <c r="N49" s="1293"/>
      <c r="O49" s="1293"/>
      <c r="P49" s="1293"/>
      <c r="Q49" s="1293"/>
      <c r="R49" s="1294"/>
      <c r="S49" s="1025"/>
    </row>
    <row r="50" spans="1:19" ht="22.2" customHeight="1" thickBot="1">
      <c r="A50" s="1025"/>
      <c r="B50" s="1025"/>
      <c r="C50" s="1985"/>
      <c r="D50" s="1054" t="s">
        <v>421</v>
      </c>
      <c r="E50" s="1055" t="s">
        <v>3724</v>
      </c>
      <c r="F50" s="1055"/>
      <c r="G50" s="1055"/>
      <c r="H50" s="1055"/>
      <c r="I50" s="1055"/>
      <c r="J50" s="1055"/>
      <c r="K50" s="1055"/>
      <c r="L50" s="1055"/>
      <c r="M50" s="1055"/>
      <c r="N50" s="1055"/>
      <c r="O50" s="1055"/>
      <c r="P50" s="1055"/>
      <c r="Q50" s="1055"/>
      <c r="R50" s="1056"/>
      <c r="S50" s="1025"/>
    </row>
    <row r="51" spans="1:19" ht="6" customHeight="1">
      <c r="A51" s="1025"/>
      <c r="B51" s="1025"/>
      <c r="C51" s="1041"/>
      <c r="D51" s="1041"/>
      <c r="E51" s="1042"/>
      <c r="F51" s="1043"/>
      <c r="G51" s="1043"/>
      <c r="H51" s="1043"/>
      <c r="I51" s="1043"/>
      <c r="J51" s="1043"/>
      <c r="K51" s="1043"/>
      <c r="L51" s="1043"/>
      <c r="M51" s="1043"/>
      <c r="N51" s="1043"/>
      <c r="O51" s="1043"/>
      <c r="P51" s="1043"/>
      <c r="Q51" s="1043"/>
      <c r="R51" s="1043"/>
      <c r="S51" s="1025"/>
    </row>
    <row r="52" spans="1:19" ht="12" customHeight="1" thickBot="1">
      <c r="A52" s="1025"/>
      <c r="B52" s="1025"/>
      <c r="C52" s="1025"/>
      <c r="D52" s="1025"/>
      <c r="E52" s="1025"/>
      <c r="F52" s="1025"/>
      <c r="G52" s="1025"/>
      <c r="H52" s="1025"/>
      <c r="I52" s="1025"/>
      <c r="J52" s="1025"/>
      <c r="K52" s="1025"/>
      <c r="L52" s="1025"/>
      <c r="M52" s="1025"/>
      <c r="N52" s="1025"/>
      <c r="O52" s="1025"/>
      <c r="P52" s="1025"/>
      <c r="Q52" s="1025"/>
      <c r="R52" s="1025"/>
      <c r="S52" s="1025"/>
    </row>
    <row r="53" spans="1:19" ht="25.2" customHeight="1">
      <c r="A53" s="2000" t="s">
        <v>3725</v>
      </c>
      <c r="B53" s="2000"/>
      <c r="C53" s="2000"/>
      <c r="D53" s="2000"/>
      <c r="E53" s="2000"/>
      <c r="F53" s="2000"/>
      <c r="G53" s="2000"/>
      <c r="H53" s="2000"/>
      <c r="I53" s="2000"/>
      <c r="J53" s="2000"/>
      <c r="K53" s="2000"/>
      <c r="L53" s="2000"/>
      <c r="M53" s="2000"/>
      <c r="N53" s="2000"/>
      <c r="O53" s="2000"/>
      <c r="P53" s="2000"/>
      <c r="Q53" s="2000"/>
      <c r="R53" s="2000"/>
      <c r="S53" s="1027"/>
    </row>
    <row r="54" spans="1:19" ht="6.75" customHeight="1">
      <c r="A54" s="1025"/>
      <c r="B54" s="1057"/>
      <c r="C54" s="1058"/>
      <c r="D54" s="1058"/>
      <c r="E54" s="1058"/>
      <c r="F54" s="1058"/>
      <c r="G54" s="1058"/>
      <c r="H54" s="1058"/>
      <c r="I54" s="1058"/>
      <c r="J54" s="1058"/>
      <c r="K54" s="1058"/>
      <c r="L54" s="1058"/>
      <c r="M54" s="1058"/>
      <c r="N54" s="1058"/>
      <c r="O54" s="1058"/>
      <c r="P54" s="1058"/>
      <c r="Q54" s="1058"/>
      <c r="R54" s="1058"/>
      <c r="S54" s="1025"/>
    </row>
    <row r="55" spans="1:19" ht="15" customHeight="1">
      <c r="B55" s="1033"/>
      <c r="C55" s="1029" t="s">
        <v>3726</v>
      </c>
      <c r="E55" s="1059"/>
      <c r="F55" s="1059"/>
      <c r="G55" s="1059"/>
      <c r="H55" s="1059"/>
      <c r="I55" s="1059"/>
      <c r="J55" s="1059"/>
      <c r="K55" s="1059"/>
      <c r="L55" s="1059"/>
      <c r="M55" s="1059"/>
      <c r="N55" s="1059"/>
      <c r="O55" s="1059"/>
      <c r="P55" s="1059"/>
      <c r="Q55" s="1059"/>
      <c r="R55" s="1059"/>
      <c r="S55" s="1025"/>
    </row>
    <row r="56" spans="1:19" ht="15" customHeight="1">
      <c r="A56" s="1050"/>
      <c r="B56" s="1033"/>
      <c r="C56" s="1029" t="s">
        <v>3727</v>
      </c>
      <c r="E56" s="1059"/>
      <c r="F56" s="1059"/>
      <c r="G56" s="1059"/>
      <c r="H56" s="1059"/>
      <c r="I56" s="1059"/>
      <c r="J56" s="1059"/>
      <c r="K56" s="1059"/>
      <c r="L56" s="1059"/>
      <c r="M56" s="1059"/>
      <c r="N56" s="1059"/>
      <c r="O56" s="1059"/>
      <c r="P56" s="1059"/>
      <c r="Q56" s="1059"/>
      <c r="R56" s="1059"/>
      <c r="S56" s="1025"/>
    </row>
    <row r="57" spans="1:19" s="1037" customFormat="1" ht="15" hidden="1" customHeight="1">
      <c r="A57" s="1033"/>
      <c r="B57" s="1033"/>
      <c r="C57" s="1029" t="s">
        <v>3728</v>
      </c>
      <c r="E57" s="1059"/>
      <c r="F57" s="1059"/>
      <c r="G57" s="1059"/>
      <c r="H57" s="1059"/>
      <c r="I57" s="1059"/>
      <c r="J57" s="1059"/>
      <c r="K57" s="1059"/>
      <c r="L57" s="1059"/>
      <c r="M57" s="1059"/>
      <c r="N57" s="1059"/>
      <c r="O57" s="1059"/>
      <c r="P57" s="1059"/>
      <c r="Q57" s="1059"/>
      <c r="R57" s="1059"/>
      <c r="S57" s="1029"/>
    </row>
    <row r="58" spans="1:19" s="1037" customFormat="1" ht="15" hidden="1" customHeight="1">
      <c r="A58" s="1033"/>
      <c r="B58" s="1033"/>
      <c r="C58" s="1029" t="s">
        <v>3729</v>
      </c>
      <c r="E58" s="1059"/>
      <c r="F58" s="1059"/>
      <c r="G58" s="1059"/>
      <c r="H58" s="1059"/>
      <c r="I58" s="1059"/>
      <c r="J58" s="1059"/>
      <c r="K58" s="1059"/>
      <c r="L58" s="1059"/>
      <c r="M58" s="1059"/>
      <c r="N58" s="1059"/>
      <c r="O58" s="1059"/>
      <c r="P58" s="1059"/>
      <c r="Q58" s="1059"/>
      <c r="R58" s="1059"/>
      <c r="S58" s="1029"/>
    </row>
    <row r="59" spans="1:19" ht="5.0999999999999996" customHeight="1">
      <c r="A59" s="1025"/>
      <c r="B59" s="1025"/>
      <c r="C59" s="1025"/>
      <c r="D59" s="1025"/>
      <c r="E59" s="1025"/>
      <c r="F59" s="1025"/>
      <c r="G59" s="1025"/>
      <c r="H59" s="1025"/>
      <c r="I59" s="1025"/>
      <c r="J59" s="1025"/>
      <c r="K59" s="1025"/>
      <c r="L59" s="1025"/>
      <c r="M59" s="1025"/>
      <c r="N59" s="1025"/>
      <c r="O59" s="1025"/>
      <c r="P59" s="1025"/>
      <c r="Q59" s="1025"/>
      <c r="R59" s="1025"/>
      <c r="S59" s="1025"/>
    </row>
    <row r="60" spans="1:19" ht="15" customHeight="1" thickBot="1">
      <c r="A60" s="1025"/>
      <c r="B60" s="1050" t="s">
        <v>3730</v>
      </c>
      <c r="C60" s="1025"/>
      <c r="D60" s="1025"/>
      <c r="E60" s="1025"/>
      <c r="F60" s="1025"/>
      <c r="G60" s="1025"/>
      <c r="H60" s="1025"/>
      <c r="I60" s="1025"/>
      <c r="J60" s="1025"/>
      <c r="K60" s="1025"/>
      <c r="L60" s="1025"/>
      <c r="M60" s="1025"/>
      <c r="N60" s="1025"/>
      <c r="O60" s="1025"/>
      <c r="P60" s="1025"/>
      <c r="Q60" s="1025"/>
      <c r="R60" s="1025"/>
      <c r="S60" s="1025"/>
    </row>
    <row r="61" spans="1:19" s="1037" customFormat="1" ht="22.95" customHeight="1">
      <c r="A61" s="1029"/>
      <c r="B61" s="1029"/>
      <c r="C61" s="2001" t="s">
        <v>35</v>
      </c>
      <c r="D61" s="2002"/>
      <c r="E61" s="2007"/>
      <c r="F61" s="2007"/>
      <c r="G61" s="2007"/>
      <c r="H61" s="2007"/>
      <c r="I61" s="2007"/>
      <c r="J61" s="2007"/>
      <c r="K61" s="2007"/>
      <c r="L61" s="2007"/>
      <c r="M61" s="2007"/>
      <c r="N61" s="2007"/>
      <c r="O61" s="2007"/>
      <c r="P61" s="2007"/>
      <c r="Q61" s="2007"/>
      <c r="R61" s="2008"/>
      <c r="S61" s="1029"/>
    </row>
    <row r="62" spans="1:19" s="1037" customFormat="1" ht="22.95" customHeight="1">
      <c r="A62" s="1029"/>
      <c r="B62" s="1029"/>
      <c r="C62" s="2003" t="s">
        <v>3714</v>
      </c>
      <c r="D62" s="2004"/>
      <c r="E62" s="2009"/>
      <c r="F62" s="1990"/>
      <c r="G62" s="1990"/>
      <c r="H62" s="1990"/>
      <c r="I62" s="1990"/>
      <c r="J62" s="1990"/>
      <c r="K62" s="1990"/>
      <c r="L62" s="1990"/>
      <c r="M62" s="1990"/>
      <c r="N62" s="1990"/>
      <c r="O62" s="1990"/>
      <c r="P62" s="1990"/>
      <c r="Q62" s="1990"/>
      <c r="R62" s="2010"/>
      <c r="S62" s="1029"/>
    </row>
    <row r="63" spans="1:19" s="1037" customFormat="1" ht="22.95" customHeight="1">
      <c r="A63" s="1029"/>
      <c r="B63" s="1029"/>
      <c r="C63" s="2003" t="s">
        <v>3715</v>
      </c>
      <c r="D63" s="2004"/>
      <c r="E63" s="2009"/>
      <c r="F63" s="1990"/>
      <c r="G63" s="1990"/>
      <c r="H63" s="1990"/>
      <c r="I63" s="1990"/>
      <c r="J63" s="1990"/>
      <c r="K63" s="2011"/>
      <c r="L63" s="2011"/>
      <c r="M63" s="2011"/>
      <c r="N63" s="2011"/>
      <c r="O63" s="1990"/>
      <c r="P63" s="1990"/>
      <c r="Q63" s="1990"/>
      <c r="R63" s="2010"/>
      <c r="S63" s="1029"/>
    </row>
    <row r="64" spans="1:19" s="1037" customFormat="1" ht="22.95" customHeight="1" thickBot="1">
      <c r="A64" s="1029"/>
      <c r="B64" s="1029"/>
      <c r="C64" s="2005" t="s">
        <v>10</v>
      </c>
      <c r="D64" s="2006"/>
      <c r="E64" s="1976"/>
      <c r="F64" s="1977"/>
      <c r="G64" s="1977"/>
      <c r="H64" s="1977"/>
      <c r="I64" s="1977"/>
      <c r="J64" s="1977"/>
      <c r="K64" s="2012" t="s">
        <v>4184</v>
      </c>
      <c r="L64" s="2013"/>
      <c r="M64" s="2013"/>
      <c r="N64" s="2014"/>
      <c r="O64" s="1977"/>
      <c r="P64" s="1977"/>
      <c r="Q64" s="1977"/>
      <c r="R64" s="1978"/>
      <c r="S64" s="1029"/>
    </row>
    <row r="65" spans="1:21" s="1037" customFormat="1" ht="22.95" customHeight="1">
      <c r="A65" s="1029"/>
      <c r="B65" s="1029"/>
      <c r="C65" s="1293" t="s">
        <v>4181</v>
      </c>
      <c r="D65" s="1041"/>
      <c r="E65" s="1041"/>
      <c r="F65" s="1041"/>
      <c r="G65" s="1042"/>
      <c r="H65" s="1042"/>
      <c r="I65" s="1042"/>
      <c r="J65" s="1042"/>
      <c r="K65" s="1042"/>
      <c r="L65" s="1042"/>
      <c r="M65" s="1042"/>
      <c r="N65" s="1042"/>
      <c r="O65" s="1042"/>
      <c r="P65" s="1042"/>
      <c r="Q65" s="1042"/>
      <c r="R65" s="1042"/>
      <c r="S65" s="1029"/>
    </row>
    <row r="66" spans="1:21" s="1037" customFormat="1" ht="19.95" customHeight="1">
      <c r="A66" s="1029"/>
      <c r="B66" s="1029"/>
      <c r="C66" s="1293"/>
      <c r="D66" s="1041"/>
      <c r="E66" s="1041"/>
      <c r="F66" s="1041"/>
      <c r="G66" s="1042"/>
      <c r="H66" s="1042"/>
      <c r="I66" s="1042"/>
      <c r="J66" s="1042"/>
      <c r="K66" s="1042"/>
      <c r="L66" s="1042"/>
      <c r="M66" s="1042"/>
      <c r="N66" s="1042"/>
      <c r="O66" s="1042"/>
      <c r="P66" s="1042"/>
      <c r="Q66" s="1042"/>
      <c r="R66" s="1042"/>
      <c r="S66" s="1029"/>
    </row>
    <row r="67" spans="1:21" ht="15" customHeight="1">
      <c r="A67" s="1060" t="s">
        <v>3731</v>
      </c>
      <c r="B67" s="1057"/>
      <c r="C67" s="1058"/>
      <c r="D67" s="1058"/>
      <c r="E67" s="1058"/>
      <c r="F67" s="1058"/>
      <c r="G67" s="1058"/>
      <c r="H67" s="1058"/>
      <c r="I67" s="1058"/>
      <c r="J67" s="1058"/>
      <c r="K67" s="1058"/>
      <c r="L67" s="1058"/>
      <c r="M67" s="1058"/>
      <c r="N67" s="1058"/>
      <c r="O67" s="1058"/>
      <c r="P67" s="1058"/>
      <c r="Q67" s="1058"/>
      <c r="R67" s="1058"/>
      <c r="S67" s="1025"/>
    </row>
    <row r="68" spans="1:21" ht="34.200000000000003" customHeight="1">
      <c r="A68" s="2019" t="s">
        <v>3732</v>
      </c>
      <c r="B68" s="2019"/>
      <c r="C68" s="2019"/>
      <c r="D68" s="2019"/>
      <c r="E68" s="2019"/>
      <c r="F68" s="2019"/>
      <c r="G68" s="2019"/>
      <c r="H68" s="2019"/>
      <c r="I68" s="2019"/>
      <c r="J68" s="2019"/>
      <c r="K68" s="2019"/>
      <c r="L68" s="2019"/>
      <c r="M68" s="2019"/>
      <c r="N68" s="2019"/>
      <c r="O68" s="2019"/>
      <c r="P68" s="2019"/>
      <c r="Q68" s="2019"/>
      <c r="R68" s="2019"/>
      <c r="S68" s="1061"/>
    </row>
    <row r="69" spans="1:21" ht="13.2" customHeight="1">
      <c r="A69" s="1025"/>
      <c r="B69" s="1057"/>
      <c r="C69" s="1058"/>
      <c r="D69" s="1058"/>
      <c r="E69" s="1058"/>
      <c r="F69" s="1058"/>
      <c r="G69" s="1058"/>
      <c r="H69" s="1058"/>
      <c r="I69" s="1058"/>
      <c r="J69" s="1058"/>
      <c r="K69" s="1058"/>
      <c r="L69" s="1058"/>
      <c r="M69" s="1058"/>
      <c r="N69" s="1058"/>
      <c r="O69" s="1058"/>
      <c r="P69" s="1058"/>
      <c r="Q69" s="1058"/>
      <c r="R69" s="1058"/>
      <c r="S69" s="1025"/>
    </row>
    <row r="70" spans="1:21" s="1064" customFormat="1" ht="24.9" customHeight="1">
      <c r="A70" s="1062"/>
      <c r="B70" s="1063" t="s">
        <v>1224</v>
      </c>
      <c r="D70" s="1063" t="s">
        <v>3733</v>
      </c>
      <c r="F70" s="1064" t="s">
        <v>3734</v>
      </c>
      <c r="G70" s="1063"/>
      <c r="S70" s="1065"/>
      <c r="T70" s="1065"/>
      <c r="U70" s="1066"/>
    </row>
    <row r="71" spans="1:21" s="1064" customFormat="1" ht="24.9" customHeight="1">
      <c r="A71" s="1062"/>
      <c r="B71" s="2020" t="s">
        <v>3735</v>
      </c>
      <c r="C71" s="2020"/>
      <c r="D71" s="2021"/>
      <c r="E71" s="2021"/>
      <c r="F71" s="2021"/>
      <c r="G71" s="2021"/>
      <c r="H71" s="1064" t="s">
        <v>381</v>
      </c>
      <c r="I71" s="2022" t="s">
        <v>3736</v>
      </c>
      <c r="J71" s="2022"/>
      <c r="K71" s="2023"/>
      <c r="L71" s="2023"/>
      <c r="M71" s="2023"/>
      <c r="N71" s="2023"/>
      <c r="O71" s="2023"/>
      <c r="P71" s="2023"/>
      <c r="Q71" s="2023"/>
      <c r="R71" s="2023"/>
      <c r="S71" s="1065"/>
      <c r="T71" s="1065"/>
      <c r="U71" s="1066"/>
    </row>
    <row r="72" spans="1:21" s="1066" customFormat="1" ht="20.100000000000001" customHeight="1">
      <c r="A72" s="1067"/>
      <c r="F72" s="1068"/>
      <c r="G72" s="1069"/>
      <c r="I72" s="1070"/>
      <c r="J72" s="1071"/>
    </row>
    <row r="73" spans="1:21" ht="15" hidden="1" customHeight="1">
      <c r="A73" s="1025"/>
      <c r="B73" s="2018" t="s">
        <v>3737</v>
      </c>
      <c r="C73" s="2018"/>
      <c r="D73" s="2018"/>
      <c r="E73" s="2018"/>
      <c r="F73" s="2018"/>
      <c r="G73" s="2018"/>
      <c r="H73" s="2018"/>
      <c r="I73" s="2018"/>
      <c r="J73" s="2018"/>
      <c r="K73" s="2018"/>
      <c r="L73" s="2018"/>
      <c r="M73" s="2018"/>
      <c r="N73" s="2018"/>
      <c r="O73" s="2018"/>
      <c r="P73" s="2018"/>
      <c r="Q73" s="2018"/>
      <c r="R73" s="2018"/>
      <c r="S73" s="1025"/>
    </row>
    <row r="74" spans="1:21" ht="15" hidden="1" customHeight="1">
      <c r="A74" s="1072"/>
      <c r="B74" s="2018" t="s">
        <v>3738</v>
      </c>
      <c r="C74" s="2018"/>
      <c r="D74" s="2018"/>
      <c r="E74" s="2018"/>
      <c r="F74" s="2018"/>
      <c r="G74" s="2018"/>
      <c r="H74" s="2018"/>
      <c r="I74" s="2018"/>
      <c r="J74" s="2018"/>
      <c r="K74" s="2018"/>
      <c r="L74" s="2018"/>
      <c r="M74" s="2018"/>
      <c r="N74" s="2018"/>
      <c r="O74" s="2018"/>
      <c r="P74" s="2018"/>
      <c r="Q74" s="2018"/>
      <c r="R74" s="2018"/>
      <c r="S74" s="1072"/>
    </row>
    <row r="75" spans="1:21" ht="7.95" customHeight="1">
      <c r="A75" s="1033"/>
      <c r="B75" s="1033"/>
      <c r="C75" s="1033"/>
      <c r="D75" s="1033"/>
      <c r="E75" s="1059"/>
      <c r="F75" s="1059"/>
      <c r="G75" s="1059"/>
      <c r="H75" s="1059"/>
      <c r="I75" s="1059"/>
      <c r="J75" s="1059"/>
      <c r="K75" s="1059"/>
      <c r="L75" s="1059"/>
      <c r="M75" s="1059"/>
      <c r="N75" s="1059"/>
      <c r="O75" s="1059"/>
      <c r="P75" s="1058"/>
      <c r="Q75" s="1058"/>
      <c r="R75" s="1025"/>
      <c r="S75" s="1025"/>
    </row>
    <row r="76" spans="1:21" s="1064" customFormat="1" ht="16.2">
      <c r="A76" s="1073" t="s">
        <v>3739</v>
      </c>
    </row>
    <row r="77" spans="1:21" s="1074" customFormat="1" ht="18.600000000000001" customHeight="1">
      <c r="C77" s="1075" t="s">
        <v>3740</v>
      </c>
      <c r="D77" s="1075"/>
      <c r="E77" s="1075"/>
      <c r="F77" s="1075" t="s">
        <v>3741</v>
      </c>
      <c r="G77" s="1075"/>
      <c r="H77" s="1075"/>
      <c r="I77" s="1075"/>
      <c r="J77" s="1075"/>
      <c r="K77" s="1075" t="s">
        <v>3742</v>
      </c>
      <c r="L77" s="1075"/>
      <c r="M77" s="1075"/>
      <c r="N77" s="1075"/>
      <c r="O77" s="1075"/>
      <c r="P77" s="1075"/>
      <c r="Q77" s="1075"/>
      <c r="R77" s="1075"/>
    </row>
    <row r="78" spans="1:21" s="1074" customFormat="1" ht="19.95" customHeight="1">
      <c r="A78" s="1074" t="s">
        <v>3743</v>
      </c>
      <c r="C78" s="1076" t="s">
        <v>3744</v>
      </c>
      <c r="D78" s="2033"/>
      <c r="E78" s="2033"/>
      <c r="F78" s="2033"/>
      <c r="G78" s="2033"/>
      <c r="H78" s="2033"/>
      <c r="I78" s="2033"/>
      <c r="J78" s="2033"/>
      <c r="K78" s="2033"/>
      <c r="L78" s="2033"/>
      <c r="M78" s="2033"/>
      <c r="N78" s="2033"/>
      <c r="O78" s="2033"/>
      <c r="P78" s="2033"/>
      <c r="Q78" s="2033"/>
      <c r="R78" s="1075" t="s">
        <v>3</v>
      </c>
    </row>
    <row r="79" spans="1:21" s="1064" customFormat="1" ht="6.9" customHeight="1"/>
    <row r="80" spans="1:21" s="1064" customFormat="1" ht="16.2">
      <c r="A80" s="1073" t="s">
        <v>3745</v>
      </c>
    </row>
    <row r="81" spans="1:19" s="1074" customFormat="1" ht="15" customHeight="1">
      <c r="C81" s="1074" t="s">
        <v>3746</v>
      </c>
      <c r="F81" s="2034"/>
      <c r="G81" s="2034"/>
      <c r="H81" s="2034"/>
      <c r="I81" s="2034"/>
      <c r="J81" s="2034"/>
      <c r="K81" s="2034"/>
      <c r="L81" s="2034"/>
      <c r="M81" s="2034"/>
    </row>
    <row r="82" spans="1:19" s="1074" customFormat="1" ht="18.75" customHeight="1">
      <c r="C82" s="1074" t="s">
        <v>1</v>
      </c>
      <c r="E82" s="1078" t="s">
        <v>3747</v>
      </c>
      <c r="F82" s="2034"/>
      <c r="G82" s="2034"/>
      <c r="H82" s="2034"/>
      <c r="I82" s="2034"/>
      <c r="J82" s="2034"/>
      <c r="K82" s="2034"/>
      <c r="L82" s="2034"/>
      <c r="M82" s="2034"/>
      <c r="N82" s="2034"/>
      <c r="O82" s="2034"/>
      <c r="P82" s="2034"/>
      <c r="Q82" s="2034"/>
    </row>
    <row r="83" spans="1:19" s="1064" customFormat="1">
      <c r="B83" s="1077"/>
      <c r="E83" s="1078" t="s">
        <v>3748</v>
      </c>
      <c r="F83" s="2035"/>
      <c r="G83" s="2035"/>
      <c r="H83" s="2035"/>
      <c r="I83" s="2035"/>
      <c r="J83" s="2035"/>
      <c r="K83" s="2035"/>
    </row>
    <row r="84" spans="1:19" s="1064" customFormat="1">
      <c r="B84" s="1077"/>
      <c r="E84" s="1078"/>
      <c r="F84" s="1079"/>
      <c r="G84" s="1079"/>
      <c r="H84" s="1079"/>
      <c r="I84" s="1079"/>
      <c r="J84" s="1079"/>
      <c r="K84" s="1079"/>
    </row>
    <row r="85" spans="1:19" s="1064" customFormat="1" ht="15" customHeight="1">
      <c r="A85" s="1063" t="s">
        <v>3749</v>
      </c>
    </row>
    <row r="86" spans="1:19" s="1074" customFormat="1" ht="15" customHeight="1">
      <c r="C86" s="1064" t="s">
        <v>3750</v>
      </c>
      <c r="F86" s="1064" t="s">
        <v>3751</v>
      </c>
      <c r="G86" s="1064"/>
      <c r="H86" s="1064"/>
      <c r="I86" s="1080" t="s">
        <v>3752</v>
      </c>
      <c r="J86" s="2036"/>
      <c r="K86" s="2036"/>
      <c r="L86" s="2036"/>
      <c r="M86" s="2036"/>
      <c r="N86" s="2036"/>
      <c r="O86" s="2036"/>
      <c r="P86" s="2036"/>
      <c r="Q86" s="2036"/>
      <c r="R86" s="1064" t="s">
        <v>3</v>
      </c>
    </row>
    <row r="87" spans="1:19" s="1074" customFormat="1" ht="15" customHeight="1">
      <c r="C87" s="1064"/>
      <c r="F87" s="1064"/>
      <c r="G87" s="1064"/>
      <c r="H87" s="1064"/>
      <c r="I87" s="1080"/>
      <c r="J87" s="1081"/>
      <c r="K87" s="1081"/>
      <c r="L87" s="1081"/>
      <c r="M87" s="1081"/>
      <c r="N87" s="1081"/>
      <c r="O87" s="1081"/>
      <c r="P87" s="1081"/>
      <c r="Q87" s="1081"/>
      <c r="R87" s="1064"/>
    </row>
    <row r="88" spans="1:19" s="1074" customFormat="1" ht="15" customHeight="1">
      <c r="C88" s="1064"/>
      <c r="F88" s="1064"/>
      <c r="G88" s="1064"/>
      <c r="H88" s="1064"/>
      <c r="I88" s="1080"/>
      <c r="J88" s="1081"/>
      <c r="K88" s="1081"/>
      <c r="L88" s="1081"/>
      <c r="M88" s="1081"/>
      <c r="N88" s="1081"/>
      <c r="O88" s="1081"/>
      <c r="P88" s="1081"/>
      <c r="Q88" s="1081"/>
      <c r="R88" s="1064"/>
    </row>
    <row r="89" spans="1:19" ht="12" customHeight="1" thickBot="1">
      <c r="A89" s="1025"/>
      <c r="B89" s="1025"/>
      <c r="C89" s="1025"/>
      <c r="D89" s="1025"/>
      <c r="E89" s="1025"/>
      <c r="F89" s="1025"/>
      <c r="G89" s="1025"/>
      <c r="H89" s="1025"/>
      <c r="I89" s="1025"/>
      <c r="J89" s="1025"/>
      <c r="K89" s="1025"/>
      <c r="L89" s="1025"/>
      <c r="M89" s="1025"/>
      <c r="N89" s="1025"/>
      <c r="O89" s="1025"/>
      <c r="P89" s="1025"/>
      <c r="Q89" s="1025"/>
      <c r="R89" s="1025"/>
      <c r="S89" s="1025"/>
    </row>
    <row r="90" spans="1:19" ht="25.2" customHeight="1">
      <c r="A90" s="2000" t="s">
        <v>3753</v>
      </c>
      <c r="B90" s="2000"/>
      <c r="C90" s="2000"/>
      <c r="D90" s="2000"/>
      <c r="E90" s="2000"/>
      <c r="F90" s="2000"/>
      <c r="G90" s="2000"/>
      <c r="H90" s="2000"/>
      <c r="I90" s="2000"/>
      <c r="J90" s="2000"/>
      <c r="K90" s="2000"/>
      <c r="L90" s="2000"/>
      <c r="M90" s="2000"/>
      <c r="N90" s="2000"/>
      <c r="O90" s="2000"/>
      <c r="P90" s="2000"/>
      <c r="Q90" s="2000"/>
      <c r="R90" s="2000"/>
      <c r="S90" s="1027"/>
    </row>
    <row r="91" spans="1:19" ht="6.75" customHeight="1">
      <c r="A91" s="1025"/>
      <c r="B91" s="1057"/>
      <c r="C91" s="1058"/>
      <c r="D91" s="1058"/>
      <c r="E91" s="1058"/>
      <c r="F91" s="1058"/>
      <c r="G91" s="1058"/>
      <c r="H91" s="1058"/>
      <c r="I91" s="1058"/>
      <c r="J91" s="1058"/>
      <c r="K91" s="1058"/>
      <c r="L91" s="1058"/>
      <c r="M91" s="1058"/>
      <c r="N91" s="1058"/>
      <c r="O91" s="1058"/>
      <c r="P91" s="1058"/>
      <c r="Q91" s="1058"/>
      <c r="R91" s="1058"/>
      <c r="S91" s="1025"/>
    </row>
    <row r="92" spans="1:19" ht="12" customHeight="1">
      <c r="A92" s="1025"/>
      <c r="B92" s="1025"/>
      <c r="C92" s="1041"/>
      <c r="D92" s="1041"/>
      <c r="E92" s="1042"/>
      <c r="F92" s="1043"/>
      <c r="G92" s="1043"/>
      <c r="H92" s="1043"/>
      <c r="I92" s="1043"/>
      <c r="J92" s="1043"/>
      <c r="K92" s="1043"/>
      <c r="L92" s="1043"/>
      <c r="M92" s="1043"/>
      <c r="N92" s="1043"/>
      <c r="O92" s="1043"/>
      <c r="P92" s="1043"/>
      <c r="Q92" s="1043"/>
      <c r="R92" s="1043"/>
      <c r="S92" s="1025"/>
    </row>
    <row r="93" spans="1:19" s="1064" customFormat="1" ht="14.4">
      <c r="A93" s="1063" t="s">
        <v>3754</v>
      </c>
      <c r="B93" s="1082"/>
      <c r="C93" s="1063"/>
      <c r="D93" s="1063"/>
      <c r="E93" s="1063"/>
      <c r="F93" s="1063"/>
      <c r="G93" s="1063"/>
      <c r="H93" s="1063"/>
      <c r="I93" s="1063"/>
      <c r="J93" s="1063"/>
      <c r="K93" s="1063"/>
      <c r="L93" s="1063"/>
      <c r="M93" s="1063"/>
      <c r="N93" s="1063"/>
      <c r="O93" s="1063"/>
      <c r="P93" s="1063"/>
      <c r="Q93" s="1063"/>
      <c r="R93" s="1063"/>
    </row>
    <row r="94" spans="1:19" s="1064" customFormat="1" ht="14.4">
      <c r="A94" s="1063"/>
      <c r="B94" s="1082" t="s">
        <v>3755</v>
      </c>
      <c r="C94" s="1063"/>
      <c r="D94" s="1063"/>
      <c r="E94" s="1063"/>
      <c r="F94" s="1063"/>
      <c r="G94" s="1063"/>
      <c r="H94" s="1063"/>
      <c r="I94" s="1063"/>
      <c r="J94" s="1063"/>
      <c r="K94" s="1063"/>
      <c r="L94" s="1063"/>
      <c r="M94" s="1063"/>
      <c r="N94" s="1063"/>
      <c r="O94" s="1063"/>
      <c r="P94" s="1063"/>
      <c r="Q94" s="1063"/>
      <c r="R94" s="1063"/>
    </row>
    <row r="95" spans="1:19" s="1064" customFormat="1" ht="7.95" customHeight="1">
      <c r="A95" s="1073"/>
      <c r="B95" s="1063"/>
      <c r="C95" s="1063"/>
      <c r="D95" s="1063"/>
      <c r="E95" s="1063"/>
      <c r="F95" s="1063"/>
      <c r="G95" s="1063"/>
      <c r="H95" s="1063"/>
      <c r="I95" s="1063"/>
      <c r="J95" s="1063"/>
      <c r="K95" s="1063"/>
      <c r="L95" s="1063"/>
      <c r="M95" s="1063"/>
      <c r="N95" s="1063"/>
      <c r="O95" s="1063"/>
      <c r="P95" s="1063"/>
      <c r="Q95" s="1063"/>
      <c r="R95" s="1063"/>
    </row>
    <row r="96" spans="1:19" s="1074" customFormat="1" ht="15" customHeight="1">
      <c r="C96" s="1064" t="s">
        <v>3756</v>
      </c>
      <c r="D96" s="1064"/>
      <c r="E96" s="1064"/>
      <c r="F96" s="1064"/>
      <c r="G96" s="1064" t="s">
        <v>3757</v>
      </c>
      <c r="H96" s="1064"/>
      <c r="I96" s="1064"/>
      <c r="J96" s="1064"/>
      <c r="K96" s="1064"/>
      <c r="L96" s="1064"/>
      <c r="M96" s="1064"/>
      <c r="N96" s="1064"/>
      <c r="O96" s="1064"/>
      <c r="P96" s="1064"/>
    </row>
    <row r="97" spans="1:19" s="1074" customFormat="1" ht="15" customHeight="1">
      <c r="C97" s="1064" t="s">
        <v>3758</v>
      </c>
      <c r="D97" s="1064"/>
      <c r="E97" s="1064"/>
      <c r="F97" s="1064"/>
      <c r="G97" s="1064"/>
      <c r="H97" s="1064"/>
      <c r="I97" s="1064"/>
      <c r="J97" s="1064"/>
      <c r="K97" s="1064"/>
      <c r="L97" s="1064"/>
      <c r="M97" s="1064"/>
      <c r="N97" s="1064"/>
      <c r="O97" s="1064"/>
      <c r="P97" s="1064"/>
    </row>
    <row r="98" spans="1:19" s="1064" customFormat="1" ht="15" customHeight="1"/>
    <row r="99" spans="1:19" s="1064" customFormat="1" ht="15" customHeight="1">
      <c r="A99" s="1063" t="s">
        <v>3759</v>
      </c>
    </row>
    <row r="100" spans="1:19" ht="15" customHeight="1">
      <c r="A100" s="1050"/>
      <c r="B100" s="1029" t="s">
        <v>3760</v>
      </c>
      <c r="C100" s="1033"/>
      <c r="E100" s="1059"/>
      <c r="F100" s="1059"/>
      <c r="G100" s="1059"/>
      <c r="H100" s="1059"/>
      <c r="I100" s="1059"/>
      <c r="J100" s="1059"/>
      <c r="K100" s="1059"/>
      <c r="L100" s="1059"/>
      <c r="M100" s="1059"/>
      <c r="N100" s="1059"/>
      <c r="O100" s="1059"/>
      <c r="P100" s="1059"/>
      <c r="Q100" s="1059"/>
      <c r="R100" s="1059"/>
      <c r="S100" s="1025"/>
    </row>
    <row r="101" spans="1:19" ht="15" customHeight="1">
      <c r="A101" s="1050"/>
      <c r="B101" s="1029" t="s">
        <v>3761</v>
      </c>
      <c r="C101" s="1033"/>
      <c r="E101" s="1059"/>
      <c r="F101" s="1059"/>
      <c r="G101" s="1059"/>
      <c r="H101" s="1059"/>
      <c r="I101" s="1059"/>
      <c r="J101" s="1059"/>
      <c r="K101" s="1059"/>
      <c r="L101" s="1059"/>
      <c r="M101" s="1059"/>
      <c r="N101" s="1059"/>
      <c r="O101" s="1059"/>
      <c r="P101" s="1059"/>
      <c r="Q101" s="1059"/>
      <c r="R101" s="1059"/>
      <c r="S101" s="1025"/>
    </row>
    <row r="102" spans="1:19" ht="15" customHeight="1">
      <c r="A102" s="1050"/>
      <c r="B102" s="1029" t="s">
        <v>3762</v>
      </c>
      <c r="C102" s="1033"/>
      <c r="E102" s="1059"/>
      <c r="F102" s="1059"/>
      <c r="G102" s="1059"/>
      <c r="H102" s="1059"/>
      <c r="I102" s="1059"/>
      <c r="J102" s="1059"/>
      <c r="K102" s="1059"/>
      <c r="L102" s="1059"/>
      <c r="M102" s="1059"/>
      <c r="N102" s="1059"/>
      <c r="O102" s="1059"/>
      <c r="P102" s="1059"/>
      <c r="Q102" s="1059"/>
      <c r="R102" s="1059"/>
      <c r="S102" s="1025"/>
    </row>
    <row r="103" spans="1:19" s="1037" customFormat="1" ht="15" hidden="1" customHeight="1">
      <c r="A103" s="1033"/>
      <c r="B103" s="1083" t="s">
        <v>3728</v>
      </c>
      <c r="C103" s="1033"/>
      <c r="E103" s="1059"/>
      <c r="F103" s="1059"/>
      <c r="G103" s="1059"/>
      <c r="H103" s="1059"/>
      <c r="I103" s="1059"/>
      <c r="J103" s="1059"/>
      <c r="K103" s="1059"/>
      <c r="L103" s="1059"/>
      <c r="M103" s="1059"/>
      <c r="N103" s="1059"/>
      <c r="O103" s="1059"/>
      <c r="P103" s="1059"/>
      <c r="Q103" s="1059"/>
      <c r="R103" s="1059"/>
      <c r="S103" s="1029"/>
    </row>
    <row r="104" spans="1:19" ht="15" hidden="1" customHeight="1">
      <c r="A104" s="1025"/>
      <c r="B104" s="1025"/>
      <c r="C104" s="1025" t="s">
        <v>3763</v>
      </c>
      <c r="D104" s="1025"/>
      <c r="E104" s="1025"/>
      <c r="F104" s="1025"/>
      <c r="G104" s="1025"/>
      <c r="H104" s="1025"/>
      <c r="I104" s="1025"/>
      <c r="J104" s="1025"/>
      <c r="K104" s="1025"/>
      <c r="L104" s="1025"/>
      <c r="M104" s="1025"/>
      <c r="N104" s="1025"/>
      <c r="O104" s="1025"/>
      <c r="P104" s="1025"/>
      <c r="Q104" s="1025"/>
      <c r="R104" s="1025"/>
      <c r="S104" s="1025"/>
    </row>
    <row r="105" spans="1:19" ht="6.9" customHeight="1">
      <c r="A105" s="1025"/>
      <c r="B105" s="1025"/>
      <c r="C105" s="1025"/>
      <c r="D105" s="1025"/>
      <c r="E105" s="1025"/>
      <c r="F105" s="1025"/>
      <c r="G105" s="1025"/>
      <c r="H105" s="1025"/>
      <c r="I105" s="1025"/>
      <c r="J105" s="1025"/>
      <c r="K105" s="1025"/>
      <c r="L105" s="1025"/>
      <c r="M105" s="1025"/>
      <c r="N105" s="1025"/>
      <c r="O105" s="1025"/>
      <c r="P105" s="1025"/>
      <c r="Q105" s="1025"/>
      <c r="R105" s="1025"/>
      <c r="S105" s="1025"/>
    </row>
    <row r="106" spans="1:19" ht="15" customHeight="1" thickBot="1">
      <c r="A106" s="1050" t="s">
        <v>3764</v>
      </c>
      <c r="B106" s="1025"/>
      <c r="C106" s="1025"/>
      <c r="D106" s="1025"/>
      <c r="E106" s="1025"/>
      <c r="F106" s="1025"/>
      <c r="G106" s="1025"/>
      <c r="H106" s="1025"/>
      <c r="I106" s="1025"/>
      <c r="J106" s="1025"/>
      <c r="K106" s="1025"/>
      <c r="L106" s="1025"/>
      <c r="M106" s="1025"/>
      <c r="N106" s="1025"/>
      <c r="O106" s="1025"/>
      <c r="P106" s="1025"/>
      <c r="Q106" s="1025"/>
      <c r="R106" s="1025"/>
    </row>
    <row r="107" spans="1:19" s="1037" customFormat="1" ht="22.95" customHeight="1">
      <c r="A107" s="1029"/>
      <c r="B107" s="2001" t="s">
        <v>35</v>
      </c>
      <c r="C107" s="2037"/>
      <c r="D107" s="2038"/>
      <c r="E107" s="2039"/>
      <c r="F107" s="2039"/>
      <c r="G107" s="2039"/>
      <c r="H107" s="2039"/>
      <c r="I107" s="2039"/>
      <c r="J107" s="2039"/>
      <c r="K107" s="2039"/>
      <c r="L107" s="2039"/>
      <c r="M107" s="2039"/>
      <c r="N107" s="2039"/>
      <c r="O107" s="2039"/>
      <c r="P107" s="2039"/>
      <c r="Q107" s="2040"/>
      <c r="R107" s="1029"/>
    </row>
    <row r="108" spans="1:19" s="1037" customFormat="1" ht="22.95" customHeight="1">
      <c r="A108" s="1029"/>
      <c r="B108" s="2003" t="s">
        <v>3714</v>
      </c>
      <c r="C108" s="2024"/>
      <c r="D108" s="2030"/>
      <c r="E108" s="2031"/>
      <c r="F108" s="2031"/>
      <c r="G108" s="2031"/>
      <c r="H108" s="2031"/>
      <c r="I108" s="2031"/>
      <c r="J108" s="2031"/>
      <c r="K108" s="2031"/>
      <c r="L108" s="2031"/>
      <c r="M108" s="2031"/>
      <c r="N108" s="2031"/>
      <c r="O108" s="2031"/>
      <c r="P108" s="2031"/>
      <c r="Q108" s="2032"/>
      <c r="R108" s="1029"/>
    </row>
    <row r="109" spans="1:19" s="1037" customFormat="1" ht="22.95" customHeight="1">
      <c r="A109" s="1029"/>
      <c r="B109" s="2003" t="s">
        <v>3715</v>
      </c>
      <c r="C109" s="2024"/>
      <c r="D109" s="2030"/>
      <c r="E109" s="2031"/>
      <c r="F109" s="2031"/>
      <c r="G109" s="2031"/>
      <c r="H109" s="2031"/>
      <c r="I109" s="2031"/>
      <c r="J109" s="2031"/>
      <c r="K109" s="2031"/>
      <c r="L109" s="2031"/>
      <c r="M109" s="2031"/>
      <c r="N109" s="2031"/>
      <c r="O109" s="2031"/>
      <c r="P109" s="2031"/>
      <c r="Q109" s="2032"/>
      <c r="R109" s="1029"/>
    </row>
    <row r="110" spans="1:19" ht="22.95" customHeight="1">
      <c r="A110" s="1025"/>
      <c r="B110" s="2003" t="s">
        <v>9</v>
      </c>
      <c r="C110" s="2024"/>
      <c r="D110" s="2009" t="s">
        <v>3558</v>
      </c>
      <c r="E110" s="1990"/>
      <c r="F110" s="1990"/>
      <c r="G110" s="1990"/>
      <c r="H110" s="1990"/>
      <c r="I110" s="1990"/>
      <c r="J110" s="1990"/>
      <c r="K110" s="1990"/>
      <c r="L110" s="1990"/>
      <c r="M110" s="1990"/>
      <c r="N110" s="1990"/>
      <c r="O110" s="1990"/>
      <c r="P110" s="1990"/>
      <c r="Q110" s="2010"/>
      <c r="R110" s="1025"/>
    </row>
    <row r="111" spans="1:19" s="1037" customFormat="1" ht="22.95" customHeight="1">
      <c r="A111" s="1029"/>
      <c r="B111" s="2041" t="s">
        <v>10</v>
      </c>
      <c r="C111" s="2042"/>
      <c r="D111" s="2015"/>
      <c r="E111" s="2016"/>
      <c r="F111" s="2016"/>
      <c r="G111" s="2016"/>
      <c r="H111" s="2016"/>
      <c r="I111" s="2016"/>
      <c r="J111" s="2016"/>
      <c r="K111" s="2016"/>
      <c r="L111" s="2016"/>
      <c r="M111" s="2016"/>
      <c r="N111" s="2016"/>
      <c r="O111" s="2016"/>
      <c r="P111" s="2016"/>
      <c r="Q111" s="2017"/>
      <c r="R111" s="1029"/>
    </row>
    <row r="112" spans="1:19" s="1037" customFormat="1" ht="22.95" customHeight="1" thickBot="1">
      <c r="A112" s="1029"/>
      <c r="B112" s="2025" t="s">
        <v>3716</v>
      </c>
      <c r="C112" s="2026"/>
      <c r="D112" s="2027"/>
      <c r="E112" s="2028"/>
      <c r="F112" s="2028"/>
      <c r="G112" s="2028"/>
      <c r="H112" s="2028"/>
      <c r="I112" s="2028"/>
      <c r="J112" s="2028"/>
      <c r="K112" s="2028"/>
      <c r="L112" s="2028"/>
      <c r="M112" s="2028"/>
      <c r="N112" s="2028"/>
      <c r="O112" s="2028"/>
      <c r="P112" s="2028"/>
      <c r="Q112" s="2029"/>
      <c r="R112" s="1029"/>
    </row>
    <row r="113" spans="3:3" ht="16.5" customHeight="1">
      <c r="C113" s="1293" t="s">
        <v>4182</v>
      </c>
    </row>
  </sheetData>
  <mergeCells count="81">
    <mergeCell ref="A2:R2"/>
    <mergeCell ref="B3:R3"/>
    <mergeCell ref="C7:R7"/>
    <mergeCell ref="C48:C50"/>
    <mergeCell ref="D48:R48"/>
    <mergeCell ref="E45:N45"/>
    <mergeCell ref="O45:P45"/>
    <mergeCell ref="Q45:R45"/>
    <mergeCell ref="C44:C47"/>
    <mergeCell ref="E44:R44"/>
    <mergeCell ref="E47:R47"/>
    <mergeCell ref="B4:D4"/>
    <mergeCell ref="F4:R4"/>
    <mergeCell ref="C15:C16"/>
    <mergeCell ref="D15:R15"/>
    <mergeCell ref="D16:R16"/>
    <mergeCell ref="C17:C21"/>
    <mergeCell ref="E17:R17"/>
    <mergeCell ref="E18:N18"/>
    <mergeCell ref="O18:P18"/>
    <mergeCell ref="Q18:R18"/>
    <mergeCell ref="E21:N21"/>
    <mergeCell ref="O21:P21"/>
    <mergeCell ref="Q21:R21"/>
    <mergeCell ref="E26:R26"/>
    <mergeCell ref="E27:N27"/>
    <mergeCell ref="O27:P27"/>
    <mergeCell ref="Q27:R27"/>
    <mergeCell ref="E30:N30"/>
    <mergeCell ref="O30:P30"/>
    <mergeCell ref="Q30:R30"/>
    <mergeCell ref="B112:C112"/>
    <mergeCell ref="D112:Q112"/>
    <mergeCell ref="B109:C109"/>
    <mergeCell ref="D109:Q109"/>
    <mergeCell ref="B74:R74"/>
    <mergeCell ref="D78:Q78"/>
    <mergeCell ref="F81:M81"/>
    <mergeCell ref="F82:Q82"/>
    <mergeCell ref="F83:K83"/>
    <mergeCell ref="J86:Q86"/>
    <mergeCell ref="A90:R90"/>
    <mergeCell ref="B107:C107"/>
    <mergeCell ref="D107:Q107"/>
    <mergeCell ref="B108:C108"/>
    <mergeCell ref="D108:Q108"/>
    <mergeCell ref="B111:C111"/>
    <mergeCell ref="D111:Q111"/>
    <mergeCell ref="B73:R73"/>
    <mergeCell ref="A68:R68"/>
    <mergeCell ref="B71:C71"/>
    <mergeCell ref="D71:G71"/>
    <mergeCell ref="I71:J71"/>
    <mergeCell ref="K71:R71"/>
    <mergeCell ref="B110:C110"/>
    <mergeCell ref="D110:Q110"/>
    <mergeCell ref="A53:R53"/>
    <mergeCell ref="C61:D61"/>
    <mergeCell ref="C62:D62"/>
    <mergeCell ref="C63:D63"/>
    <mergeCell ref="C64:D64"/>
    <mergeCell ref="E61:R61"/>
    <mergeCell ref="E62:R62"/>
    <mergeCell ref="E63:R63"/>
    <mergeCell ref="K64:N64"/>
    <mergeCell ref="C9:D9"/>
    <mergeCell ref="H9:M9"/>
    <mergeCell ref="E64:J64"/>
    <mergeCell ref="O64:R64"/>
    <mergeCell ref="M1:R1"/>
    <mergeCell ref="D34:R34"/>
    <mergeCell ref="C35:C39"/>
    <mergeCell ref="E35:R35"/>
    <mergeCell ref="E36:N36"/>
    <mergeCell ref="O36:P36"/>
    <mergeCell ref="Q36:R36"/>
    <mergeCell ref="E39:N39"/>
    <mergeCell ref="O39:P39"/>
    <mergeCell ref="Q39:R39"/>
    <mergeCell ref="D25:R25"/>
    <mergeCell ref="C26:C30"/>
  </mergeCells>
  <phoneticPr fontId="122"/>
  <dataValidations count="1">
    <dataValidation type="list" allowBlank="1" showInputMessage="1" showErrorMessage="1" sqref="B71" xr:uid="{00000000-0002-0000-2C00-000000000000}">
      <formula1>"建確,工確,設確"</formula1>
    </dataValidation>
  </dataValidations>
  <pageMargins left="0.70866141732283472" right="0.19685039370078741" top="0.19685039370078741" bottom="0.11811023622047245" header="0.19685039370078741" footer="0.19685039370078741"/>
  <pageSetup paperSize="9" scale="73" orientation="portrait" blackAndWhite="1" r:id="rId1"/>
  <headerFooter>
    <oddHeader xml:space="preserve">&amp;R                                                                            </oddHeader>
  </headerFooter>
  <rowBreaks count="1" manualBreakCount="1">
    <brk id="6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ltText="">
                <anchor moveWithCells="1">
                  <from>
                    <xdr:col>1</xdr:col>
                    <xdr:colOff>182880</xdr:colOff>
                    <xdr:row>51</xdr:row>
                    <xdr:rowOff>0</xdr:rowOff>
                  </from>
                  <to>
                    <xdr:col>2</xdr:col>
                    <xdr:colOff>22860</xdr:colOff>
                    <xdr:row>52</xdr:row>
                    <xdr:rowOff>60960</xdr:rowOff>
                  </to>
                </anchor>
              </controlPr>
            </control>
          </mc:Choice>
        </mc:AlternateContent>
        <mc:AlternateContent xmlns:mc="http://schemas.openxmlformats.org/markup-compatibility/2006">
          <mc:Choice Requires="x14">
            <control shapeId="146434" r:id="rId5" name="Check Box 2">
              <controlPr defaultSize="0" autoFill="0" autoLine="0" autoPict="0" altText="">
                <anchor moveWithCells="1">
                  <from>
                    <xdr:col>1</xdr:col>
                    <xdr:colOff>22860</xdr:colOff>
                    <xdr:row>95</xdr:row>
                    <xdr:rowOff>0</xdr:rowOff>
                  </from>
                  <to>
                    <xdr:col>2</xdr:col>
                    <xdr:colOff>30480</xdr:colOff>
                    <xdr:row>96</xdr:row>
                    <xdr:rowOff>22860</xdr:rowOff>
                  </to>
                </anchor>
              </controlPr>
            </control>
          </mc:Choice>
        </mc:AlternateContent>
        <mc:AlternateContent xmlns:mc="http://schemas.openxmlformats.org/markup-compatibility/2006">
          <mc:Choice Requires="x14">
            <control shapeId="146435" r:id="rId6" name="Check Box 3">
              <controlPr defaultSize="0" autoFill="0" autoLine="0" autoPict="0" altText="">
                <anchor moveWithCells="1">
                  <from>
                    <xdr:col>5</xdr:col>
                    <xdr:colOff>220980</xdr:colOff>
                    <xdr:row>95</xdr:row>
                    <xdr:rowOff>0</xdr:rowOff>
                  </from>
                  <to>
                    <xdr:col>6</xdr:col>
                    <xdr:colOff>30480</xdr:colOff>
                    <xdr:row>96</xdr:row>
                    <xdr:rowOff>22860</xdr:rowOff>
                  </to>
                </anchor>
              </controlPr>
            </control>
          </mc:Choice>
        </mc:AlternateContent>
        <mc:AlternateContent xmlns:mc="http://schemas.openxmlformats.org/markup-compatibility/2006">
          <mc:Choice Requires="x14">
            <control shapeId="146436" r:id="rId7" name="Check Box 4">
              <controlPr defaultSize="0" autoFill="0" autoLine="0" autoPict="0" altText="">
                <anchor moveWithCells="1">
                  <from>
                    <xdr:col>1</xdr:col>
                    <xdr:colOff>22860</xdr:colOff>
                    <xdr:row>95</xdr:row>
                    <xdr:rowOff>182880</xdr:rowOff>
                  </from>
                  <to>
                    <xdr:col>2</xdr:col>
                    <xdr:colOff>30480</xdr:colOff>
                    <xdr:row>97</xdr:row>
                    <xdr:rowOff>7620</xdr:rowOff>
                  </to>
                </anchor>
              </controlPr>
            </control>
          </mc:Choice>
        </mc:AlternateContent>
        <mc:AlternateContent xmlns:mc="http://schemas.openxmlformats.org/markup-compatibility/2006">
          <mc:Choice Requires="x14">
            <control shapeId="146437" r:id="rId8" name="Check Box 5">
              <controlPr defaultSize="0" autoFill="0" autoLine="0" autoPict="0" altText="">
                <anchor moveWithCells="1">
                  <from>
                    <xdr:col>1</xdr:col>
                    <xdr:colOff>182880</xdr:colOff>
                    <xdr:row>76</xdr:row>
                    <xdr:rowOff>30480</xdr:rowOff>
                  </from>
                  <to>
                    <xdr:col>2</xdr:col>
                    <xdr:colOff>22860</xdr:colOff>
                    <xdr:row>77</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ltText="">
                <anchor moveWithCells="1">
                  <from>
                    <xdr:col>0</xdr:col>
                    <xdr:colOff>175260</xdr:colOff>
                    <xdr:row>76</xdr:row>
                    <xdr:rowOff>30480</xdr:rowOff>
                  </from>
                  <to>
                    <xdr:col>2</xdr:col>
                    <xdr:colOff>0</xdr:colOff>
                    <xdr:row>77</xdr:row>
                    <xdr:rowOff>0</xdr:rowOff>
                  </to>
                </anchor>
              </controlPr>
            </control>
          </mc:Choice>
        </mc:AlternateContent>
        <mc:AlternateContent xmlns:mc="http://schemas.openxmlformats.org/markup-compatibility/2006">
          <mc:Choice Requires="x14">
            <control shapeId="146439" r:id="rId10" name="Check Box 7">
              <controlPr defaultSize="0" autoFill="0" autoLine="0" autoPict="0" altText="">
                <anchor moveWithCells="1">
                  <from>
                    <xdr:col>3</xdr:col>
                    <xdr:colOff>838200</xdr:colOff>
                    <xdr:row>76</xdr:row>
                    <xdr:rowOff>22860</xdr:rowOff>
                  </from>
                  <to>
                    <xdr:col>4</xdr:col>
                    <xdr:colOff>190500</xdr:colOff>
                    <xdr:row>77</xdr:row>
                    <xdr:rowOff>0</xdr:rowOff>
                  </to>
                </anchor>
              </controlPr>
            </control>
          </mc:Choice>
        </mc:AlternateContent>
        <mc:AlternateContent xmlns:mc="http://schemas.openxmlformats.org/markup-compatibility/2006">
          <mc:Choice Requires="x14">
            <control shapeId="146440" r:id="rId11" name="Check Box 8">
              <controlPr defaultSize="0" autoFill="0" autoLine="0" autoPict="0" altText="">
                <anchor moveWithCells="1">
                  <from>
                    <xdr:col>9</xdr:col>
                    <xdr:colOff>289560</xdr:colOff>
                    <xdr:row>76</xdr:row>
                    <xdr:rowOff>22860</xdr:rowOff>
                  </from>
                  <to>
                    <xdr:col>10</xdr:col>
                    <xdr:colOff>22860</xdr:colOff>
                    <xdr:row>77</xdr:row>
                    <xdr:rowOff>0</xdr:rowOff>
                  </to>
                </anchor>
              </controlPr>
            </control>
          </mc:Choice>
        </mc:AlternateContent>
        <mc:AlternateContent xmlns:mc="http://schemas.openxmlformats.org/markup-compatibility/2006">
          <mc:Choice Requires="x14">
            <control shapeId="146441" r:id="rId12" name="Check Box 9">
              <controlPr defaultSize="0" autoFill="0" autoLine="0" autoPict="0" altText="">
                <anchor moveWithCells="1">
                  <from>
                    <xdr:col>2</xdr:col>
                    <xdr:colOff>182880</xdr:colOff>
                    <xdr:row>80</xdr:row>
                    <xdr:rowOff>30480</xdr:rowOff>
                  </from>
                  <to>
                    <xdr:col>2</xdr:col>
                    <xdr:colOff>198120</xdr:colOff>
                    <xdr:row>81</xdr:row>
                    <xdr:rowOff>45720</xdr:rowOff>
                  </to>
                </anchor>
              </controlPr>
            </control>
          </mc:Choice>
        </mc:AlternateContent>
        <mc:AlternateContent xmlns:mc="http://schemas.openxmlformats.org/markup-compatibility/2006">
          <mc:Choice Requires="x14">
            <control shapeId="146442" r:id="rId13" name="Check Box 10">
              <controlPr defaultSize="0" autoFill="0" autoLine="0" autoPict="0" altText="">
                <anchor moveWithCells="1">
                  <from>
                    <xdr:col>1</xdr:col>
                    <xdr:colOff>22860</xdr:colOff>
                    <xdr:row>80</xdr:row>
                    <xdr:rowOff>7620</xdr:rowOff>
                  </from>
                  <to>
                    <xdr:col>2</xdr:col>
                    <xdr:colOff>22860</xdr:colOff>
                    <xdr:row>81</xdr:row>
                    <xdr:rowOff>22860</xdr:rowOff>
                  </to>
                </anchor>
              </controlPr>
            </control>
          </mc:Choice>
        </mc:AlternateContent>
        <mc:AlternateContent xmlns:mc="http://schemas.openxmlformats.org/markup-compatibility/2006">
          <mc:Choice Requires="x14">
            <control shapeId="146443" r:id="rId14" name="Check Box 11">
              <controlPr defaultSize="0" autoFill="0" autoLine="0" autoPict="0" altText="">
                <anchor moveWithCells="1">
                  <from>
                    <xdr:col>1</xdr:col>
                    <xdr:colOff>22860</xdr:colOff>
                    <xdr:row>80</xdr:row>
                    <xdr:rowOff>160020</xdr:rowOff>
                  </from>
                  <to>
                    <xdr:col>2</xdr:col>
                    <xdr:colOff>68580</xdr:colOff>
                    <xdr:row>82</xdr:row>
                    <xdr:rowOff>45720</xdr:rowOff>
                  </to>
                </anchor>
              </controlPr>
            </control>
          </mc:Choice>
        </mc:AlternateContent>
        <mc:AlternateContent xmlns:mc="http://schemas.openxmlformats.org/markup-compatibility/2006">
          <mc:Choice Requires="x14">
            <control shapeId="146444" r:id="rId15" name="Check Box 12">
              <controlPr defaultSize="0" autoFill="0" autoLine="0" autoPict="0" altText="">
                <anchor moveWithCells="1">
                  <from>
                    <xdr:col>0</xdr:col>
                    <xdr:colOff>7620</xdr:colOff>
                    <xdr:row>69</xdr:row>
                    <xdr:rowOff>30480</xdr:rowOff>
                  </from>
                  <to>
                    <xdr:col>1</xdr:col>
                    <xdr:colOff>68580</xdr:colOff>
                    <xdr:row>70</xdr:row>
                    <xdr:rowOff>0</xdr:rowOff>
                  </to>
                </anchor>
              </controlPr>
            </control>
          </mc:Choice>
        </mc:AlternateContent>
        <mc:AlternateContent xmlns:mc="http://schemas.openxmlformats.org/markup-compatibility/2006">
          <mc:Choice Requires="x14">
            <control shapeId="146445" r:id="rId16" name="Check Box 13">
              <controlPr defaultSize="0" autoFill="0" autoLine="0" autoPict="0" altText="">
                <anchor moveWithCells="1">
                  <from>
                    <xdr:col>2</xdr:col>
                    <xdr:colOff>632460</xdr:colOff>
                    <xdr:row>69</xdr:row>
                    <xdr:rowOff>22860</xdr:rowOff>
                  </from>
                  <to>
                    <xdr:col>3</xdr:col>
                    <xdr:colOff>251460</xdr:colOff>
                    <xdr:row>69</xdr:row>
                    <xdr:rowOff>289560</xdr:rowOff>
                  </to>
                </anchor>
              </controlPr>
            </control>
          </mc:Choice>
        </mc:AlternateContent>
        <mc:AlternateContent xmlns:mc="http://schemas.openxmlformats.org/markup-compatibility/2006">
          <mc:Choice Requires="x14">
            <control shapeId="146446" r:id="rId17" name="Check Box 14">
              <controlPr defaultSize="0" autoFill="0" autoLine="0" autoPict="0" altText="">
                <anchor moveWithCells="1">
                  <from>
                    <xdr:col>4</xdr:col>
                    <xdr:colOff>114300</xdr:colOff>
                    <xdr:row>69</xdr:row>
                    <xdr:rowOff>22860</xdr:rowOff>
                  </from>
                  <to>
                    <xdr:col>5</xdr:col>
                    <xdr:colOff>160020</xdr:colOff>
                    <xdr:row>69</xdr:row>
                    <xdr:rowOff>304800</xdr:rowOff>
                  </to>
                </anchor>
              </controlPr>
            </control>
          </mc:Choice>
        </mc:AlternateContent>
        <mc:AlternateContent xmlns:mc="http://schemas.openxmlformats.org/markup-compatibility/2006">
          <mc:Choice Requires="x14">
            <control shapeId="146447" r:id="rId18" name="Check Box 15">
              <controlPr defaultSize="0" autoFill="0" autoLine="0" autoPict="0" altText="">
                <anchor moveWithCells="1">
                  <from>
                    <xdr:col>1</xdr:col>
                    <xdr:colOff>7620</xdr:colOff>
                    <xdr:row>85</xdr:row>
                    <xdr:rowOff>7620</xdr:rowOff>
                  </from>
                  <to>
                    <xdr:col>2</xdr:col>
                    <xdr:colOff>22860</xdr:colOff>
                    <xdr:row>86</xdr:row>
                    <xdr:rowOff>22860</xdr:rowOff>
                  </to>
                </anchor>
              </controlPr>
            </control>
          </mc:Choice>
        </mc:AlternateContent>
        <mc:AlternateContent xmlns:mc="http://schemas.openxmlformats.org/markup-compatibility/2006">
          <mc:Choice Requires="x14">
            <control shapeId="146448" r:id="rId19" name="Check Box 16">
              <controlPr defaultSize="0" autoFill="0" autoLine="0" autoPict="0" altText="">
                <anchor moveWithCells="1">
                  <from>
                    <xdr:col>3</xdr:col>
                    <xdr:colOff>845820</xdr:colOff>
                    <xdr:row>85</xdr:row>
                    <xdr:rowOff>0</xdr:rowOff>
                  </from>
                  <to>
                    <xdr:col>4</xdr:col>
                    <xdr:colOff>190500</xdr:colOff>
                    <xdr:row>86</xdr:row>
                    <xdr:rowOff>22860</xdr:rowOff>
                  </to>
                </anchor>
              </controlPr>
            </control>
          </mc:Choice>
        </mc:AlternateContent>
        <mc:AlternateContent xmlns:mc="http://schemas.openxmlformats.org/markup-compatibility/2006">
          <mc:Choice Requires="x14">
            <control shapeId="146455" r:id="rId20" name="Check Box 23">
              <controlPr defaultSize="0" autoFill="0" autoLine="0" autoPict="0" altText="">
                <anchor moveWithCells="1">
                  <from>
                    <xdr:col>3</xdr:col>
                    <xdr:colOff>746760</xdr:colOff>
                    <xdr:row>47</xdr:row>
                    <xdr:rowOff>266700</xdr:rowOff>
                  </from>
                  <to>
                    <xdr:col>4</xdr:col>
                    <xdr:colOff>45720</xdr:colOff>
                    <xdr:row>48</xdr:row>
                    <xdr:rowOff>266700</xdr:rowOff>
                  </to>
                </anchor>
              </controlPr>
            </control>
          </mc:Choice>
        </mc:AlternateContent>
        <mc:AlternateContent xmlns:mc="http://schemas.openxmlformats.org/markup-compatibility/2006">
          <mc:Choice Requires="x14">
            <control shapeId="146456" r:id="rId21" name="Check Box 24">
              <controlPr defaultSize="0" autoFill="0" autoLine="0" autoPict="0" altText="">
                <anchor moveWithCells="1">
                  <from>
                    <xdr:col>3</xdr:col>
                    <xdr:colOff>731520</xdr:colOff>
                    <xdr:row>48</xdr:row>
                    <xdr:rowOff>259080</xdr:rowOff>
                  </from>
                  <to>
                    <xdr:col>4</xdr:col>
                    <xdr:colOff>38100</xdr:colOff>
                    <xdr:row>49</xdr:row>
                    <xdr:rowOff>259080</xdr:rowOff>
                  </to>
                </anchor>
              </controlPr>
            </control>
          </mc:Choice>
        </mc:AlternateContent>
        <mc:AlternateContent xmlns:mc="http://schemas.openxmlformats.org/markup-compatibility/2006">
          <mc:Choice Requires="x14">
            <control shapeId="146457" r:id="rId22" name="Check Box 7">
              <controlPr defaultSize="0" autoFill="0" autoLine="0" autoPict="0" altText="">
                <anchor moveWithCells="1">
                  <from>
                    <xdr:col>3</xdr:col>
                    <xdr:colOff>838200</xdr:colOff>
                    <xdr:row>8</xdr:row>
                    <xdr:rowOff>22860</xdr:rowOff>
                  </from>
                  <to>
                    <xdr:col>4</xdr:col>
                    <xdr:colOff>190500</xdr:colOff>
                    <xdr:row>8</xdr:row>
                    <xdr:rowOff>236220</xdr:rowOff>
                  </to>
                </anchor>
              </controlPr>
            </control>
          </mc:Choice>
        </mc:AlternateContent>
        <mc:AlternateContent xmlns:mc="http://schemas.openxmlformats.org/markup-compatibility/2006">
          <mc:Choice Requires="x14">
            <control shapeId="146458" r:id="rId23" name="Check Box 3">
              <controlPr defaultSize="0" autoFill="0" autoLine="0" autoPict="0" altText="">
                <anchor moveWithCells="1">
                  <from>
                    <xdr:col>14</xdr:col>
                    <xdr:colOff>220980</xdr:colOff>
                    <xdr:row>8</xdr:row>
                    <xdr:rowOff>0</xdr:rowOff>
                  </from>
                  <to>
                    <xdr:col>14</xdr:col>
                    <xdr:colOff>419100</xdr:colOff>
                    <xdr:row>8</xdr:row>
                    <xdr:rowOff>220980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T45"/>
  <sheetViews>
    <sheetView zoomScaleNormal="100" zoomScaleSheetLayoutView="100" workbookViewId="0">
      <selection activeCell="AK1" sqref="AK1"/>
    </sheetView>
  </sheetViews>
  <sheetFormatPr defaultColWidth="2.33203125" defaultRowHeight="18.899999999999999" customHeight="1"/>
  <cols>
    <col min="1" max="1" width="2.33203125" style="594" customWidth="1"/>
    <col min="2" max="16384" width="2.33203125" style="594"/>
  </cols>
  <sheetData>
    <row r="1" spans="1:46" ht="18.899999999999999" customHeight="1">
      <c r="A1" s="901" t="s">
        <v>3546</v>
      </c>
    </row>
    <row r="3" spans="1:46" ht="18.899999999999999" customHeight="1">
      <c r="Y3" s="2069" t="s">
        <v>2675</v>
      </c>
      <c r="Z3" s="2069"/>
      <c r="AA3" s="2067"/>
      <c r="AB3" s="2067"/>
      <c r="AC3" s="1019" t="s">
        <v>380</v>
      </c>
      <c r="AD3" s="2067"/>
      <c r="AE3" s="2067"/>
      <c r="AF3" s="1019" t="s">
        <v>0</v>
      </c>
      <c r="AG3" s="2067"/>
      <c r="AH3" s="2067"/>
      <c r="AI3" s="1019" t="s">
        <v>3057</v>
      </c>
      <c r="AJ3" s="1019"/>
    </row>
    <row r="5" spans="1:46" ht="18.899999999999999" customHeight="1">
      <c r="A5" s="900" t="s">
        <v>3545</v>
      </c>
      <c r="B5" s="898"/>
      <c r="C5" s="898"/>
      <c r="D5" s="898"/>
      <c r="E5" s="898"/>
      <c r="F5" s="898"/>
      <c r="G5" s="898"/>
      <c r="H5" s="898"/>
      <c r="I5" s="898"/>
      <c r="J5" s="898"/>
      <c r="K5" s="898"/>
      <c r="L5" s="898"/>
      <c r="M5" s="898"/>
      <c r="N5" s="898"/>
      <c r="O5" s="898"/>
      <c r="P5" s="898"/>
      <c r="Q5" s="898"/>
      <c r="R5" s="898"/>
      <c r="S5" s="898"/>
      <c r="T5" s="898"/>
      <c r="U5" s="898"/>
      <c r="V5" s="898"/>
      <c r="W5" s="898"/>
      <c r="X5" s="898"/>
      <c r="Y5" s="898"/>
      <c r="Z5" s="898"/>
      <c r="AA5" s="898"/>
      <c r="AB5" s="898"/>
      <c r="AC5" s="898"/>
      <c r="AD5" s="898"/>
      <c r="AE5" s="898"/>
      <c r="AF5" s="898"/>
      <c r="AG5" s="898"/>
      <c r="AH5" s="898"/>
      <c r="AI5" s="898"/>
    </row>
    <row r="7" spans="1:46" ht="18.899999999999999" customHeight="1">
      <c r="A7" s="594" t="s">
        <v>3267</v>
      </c>
    </row>
    <row r="8" spans="1:46" ht="18.899999999999999" customHeight="1">
      <c r="AT8" s="899"/>
    </row>
    <row r="9" spans="1:46" ht="18.899999999999999" customHeight="1">
      <c r="N9" s="2068"/>
      <c r="O9" s="2068"/>
      <c r="P9" s="2068"/>
    </row>
    <row r="10" spans="1:46" ht="18.899999999999999" customHeight="1">
      <c r="E10" s="2070" t="s">
        <v>3544</v>
      </c>
      <c r="F10" s="2070"/>
      <c r="G10" s="2070"/>
      <c r="H10" s="2070"/>
      <c r="I10" s="2070"/>
      <c r="J10" s="2070"/>
      <c r="K10" s="2070"/>
      <c r="L10" s="2070"/>
      <c r="M10" s="2070"/>
      <c r="N10" s="2070"/>
      <c r="O10" s="2070"/>
      <c r="P10" s="2070"/>
      <c r="S10" s="598" t="s">
        <v>9</v>
      </c>
      <c r="U10" s="2066" t="str">
        <f>cst_wskakunin_owner1__address</f>
        <v>東京都港区虎ノ門1-1-21</v>
      </c>
      <c r="V10" s="2066"/>
      <c r="W10" s="2066"/>
      <c r="X10" s="2066"/>
      <c r="Y10" s="2066"/>
      <c r="Z10" s="2066"/>
      <c r="AA10" s="2066"/>
      <c r="AB10" s="2066"/>
      <c r="AC10" s="2066"/>
      <c r="AD10" s="2066"/>
      <c r="AE10" s="2066"/>
      <c r="AF10" s="2066"/>
      <c r="AG10" s="2066"/>
      <c r="AH10" s="2066"/>
      <c r="AI10" s="2066"/>
      <c r="AJ10" s="2066"/>
    </row>
    <row r="11" spans="1:46" ht="18.899999999999999" customHeight="1">
      <c r="U11" s="2066" t="str">
        <f>cst_wskakunin_owner1_JIMU_NAME</f>
        <v>株式会社ユーイック不動産</v>
      </c>
      <c r="V11" s="2066"/>
      <c r="W11" s="2066"/>
      <c r="X11" s="2066"/>
      <c r="Y11" s="2066"/>
      <c r="Z11" s="2066"/>
      <c r="AA11" s="2066"/>
      <c r="AB11" s="2066"/>
      <c r="AC11" s="2066"/>
      <c r="AD11" s="2066"/>
      <c r="AE11" s="2066"/>
      <c r="AF11" s="2066"/>
      <c r="AG11" s="2066"/>
      <c r="AH11" s="2066"/>
      <c r="AI11" s="2066"/>
      <c r="AJ11" s="2066"/>
    </row>
    <row r="12" spans="1:46" ht="18.899999999999999" customHeight="1">
      <c r="N12" s="605"/>
      <c r="O12" s="605"/>
      <c r="P12" s="605"/>
      <c r="Q12" s="605"/>
      <c r="R12" s="605"/>
      <c r="S12" s="605"/>
      <c r="U12" s="2066" t="str">
        <f>cst_wskakunin_owner1_POST</f>
        <v>代表取締役社長</v>
      </c>
      <c r="V12" s="2066"/>
      <c r="W12" s="2066"/>
      <c r="X12" s="2066"/>
      <c r="Y12" s="2066"/>
      <c r="Z12" s="2066"/>
      <c r="AA12" s="2066"/>
      <c r="AB12" s="2066"/>
      <c r="AC12" s="2066"/>
      <c r="AD12" s="2066"/>
      <c r="AE12" s="2066"/>
      <c r="AF12" s="2066"/>
      <c r="AG12" s="2066"/>
      <c r="AH12" s="2066"/>
      <c r="AI12" s="2066"/>
      <c r="AJ12" s="2066"/>
    </row>
    <row r="13" spans="1:46" ht="18.899999999999999" customHeight="1">
      <c r="S13" s="598" t="s">
        <v>7</v>
      </c>
      <c r="U13" s="2066" t="str">
        <f>cst_wskakunin_owner1_NAME</f>
        <v>野崎　豊</v>
      </c>
      <c r="V13" s="2066"/>
      <c r="W13" s="2066"/>
      <c r="X13" s="2066"/>
      <c r="Y13" s="2066"/>
      <c r="Z13" s="2066"/>
      <c r="AA13" s="2066"/>
      <c r="AB13" s="2066"/>
      <c r="AC13" s="2066"/>
      <c r="AD13" s="2066"/>
      <c r="AE13" s="2066"/>
      <c r="AF13" s="2066"/>
      <c r="AG13" s="2066"/>
      <c r="AH13" s="2066"/>
      <c r="AI13" s="594" t="s">
        <v>3295</v>
      </c>
    </row>
    <row r="15" spans="1:46" ht="18.899999999999999" customHeight="1">
      <c r="A15" s="594" t="s">
        <v>3291</v>
      </c>
      <c r="D15" s="2066" t="str">
        <f>cst_wskakunin_dairi1_JIMU_NAME</f>
        <v>一級建築士事務所　UHEC</v>
      </c>
      <c r="E15" s="2066"/>
      <c r="F15" s="2066"/>
      <c r="G15" s="2066"/>
      <c r="H15" s="2066"/>
      <c r="I15" s="2066"/>
      <c r="J15" s="2066"/>
      <c r="K15" s="2066"/>
      <c r="L15" s="2066"/>
      <c r="M15" s="2066"/>
      <c r="N15" s="2066"/>
      <c r="O15" s="2066"/>
      <c r="P15" s="2066"/>
      <c r="Q15" s="2066"/>
      <c r="R15" s="2066"/>
      <c r="S15" s="2066"/>
      <c r="T15" s="2066"/>
      <c r="U15" s="2066"/>
      <c r="V15" s="596"/>
      <c r="W15" s="596"/>
      <c r="X15" s="596"/>
      <c r="Y15" s="596"/>
      <c r="Z15" s="596"/>
      <c r="AA15" s="596"/>
      <c r="AB15" s="596"/>
      <c r="AC15" s="596"/>
      <c r="AD15" s="596"/>
      <c r="AE15" s="596"/>
      <c r="AF15" s="596"/>
      <c r="AG15" s="596"/>
      <c r="AH15" s="596"/>
      <c r="AI15" s="596"/>
      <c r="AJ15" s="596"/>
    </row>
    <row r="16" spans="1:46" ht="18.899999999999999" customHeight="1">
      <c r="D16" s="2066" t="str">
        <f>cst_wskakunin_dairi1_NAME</f>
        <v>藤田　ゆき子</v>
      </c>
      <c r="E16" s="2066"/>
      <c r="F16" s="2066"/>
      <c r="G16" s="2066"/>
      <c r="H16" s="2066"/>
      <c r="I16" s="2066"/>
      <c r="J16" s="2066"/>
      <c r="K16" s="2066"/>
      <c r="L16" s="2066"/>
      <c r="M16" s="2066"/>
      <c r="N16" s="2066"/>
      <c r="O16" s="2066"/>
      <c r="P16" s="2066"/>
      <c r="Q16" s="2066"/>
      <c r="R16" s="2076" t="s">
        <v>3543</v>
      </c>
      <c r="S16" s="2076"/>
      <c r="T16" s="2076"/>
      <c r="U16" s="2076"/>
      <c r="V16" s="2076"/>
      <c r="W16" s="2076"/>
      <c r="X16" s="2076"/>
      <c r="Y16" s="2076"/>
      <c r="Z16" s="2076"/>
      <c r="AA16" s="2076"/>
      <c r="AB16" s="2076"/>
      <c r="AC16" s="2076"/>
      <c r="AD16" s="2076"/>
      <c r="AE16" s="2076"/>
      <c r="AF16" s="2076"/>
      <c r="AG16" s="2076"/>
      <c r="AH16" s="2076"/>
      <c r="AI16" s="2076"/>
      <c r="AJ16" s="2076"/>
    </row>
    <row r="17" spans="1:35" ht="18.899999999999999" customHeight="1">
      <c r="A17" s="594" t="s">
        <v>3542</v>
      </c>
    </row>
    <row r="19" spans="1:35" ht="18.899999999999999" customHeight="1">
      <c r="A19" s="898" t="s">
        <v>3287</v>
      </c>
      <c r="B19" s="898"/>
      <c r="C19" s="898"/>
      <c r="D19" s="898"/>
      <c r="E19" s="898"/>
      <c r="F19" s="898"/>
      <c r="G19" s="898"/>
      <c r="H19" s="898"/>
      <c r="I19" s="898"/>
      <c r="J19" s="898"/>
      <c r="K19" s="898"/>
      <c r="L19" s="898"/>
      <c r="M19" s="898"/>
      <c r="N19" s="898"/>
      <c r="O19" s="898"/>
      <c r="P19" s="898"/>
      <c r="Q19" s="898"/>
      <c r="R19" s="898"/>
      <c r="S19" s="898"/>
      <c r="T19" s="898"/>
      <c r="U19" s="898"/>
      <c r="V19" s="898"/>
      <c r="W19" s="898"/>
      <c r="X19" s="898"/>
      <c r="Y19" s="898"/>
      <c r="Z19" s="898"/>
      <c r="AA19" s="898"/>
      <c r="AB19" s="898"/>
      <c r="AC19" s="898"/>
      <c r="AD19" s="898"/>
      <c r="AE19" s="898"/>
      <c r="AF19" s="898"/>
      <c r="AG19" s="898"/>
      <c r="AH19" s="898"/>
      <c r="AI19" s="898"/>
    </row>
    <row r="21" spans="1:35" ht="18.899999999999999" customHeight="1">
      <c r="B21" s="594" t="s">
        <v>3541</v>
      </c>
    </row>
    <row r="22" spans="1:35" ht="18.899999999999999" customHeight="1">
      <c r="C22" s="2073" t="str">
        <f>cst_wskakunin_BUILD__address</f>
        <v>東京都港区虎ノ門１－１－１</v>
      </c>
      <c r="D22" s="2073"/>
      <c r="E22" s="2073"/>
      <c r="F22" s="2073"/>
      <c r="G22" s="2073"/>
      <c r="H22" s="2073"/>
      <c r="I22" s="2073"/>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73"/>
      <c r="AH22" s="2073"/>
      <c r="AI22" s="2073"/>
    </row>
    <row r="23" spans="1:35" ht="18.899999999999999" customHeight="1">
      <c r="C23" s="2074"/>
      <c r="D23" s="2074"/>
      <c r="E23" s="2074"/>
      <c r="F23" s="2074"/>
      <c r="G23" s="2074"/>
      <c r="H23" s="2074"/>
      <c r="I23" s="2074"/>
      <c r="J23" s="2074"/>
      <c r="K23" s="2074"/>
      <c r="L23" s="2074"/>
      <c r="M23" s="2074"/>
      <c r="N23" s="2074"/>
      <c r="O23" s="2074"/>
      <c r="P23" s="2074"/>
      <c r="Q23" s="2074"/>
      <c r="R23" s="2074"/>
      <c r="S23" s="2074"/>
      <c r="T23" s="2074"/>
      <c r="U23" s="2074"/>
      <c r="V23" s="2074"/>
      <c r="W23" s="2074"/>
      <c r="X23" s="2074"/>
      <c r="Y23" s="2074"/>
      <c r="Z23" s="2074"/>
      <c r="AA23" s="2074"/>
      <c r="AB23" s="2074"/>
      <c r="AC23" s="2074"/>
      <c r="AD23" s="2074"/>
      <c r="AE23" s="2074"/>
      <c r="AF23" s="2074"/>
      <c r="AG23" s="2074"/>
      <c r="AH23" s="2074"/>
      <c r="AI23" s="2074"/>
    </row>
    <row r="24" spans="1:35" ht="18.899999999999999" customHeight="1">
      <c r="B24" s="594" t="s">
        <v>3285</v>
      </c>
    </row>
    <row r="25" spans="1:35" ht="18.899999999999999" customHeight="1">
      <c r="C25" s="2072" t="str">
        <f>cst_wskakunin_BUILD_NAME</f>
        <v>テスト新築工事</v>
      </c>
      <c r="D25" s="2072"/>
      <c r="E25" s="2072"/>
      <c r="F25" s="2072"/>
      <c r="G25" s="2072"/>
      <c r="H25" s="2072"/>
      <c r="I25" s="2072"/>
      <c r="J25" s="2072"/>
      <c r="K25" s="2072"/>
      <c r="L25" s="2072"/>
      <c r="M25" s="2072"/>
      <c r="N25" s="2072"/>
      <c r="O25" s="2072"/>
      <c r="P25" s="2072"/>
      <c r="Q25" s="2072"/>
      <c r="R25" s="2072"/>
      <c r="S25" s="2072"/>
      <c r="T25" s="2072"/>
      <c r="U25" s="2072"/>
      <c r="V25" s="2072"/>
      <c r="W25" s="2072"/>
      <c r="X25" s="2072"/>
      <c r="Y25" s="2072"/>
      <c r="Z25" s="2072"/>
      <c r="AA25" s="2072"/>
      <c r="AB25" s="2072"/>
      <c r="AC25" s="2072"/>
      <c r="AD25" s="2072"/>
      <c r="AE25" s="2072"/>
      <c r="AF25" s="2072"/>
      <c r="AG25" s="2072"/>
      <c r="AH25" s="2072"/>
      <c r="AI25" s="2072"/>
    </row>
    <row r="26" spans="1:35" ht="18.899999999999999" customHeight="1">
      <c r="C26" s="2075"/>
      <c r="D26" s="2075"/>
      <c r="E26" s="2075"/>
      <c r="F26" s="2075"/>
      <c r="G26" s="2075"/>
      <c r="H26" s="2075"/>
      <c r="I26" s="2075"/>
      <c r="J26" s="2075"/>
      <c r="K26" s="2075"/>
      <c r="L26" s="2075"/>
      <c r="M26" s="2075"/>
      <c r="N26" s="2075"/>
      <c r="O26" s="2075"/>
      <c r="P26" s="2075"/>
      <c r="Q26" s="2075"/>
      <c r="R26" s="2075"/>
      <c r="S26" s="2075"/>
      <c r="T26" s="2075"/>
      <c r="U26" s="2075"/>
      <c r="V26" s="2075"/>
      <c r="W26" s="2075"/>
      <c r="X26" s="2075"/>
      <c r="Y26" s="2075"/>
      <c r="Z26" s="2075"/>
      <c r="AA26" s="2075"/>
      <c r="AB26" s="2075"/>
      <c r="AC26" s="2075"/>
      <c r="AD26" s="2075"/>
      <c r="AE26" s="2075"/>
      <c r="AF26" s="2075"/>
      <c r="AG26" s="2075"/>
      <c r="AH26" s="2075"/>
      <c r="AI26" s="2075"/>
    </row>
    <row r="27" spans="1:35" ht="18.899999999999999" customHeight="1">
      <c r="B27" s="594" t="s">
        <v>3540</v>
      </c>
      <c r="X27" s="594" t="s">
        <v>3539</v>
      </c>
    </row>
    <row r="28" spans="1:35" ht="18.899999999999999" customHeight="1">
      <c r="C28" s="1017" t="str">
        <f>IF(wsjob_JOB_KIND=101,"■","□")</f>
        <v>□</v>
      </c>
      <c r="D28" s="595" t="s">
        <v>3538</v>
      </c>
      <c r="E28" s="595"/>
      <c r="K28" s="1017" t="str">
        <f>IF(wsjob_JOB_KIND=111,"■","□")</f>
        <v>□</v>
      </c>
      <c r="L28" s="595" t="s">
        <v>3537</v>
      </c>
      <c r="Y28" s="1017" t="str">
        <f>cst_wsjob_KENTIKUBUTU_box</f>
        <v>■</v>
      </c>
      <c r="Z28" s="595" t="s">
        <v>1215</v>
      </c>
    </row>
    <row r="29" spans="1:35" ht="18.899999999999999" customHeight="1">
      <c r="C29" s="1017" t="str">
        <f>IF(wsjob_JOB_KIND=102,"■","□")</f>
        <v>□</v>
      </c>
      <c r="D29" s="595" t="s">
        <v>3536</v>
      </c>
      <c r="E29" s="595"/>
      <c r="F29" s="595"/>
      <c r="K29" s="1017" t="str">
        <f>IF(wsjob_JOB_KIND=112,"■","□")</f>
        <v>□</v>
      </c>
      <c r="L29" s="595" t="s">
        <v>3535</v>
      </c>
      <c r="Y29" s="1017" t="str">
        <f>cst_wsjob_SYOUKOUKI_box</f>
        <v>□</v>
      </c>
      <c r="Z29" s="595" t="s">
        <v>3534</v>
      </c>
      <c r="AA29" s="595"/>
      <c r="AB29" s="595"/>
      <c r="AC29" s="595"/>
    </row>
    <row r="30" spans="1:35" ht="18.899999999999999" customHeight="1">
      <c r="C30" s="1017" t="str">
        <f>IF(wsjob_JOB_KIND=103,"■","□")</f>
        <v>□</v>
      </c>
      <c r="D30" s="595" t="s">
        <v>1224</v>
      </c>
      <c r="E30" s="595"/>
      <c r="F30" s="595"/>
      <c r="K30" s="1017" t="str">
        <f>IF(wsjob_JOB_KIND=113,"■","□")</f>
        <v>□</v>
      </c>
      <c r="L30" s="595" t="s">
        <v>3533</v>
      </c>
      <c r="Y30" s="1017" t="str">
        <f>cst_wsjob_KENTIKUSETUBI_box</f>
        <v>□</v>
      </c>
      <c r="Z30" s="595" t="s">
        <v>3532</v>
      </c>
      <c r="AA30" s="595"/>
      <c r="AB30" s="595"/>
      <c r="AC30" s="595"/>
      <c r="AD30" s="595"/>
      <c r="AE30" s="595"/>
    </row>
    <row r="31" spans="1:35" ht="18.899999999999999" customHeight="1">
      <c r="C31" s="1017" t="str">
        <f>IF(wsjob_JOB_KIND=104,"■","□")</f>
        <v>■</v>
      </c>
      <c r="D31" s="595" t="s">
        <v>1225</v>
      </c>
      <c r="E31" s="595"/>
      <c r="F31" s="595"/>
      <c r="K31" s="1017" t="str">
        <f>IF(wsjob_JOB_KIND=114,"■","□")</f>
        <v>□</v>
      </c>
      <c r="L31" s="595" t="s">
        <v>3531</v>
      </c>
      <c r="Y31" s="1017" t="str">
        <f>cst_wsjob_KOUSAKUBUTU_1_box</f>
        <v>□</v>
      </c>
      <c r="Z31" s="595" t="s">
        <v>3530</v>
      </c>
      <c r="AA31" s="595"/>
      <c r="AB31" s="595"/>
      <c r="AC31" s="595"/>
      <c r="AD31" s="595"/>
      <c r="AE31" s="595"/>
    </row>
    <row r="32" spans="1:35" ht="18.899999999999999" customHeight="1">
      <c r="C32" s="1018" t="s">
        <v>40</v>
      </c>
      <c r="D32" s="595" t="s">
        <v>3529</v>
      </c>
      <c r="E32" s="595"/>
      <c r="F32" s="595"/>
      <c r="Y32" s="1017" t="str">
        <f>cst_wsjob_KOUSAKUBUTU_2_box</f>
        <v>□</v>
      </c>
      <c r="Z32" s="595" t="s">
        <v>3528</v>
      </c>
      <c r="AA32" s="595"/>
      <c r="AB32" s="595"/>
      <c r="AC32" s="595"/>
      <c r="AD32" s="595"/>
      <c r="AE32" s="595"/>
    </row>
    <row r="33" spans="3:31" ht="18.899999999999999" customHeight="1">
      <c r="C33" s="1018" t="s">
        <v>40</v>
      </c>
      <c r="D33" s="595" t="s">
        <v>3278</v>
      </c>
      <c r="E33" s="595"/>
      <c r="F33" s="595"/>
      <c r="H33" s="598" t="s">
        <v>2</v>
      </c>
      <c r="I33" s="2071"/>
      <c r="J33" s="2071"/>
      <c r="K33" s="2071"/>
      <c r="L33" s="2071"/>
      <c r="M33" s="2071"/>
      <c r="N33" s="2071"/>
      <c r="O33" s="2071"/>
      <c r="P33" s="2071"/>
      <c r="Q33" s="2071"/>
      <c r="R33" s="2071"/>
      <c r="S33" s="2071"/>
      <c r="T33" s="2071"/>
      <c r="U33" s="594" t="s">
        <v>3</v>
      </c>
      <c r="Y33" s="595"/>
      <c r="Z33" s="595"/>
      <c r="AA33" s="595"/>
      <c r="AB33" s="595"/>
      <c r="AC33" s="595"/>
      <c r="AD33" s="595"/>
      <c r="AE33" s="595"/>
    </row>
    <row r="36" spans="3:31" ht="18.899999999999999" customHeight="1">
      <c r="C36" s="595"/>
      <c r="D36" s="595"/>
    </row>
    <row r="37" spans="3:31" ht="18.899999999999999" customHeight="1">
      <c r="C37" s="595"/>
      <c r="D37" s="595"/>
      <c r="E37" s="595"/>
    </row>
    <row r="38" spans="3:31" ht="18.899999999999999" customHeight="1">
      <c r="C38" s="595"/>
      <c r="D38" s="595"/>
      <c r="E38" s="595"/>
      <c r="F38" s="595"/>
      <c r="G38" s="595"/>
      <c r="H38" s="595"/>
    </row>
    <row r="40" spans="3:31" ht="18.899999999999999" customHeight="1">
      <c r="C40" s="595"/>
      <c r="D40" s="595"/>
      <c r="X40" s="595"/>
      <c r="Y40" s="595"/>
      <c r="Z40" s="595"/>
    </row>
    <row r="41" spans="3:31" ht="18.899999999999999" customHeight="1">
      <c r="C41" s="595"/>
      <c r="D41" s="595"/>
      <c r="Y41" s="595"/>
      <c r="Z41" s="595"/>
    </row>
    <row r="42" spans="3:31" ht="18.899999999999999" customHeight="1">
      <c r="Y42" s="595"/>
      <c r="Z42" s="595"/>
    </row>
    <row r="43" spans="3:31" ht="18.899999999999999" customHeight="1">
      <c r="D43" s="595"/>
    </row>
    <row r="44" spans="3:31" ht="18.899999999999999" customHeight="1">
      <c r="E44" s="595"/>
      <c r="F44" s="595"/>
      <c r="G44" s="595"/>
    </row>
    <row r="45" spans="3:31" ht="18.899999999999999" customHeight="1">
      <c r="C45" s="595"/>
      <c r="D45" s="595"/>
      <c r="E45" s="595"/>
      <c r="F45" s="595"/>
      <c r="G45" s="595"/>
      <c r="H45" s="595"/>
      <c r="I45" s="595"/>
      <c r="J45" s="595"/>
      <c r="K45" s="595"/>
      <c r="L45" s="595"/>
      <c r="M45" s="595"/>
      <c r="N45" s="595"/>
      <c r="O45" s="595"/>
      <c r="P45" s="595"/>
      <c r="Q45" s="595"/>
      <c r="R45" s="595"/>
      <c r="S45" s="595"/>
      <c r="T45" s="595"/>
    </row>
  </sheetData>
  <mergeCells count="18">
    <mergeCell ref="I33:T33"/>
    <mergeCell ref="D15:U15"/>
    <mergeCell ref="C25:AI25"/>
    <mergeCell ref="D16:Q16"/>
    <mergeCell ref="C22:AI22"/>
    <mergeCell ref="C23:AI23"/>
    <mergeCell ref="C26:AI26"/>
    <mergeCell ref="R16:AJ16"/>
    <mergeCell ref="U13:AH13"/>
    <mergeCell ref="U12:AJ12"/>
    <mergeCell ref="AG3:AH3"/>
    <mergeCell ref="N9:P9"/>
    <mergeCell ref="Y3:Z3"/>
    <mergeCell ref="AA3:AB3"/>
    <mergeCell ref="AD3:AE3"/>
    <mergeCell ref="U10:AJ10"/>
    <mergeCell ref="U11:AJ11"/>
    <mergeCell ref="E10:P10"/>
  </mergeCells>
  <phoneticPr fontId="122"/>
  <dataValidations count="5">
    <dataValidation type="list" allowBlank="1" showInputMessage="1" showErrorMessage="1" sqref="C32:C33 C36:C38 C40:C41 C45 D43 X40 Y33 Y40:Y42" xr:uid="{00000000-0002-0000-2D00-000000000000}">
      <formula1>"□,■"</formula1>
    </dataValidation>
    <dataValidation type="whole" allowBlank="1" showInputMessage="1" showErrorMessage="1" sqref="AG3:AH3" xr:uid="{00000000-0002-0000-2D00-000001000000}">
      <formula1>1</formula1>
      <formula2>31</formula2>
    </dataValidation>
    <dataValidation type="whole" allowBlank="1" showInputMessage="1" showErrorMessage="1" sqref="AD3:AE3" xr:uid="{00000000-0002-0000-2D00-000002000000}">
      <formula1>1</formula1>
      <formula2>12</formula2>
    </dataValidation>
    <dataValidation type="whole" allowBlank="1" showInputMessage="1" showErrorMessage="1" sqref="AA3:AB3" xr:uid="{00000000-0002-0000-2D00-000003000000}">
      <formula1>1</formula1>
      <formula2>99</formula2>
    </dataValidation>
    <dataValidation type="list" allowBlank="1" showInputMessage="1" sqref="C28:C31 K28:K31 Y28:Y32" xr:uid="{00000000-0002-0000-2D00-000004000000}">
      <formula1>"□,■"</formula1>
    </dataValidation>
  </dataValidations>
  <pageMargins left="0.98425196850393704" right="0.78740157480314965" top="0.39370078740157483" bottom="0.39370078740157483" header="0.51181102362204722" footer="0.19685039370078741"/>
  <pageSetup paperSize="9" scale="94" orientation="portrait" blackAndWhite="1" r:id="rId1"/>
  <headerFooter alignWithMargins="0">
    <oddFooter>&amp;R&amp;9 2025.04.01版</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T45"/>
  <sheetViews>
    <sheetView zoomScaleNormal="100" zoomScaleSheetLayoutView="100" workbookViewId="0">
      <selection activeCell="AK1" sqref="AK1"/>
    </sheetView>
  </sheetViews>
  <sheetFormatPr defaultColWidth="2.33203125" defaultRowHeight="18.899999999999999" customHeight="1"/>
  <cols>
    <col min="1" max="1" width="2.33203125" style="594" customWidth="1"/>
    <col min="2" max="16384" width="2.33203125" style="594"/>
  </cols>
  <sheetData>
    <row r="1" spans="1:46" ht="18.899999999999999" customHeight="1">
      <c r="A1" s="901" t="s">
        <v>3546</v>
      </c>
    </row>
    <row r="3" spans="1:46" ht="18.899999999999999" customHeight="1">
      <c r="Y3" s="2069" t="s">
        <v>3276</v>
      </c>
      <c r="Z3" s="2069"/>
      <c r="AA3" s="2069"/>
      <c r="AB3" s="2069"/>
      <c r="AC3" s="2069"/>
      <c r="AD3" s="2069"/>
      <c r="AE3" s="2069"/>
      <c r="AF3" s="2069"/>
      <c r="AG3" s="2069"/>
      <c r="AH3" s="2069"/>
      <c r="AI3" s="2069"/>
      <c r="AJ3" s="2069"/>
    </row>
    <row r="5" spans="1:46" ht="18.899999999999999" customHeight="1">
      <c r="A5" s="900" t="s">
        <v>3545</v>
      </c>
      <c r="B5" s="898"/>
      <c r="C5" s="898"/>
      <c r="D5" s="898"/>
      <c r="E5" s="898"/>
      <c r="F5" s="898"/>
      <c r="G5" s="898"/>
      <c r="H5" s="898"/>
      <c r="I5" s="898"/>
      <c r="J5" s="898"/>
      <c r="K5" s="898"/>
      <c r="L5" s="898"/>
      <c r="M5" s="898"/>
      <c r="N5" s="898"/>
      <c r="O5" s="898"/>
      <c r="P5" s="898"/>
      <c r="Q5" s="898"/>
      <c r="R5" s="898"/>
      <c r="S5" s="898"/>
      <c r="T5" s="898"/>
      <c r="U5" s="898"/>
      <c r="V5" s="898"/>
      <c r="W5" s="898"/>
      <c r="X5" s="898"/>
      <c r="Y5" s="898"/>
      <c r="Z5" s="898"/>
      <c r="AA5" s="898"/>
      <c r="AB5" s="898"/>
      <c r="AC5" s="898"/>
      <c r="AD5" s="898"/>
      <c r="AE5" s="898"/>
      <c r="AF5" s="898"/>
      <c r="AG5" s="898"/>
      <c r="AH5" s="898"/>
      <c r="AI5" s="898"/>
    </row>
    <row r="7" spans="1:46" ht="18.899999999999999" customHeight="1">
      <c r="A7" s="594" t="s">
        <v>3267</v>
      </c>
    </row>
    <row r="8" spans="1:46" ht="18.899999999999999" customHeight="1">
      <c r="AT8" s="899"/>
    </row>
    <row r="9" spans="1:46" ht="18.899999999999999" customHeight="1">
      <c r="N9" s="2068"/>
      <c r="O9" s="2068"/>
      <c r="P9" s="2068"/>
    </row>
    <row r="10" spans="1:46" ht="18.899999999999999" customHeight="1">
      <c r="E10" s="2070" t="s">
        <v>3544</v>
      </c>
      <c r="F10" s="2070"/>
      <c r="G10" s="2070"/>
      <c r="H10" s="2070"/>
      <c r="I10" s="2070"/>
      <c r="J10" s="2070"/>
      <c r="K10" s="2070"/>
      <c r="L10" s="2070"/>
      <c r="M10" s="2070"/>
      <c r="N10" s="2070"/>
      <c r="O10" s="2070"/>
      <c r="P10" s="2070"/>
      <c r="S10" s="598" t="s">
        <v>9</v>
      </c>
      <c r="U10" s="2066" t="str">
        <f>cst_wskakunin_owner1__address</f>
        <v>東京都港区虎ノ門1-1-21</v>
      </c>
      <c r="V10" s="2066"/>
      <c r="W10" s="2066"/>
      <c r="X10" s="2066"/>
      <c r="Y10" s="2066"/>
      <c r="Z10" s="2066"/>
      <c r="AA10" s="2066"/>
      <c r="AB10" s="2066"/>
      <c r="AC10" s="2066"/>
      <c r="AD10" s="2066"/>
      <c r="AE10" s="2066"/>
      <c r="AF10" s="2066"/>
      <c r="AG10" s="2066"/>
      <c r="AH10" s="2066"/>
      <c r="AI10" s="2066"/>
      <c r="AJ10" s="2066"/>
    </row>
    <row r="11" spans="1:46" ht="18.899999999999999" customHeight="1">
      <c r="U11" s="2066" t="str">
        <f>cst_wskakunin_owner1_JIMU_NAME</f>
        <v>株式会社ユーイック不動産</v>
      </c>
      <c r="V11" s="2066"/>
      <c r="W11" s="2066"/>
      <c r="X11" s="2066"/>
      <c r="Y11" s="2066"/>
      <c r="Z11" s="2066"/>
      <c r="AA11" s="2066"/>
      <c r="AB11" s="2066"/>
      <c r="AC11" s="2066"/>
      <c r="AD11" s="2066"/>
      <c r="AE11" s="2066"/>
      <c r="AF11" s="2066"/>
      <c r="AG11" s="2066"/>
      <c r="AH11" s="2066"/>
      <c r="AI11" s="2066"/>
      <c r="AJ11" s="2066"/>
    </row>
    <row r="12" spans="1:46" ht="18.899999999999999" customHeight="1">
      <c r="N12" s="605"/>
      <c r="O12" s="605"/>
      <c r="P12" s="605"/>
      <c r="Q12" s="605"/>
      <c r="R12" s="605"/>
      <c r="S12" s="605"/>
      <c r="U12" s="2066" t="str">
        <f>cst_wskakunin_owner1_POST</f>
        <v>代表取締役社長</v>
      </c>
      <c r="V12" s="2066"/>
      <c r="W12" s="2066"/>
      <c r="X12" s="2066"/>
      <c r="Y12" s="2066"/>
      <c r="Z12" s="2066"/>
      <c r="AA12" s="2066"/>
      <c r="AB12" s="2066"/>
      <c r="AC12" s="2066"/>
      <c r="AD12" s="2066"/>
      <c r="AE12" s="2066"/>
      <c r="AF12" s="2066"/>
      <c r="AG12" s="2066"/>
      <c r="AH12" s="2066"/>
      <c r="AI12" s="2066"/>
      <c r="AJ12" s="2066"/>
    </row>
    <row r="13" spans="1:46" ht="18.899999999999999" customHeight="1">
      <c r="S13" s="598" t="s">
        <v>7</v>
      </c>
      <c r="U13" s="2066" t="str">
        <f>cst_wskakunin_owner1_NAME</f>
        <v>野崎　豊</v>
      </c>
      <c r="V13" s="2066"/>
      <c r="W13" s="2066"/>
      <c r="X13" s="2066"/>
      <c r="Y13" s="2066"/>
      <c r="Z13" s="2066"/>
      <c r="AA13" s="2066"/>
      <c r="AB13" s="2066"/>
      <c r="AC13" s="2066"/>
      <c r="AD13" s="2066"/>
      <c r="AE13" s="2066"/>
      <c r="AF13" s="2066"/>
      <c r="AG13" s="2066"/>
      <c r="AH13" s="2066"/>
      <c r="AI13" s="2066"/>
      <c r="AJ13" s="2066"/>
    </row>
    <row r="15" spans="1:46" ht="18.899999999999999" customHeight="1">
      <c r="A15" s="594" t="s">
        <v>3291</v>
      </c>
      <c r="D15" s="2066" t="str">
        <f>cst_wskakunin_dairi1_JIMU_NAME</f>
        <v>一級建築士事務所　UHEC</v>
      </c>
      <c r="E15" s="2066"/>
      <c r="F15" s="2066"/>
      <c r="G15" s="2066"/>
      <c r="H15" s="2066"/>
      <c r="I15" s="2066"/>
      <c r="J15" s="2066"/>
      <c r="K15" s="2066"/>
      <c r="L15" s="2066"/>
      <c r="M15" s="2066"/>
      <c r="N15" s="2066"/>
      <c r="O15" s="2066"/>
      <c r="P15" s="2066"/>
      <c r="Q15" s="2066"/>
      <c r="R15" s="2066"/>
      <c r="S15" s="2066"/>
      <c r="T15" s="2066"/>
      <c r="U15" s="2066"/>
      <c r="V15" s="596"/>
      <c r="W15" s="596"/>
      <c r="X15" s="596"/>
      <c r="Y15" s="596"/>
      <c r="Z15" s="596"/>
      <c r="AA15" s="596"/>
      <c r="AB15" s="596"/>
      <c r="AC15" s="596"/>
      <c r="AD15" s="596"/>
      <c r="AE15" s="596"/>
      <c r="AF15" s="596"/>
      <c r="AG15" s="596"/>
      <c r="AH15" s="596"/>
      <c r="AI15" s="596"/>
      <c r="AJ15" s="596"/>
    </row>
    <row r="16" spans="1:46" ht="18.899999999999999" customHeight="1">
      <c r="D16" s="2066" t="str">
        <f>cst_wskakunin_dairi1_NAME</f>
        <v>藤田　ゆき子</v>
      </c>
      <c r="E16" s="2066"/>
      <c r="F16" s="2066"/>
      <c r="G16" s="2066"/>
      <c r="H16" s="2066"/>
      <c r="I16" s="2066"/>
      <c r="J16" s="2066"/>
      <c r="K16" s="2066"/>
      <c r="L16" s="2066"/>
      <c r="M16" s="2066"/>
      <c r="N16" s="2066"/>
      <c r="O16" s="2066"/>
      <c r="P16" s="2066"/>
      <c r="Q16" s="2066"/>
      <c r="R16" s="2076" t="s">
        <v>3543</v>
      </c>
      <c r="S16" s="2076"/>
      <c r="T16" s="2076"/>
      <c r="U16" s="2076"/>
      <c r="V16" s="2076"/>
      <c r="W16" s="2076"/>
      <c r="X16" s="2076"/>
      <c r="Y16" s="2076"/>
      <c r="Z16" s="2076"/>
      <c r="AA16" s="2076"/>
      <c r="AB16" s="2076"/>
      <c r="AC16" s="2076"/>
      <c r="AD16" s="2076"/>
      <c r="AE16" s="2076"/>
      <c r="AF16" s="2076"/>
      <c r="AG16" s="2076"/>
      <c r="AH16" s="2076"/>
      <c r="AI16" s="2076"/>
      <c r="AJ16" s="2076"/>
    </row>
    <row r="17" spans="1:35" ht="18.899999999999999" customHeight="1">
      <c r="A17" s="594" t="s">
        <v>3542</v>
      </c>
    </row>
    <row r="19" spans="1:35" ht="18.899999999999999" customHeight="1">
      <c r="A19" s="898" t="s">
        <v>3287</v>
      </c>
      <c r="B19" s="898"/>
      <c r="C19" s="898"/>
      <c r="D19" s="898"/>
      <c r="E19" s="898"/>
      <c r="F19" s="898"/>
      <c r="G19" s="898"/>
      <c r="H19" s="898"/>
      <c r="I19" s="898"/>
      <c r="J19" s="898"/>
      <c r="K19" s="898"/>
      <c r="L19" s="898"/>
      <c r="M19" s="898"/>
      <c r="N19" s="898"/>
      <c r="O19" s="898"/>
      <c r="P19" s="898"/>
      <c r="Q19" s="898"/>
      <c r="R19" s="898"/>
      <c r="S19" s="898"/>
      <c r="T19" s="898"/>
      <c r="U19" s="898"/>
      <c r="V19" s="898"/>
      <c r="W19" s="898"/>
      <c r="X19" s="898"/>
      <c r="Y19" s="898"/>
      <c r="Z19" s="898"/>
      <c r="AA19" s="898"/>
      <c r="AB19" s="898"/>
      <c r="AC19" s="898"/>
      <c r="AD19" s="898"/>
      <c r="AE19" s="898"/>
      <c r="AF19" s="898"/>
      <c r="AG19" s="898"/>
      <c r="AH19" s="898"/>
      <c r="AI19" s="898"/>
    </row>
    <row r="21" spans="1:35" ht="18.899999999999999" customHeight="1">
      <c r="B21" s="594" t="s">
        <v>3541</v>
      </c>
    </row>
    <row r="22" spans="1:35" ht="18.899999999999999" customHeight="1">
      <c r="C22" s="2073" t="str">
        <f>cst_wskakunin_BUILD__address</f>
        <v>東京都港区虎ノ門１－１－１</v>
      </c>
      <c r="D22" s="2073"/>
      <c r="E22" s="2073"/>
      <c r="F22" s="2073"/>
      <c r="G22" s="2073"/>
      <c r="H22" s="2073"/>
      <c r="I22" s="2073"/>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73"/>
      <c r="AH22" s="2073"/>
      <c r="AI22" s="2073"/>
    </row>
    <row r="23" spans="1:35" ht="18.899999999999999" customHeight="1">
      <c r="C23" s="2074"/>
      <c r="D23" s="2074"/>
      <c r="E23" s="2074"/>
      <c r="F23" s="2074"/>
      <c r="G23" s="2074"/>
      <c r="H23" s="2074"/>
      <c r="I23" s="2074"/>
      <c r="J23" s="2074"/>
      <c r="K23" s="2074"/>
      <c r="L23" s="2074"/>
      <c r="M23" s="2074"/>
      <c r="N23" s="2074"/>
      <c r="O23" s="2074"/>
      <c r="P23" s="2074"/>
      <c r="Q23" s="2074"/>
      <c r="R23" s="2074"/>
      <c r="S23" s="2074"/>
      <c r="T23" s="2074"/>
      <c r="U23" s="2074"/>
      <c r="V23" s="2074"/>
      <c r="W23" s="2074"/>
      <c r="X23" s="2074"/>
      <c r="Y23" s="2074"/>
      <c r="Z23" s="2074"/>
      <c r="AA23" s="2074"/>
      <c r="AB23" s="2074"/>
      <c r="AC23" s="2074"/>
      <c r="AD23" s="2074"/>
      <c r="AE23" s="2074"/>
      <c r="AF23" s="2074"/>
      <c r="AG23" s="2074"/>
      <c r="AH23" s="2074"/>
      <c r="AI23" s="2074"/>
    </row>
    <row r="24" spans="1:35" ht="18.899999999999999" customHeight="1">
      <c r="B24" s="594" t="s">
        <v>3285</v>
      </c>
    </row>
    <row r="25" spans="1:35" ht="18.899999999999999" customHeight="1">
      <c r="C25" s="2072" t="str">
        <f>cst_wskakunin_BUILD_NAME</f>
        <v>テスト新築工事</v>
      </c>
      <c r="D25" s="2072"/>
      <c r="E25" s="2072"/>
      <c r="F25" s="2072"/>
      <c r="G25" s="2072"/>
      <c r="H25" s="2072"/>
      <c r="I25" s="2072"/>
      <c r="J25" s="2072"/>
      <c r="K25" s="2072"/>
      <c r="L25" s="2072"/>
      <c r="M25" s="2072"/>
      <c r="N25" s="2072"/>
      <c r="O25" s="2072"/>
      <c r="P25" s="2072"/>
      <c r="Q25" s="2072"/>
      <c r="R25" s="2072"/>
      <c r="S25" s="2072"/>
      <c r="T25" s="2072"/>
      <c r="U25" s="2072"/>
      <c r="V25" s="2072"/>
      <c r="W25" s="2072"/>
      <c r="X25" s="2072"/>
      <c r="Y25" s="2072"/>
      <c r="Z25" s="2072"/>
      <c r="AA25" s="2072"/>
      <c r="AB25" s="2072"/>
      <c r="AC25" s="2072"/>
      <c r="AD25" s="2072"/>
      <c r="AE25" s="2072"/>
      <c r="AF25" s="2072"/>
      <c r="AG25" s="2072"/>
      <c r="AH25" s="2072"/>
      <c r="AI25" s="2072"/>
    </row>
    <row r="26" spans="1:35" ht="18.899999999999999" customHeight="1">
      <c r="C26" s="2075"/>
      <c r="D26" s="2075"/>
      <c r="E26" s="2075"/>
      <c r="F26" s="2075"/>
      <c r="G26" s="2075"/>
      <c r="H26" s="2075"/>
      <c r="I26" s="2075"/>
      <c r="J26" s="2075"/>
      <c r="K26" s="2075"/>
      <c r="L26" s="2075"/>
      <c r="M26" s="2075"/>
      <c r="N26" s="2075"/>
      <c r="O26" s="2075"/>
      <c r="P26" s="2075"/>
      <c r="Q26" s="2075"/>
      <c r="R26" s="2075"/>
      <c r="S26" s="2075"/>
      <c r="T26" s="2075"/>
      <c r="U26" s="2075"/>
      <c r="V26" s="2075"/>
      <c r="W26" s="2075"/>
      <c r="X26" s="2075"/>
      <c r="Y26" s="2075"/>
      <c r="Z26" s="2075"/>
      <c r="AA26" s="2075"/>
      <c r="AB26" s="2075"/>
      <c r="AC26" s="2075"/>
      <c r="AD26" s="2075"/>
      <c r="AE26" s="2075"/>
      <c r="AF26" s="2075"/>
      <c r="AG26" s="2075"/>
      <c r="AH26" s="2075"/>
      <c r="AI26" s="2075"/>
    </row>
    <row r="27" spans="1:35" ht="18.899999999999999" customHeight="1">
      <c r="B27" s="594" t="s">
        <v>3540</v>
      </c>
      <c r="X27" s="594" t="s">
        <v>3539</v>
      </c>
    </row>
    <row r="28" spans="1:35" ht="18.899999999999999" customHeight="1">
      <c r="C28" s="1017" t="str">
        <f>IF(wsjob_JOB_KIND=101,"■","□")</f>
        <v>□</v>
      </c>
      <c r="D28" s="595" t="s">
        <v>3538</v>
      </c>
      <c r="E28" s="595"/>
      <c r="K28" s="1017" t="str">
        <f>IF(wsjob_JOB_KIND=111,"■","□")</f>
        <v>□</v>
      </c>
      <c r="L28" s="595" t="s">
        <v>3537</v>
      </c>
      <c r="Y28" s="1017" t="str">
        <f>cst_wsjob_KENTIKUBUTU_box</f>
        <v>■</v>
      </c>
      <c r="Z28" s="595" t="s">
        <v>1215</v>
      </c>
    </row>
    <row r="29" spans="1:35" ht="18.899999999999999" customHeight="1">
      <c r="C29" s="1017" t="str">
        <f>IF(wsjob_JOB_KIND=102,"■","□")</f>
        <v>□</v>
      </c>
      <c r="D29" s="595" t="s">
        <v>3536</v>
      </c>
      <c r="E29" s="595"/>
      <c r="F29" s="595"/>
      <c r="K29" s="1017" t="str">
        <f>IF(wsjob_JOB_KIND=112,"■","□")</f>
        <v>□</v>
      </c>
      <c r="L29" s="595" t="s">
        <v>3535</v>
      </c>
      <c r="Y29" s="1017" t="str">
        <f>cst_wsjob_SYOUKOUKI_box</f>
        <v>□</v>
      </c>
      <c r="Z29" s="595" t="s">
        <v>3534</v>
      </c>
      <c r="AA29" s="595"/>
      <c r="AB29" s="595"/>
      <c r="AC29" s="595"/>
    </row>
    <row r="30" spans="1:35" ht="18.899999999999999" customHeight="1">
      <c r="C30" s="1017" t="str">
        <f>IF(wsjob_JOB_KIND=103,"■","□")</f>
        <v>□</v>
      </c>
      <c r="D30" s="595" t="s">
        <v>1224</v>
      </c>
      <c r="E30" s="595"/>
      <c r="F30" s="595"/>
      <c r="K30" s="1017" t="str">
        <f>IF(wsjob_JOB_KIND=113,"■","□")</f>
        <v>□</v>
      </c>
      <c r="L30" s="595" t="s">
        <v>3533</v>
      </c>
      <c r="Y30" s="1017" t="str">
        <f>cst_wsjob_KENTIKUSETUBI_box</f>
        <v>□</v>
      </c>
      <c r="Z30" s="595" t="s">
        <v>3532</v>
      </c>
      <c r="AA30" s="595"/>
      <c r="AB30" s="595"/>
      <c r="AC30" s="595"/>
      <c r="AD30" s="595"/>
      <c r="AE30" s="595"/>
    </row>
    <row r="31" spans="1:35" ht="18.899999999999999" customHeight="1">
      <c r="C31" s="1017" t="str">
        <f>IF(wsjob_JOB_KIND=104,"■","□")</f>
        <v>■</v>
      </c>
      <c r="D31" s="595" t="s">
        <v>1225</v>
      </c>
      <c r="E31" s="595"/>
      <c r="F31" s="595"/>
      <c r="K31" s="1017" t="str">
        <f>IF(wsjob_JOB_KIND=114,"■","□")</f>
        <v>□</v>
      </c>
      <c r="L31" s="595" t="s">
        <v>3531</v>
      </c>
      <c r="Y31" s="1017" t="str">
        <f>cst_wsjob_KOUSAKUBUTU_1_box</f>
        <v>□</v>
      </c>
      <c r="Z31" s="595" t="s">
        <v>3530</v>
      </c>
      <c r="AA31" s="595"/>
      <c r="AB31" s="595"/>
      <c r="AC31" s="595"/>
      <c r="AD31" s="595"/>
      <c r="AE31" s="595"/>
    </row>
    <row r="32" spans="1:35" ht="18.899999999999999" customHeight="1">
      <c r="C32" s="1018" t="s">
        <v>40</v>
      </c>
      <c r="D32" s="595" t="s">
        <v>3529</v>
      </c>
      <c r="E32" s="595"/>
      <c r="F32" s="595"/>
      <c r="Y32" s="1017" t="str">
        <f>cst_wsjob_KOUSAKUBUTU_2_box</f>
        <v>□</v>
      </c>
      <c r="Z32" s="595" t="s">
        <v>3528</v>
      </c>
      <c r="AA32" s="595"/>
      <c r="AB32" s="595"/>
      <c r="AC32" s="595"/>
      <c r="AD32" s="595"/>
      <c r="AE32" s="595"/>
    </row>
    <row r="33" spans="3:31" ht="18.899999999999999" customHeight="1">
      <c r="C33" s="1018" t="s">
        <v>40</v>
      </c>
      <c r="D33" s="595" t="s">
        <v>3278</v>
      </c>
      <c r="E33" s="595"/>
      <c r="F33" s="595"/>
      <c r="H33" s="598" t="s">
        <v>2</v>
      </c>
      <c r="I33" s="2071"/>
      <c r="J33" s="2071"/>
      <c r="K33" s="2071"/>
      <c r="L33" s="2071"/>
      <c r="M33" s="2071"/>
      <c r="N33" s="2071"/>
      <c r="O33" s="2071"/>
      <c r="P33" s="2071"/>
      <c r="Q33" s="2071"/>
      <c r="R33" s="2071"/>
      <c r="S33" s="2071"/>
      <c r="T33" s="2071"/>
      <c r="U33" s="594" t="s">
        <v>3</v>
      </c>
      <c r="Y33" s="595"/>
      <c r="Z33" s="595"/>
      <c r="AA33" s="595"/>
      <c r="AB33" s="595"/>
      <c r="AC33" s="595"/>
      <c r="AD33" s="595"/>
      <c r="AE33" s="595"/>
    </row>
    <row r="36" spans="3:31" ht="18.899999999999999" customHeight="1">
      <c r="C36" s="595"/>
      <c r="D36" s="595"/>
    </row>
    <row r="37" spans="3:31" ht="18.899999999999999" customHeight="1">
      <c r="C37" s="595"/>
      <c r="D37" s="595"/>
      <c r="E37" s="595"/>
    </row>
    <row r="38" spans="3:31" ht="18.899999999999999" customHeight="1">
      <c r="C38" s="595"/>
      <c r="D38" s="595"/>
      <c r="E38" s="595"/>
      <c r="F38" s="595"/>
      <c r="G38" s="595"/>
      <c r="H38" s="595"/>
    </row>
    <row r="40" spans="3:31" ht="18.899999999999999" customHeight="1">
      <c r="C40" s="595"/>
      <c r="D40" s="595"/>
      <c r="X40" s="595"/>
      <c r="Y40" s="595"/>
      <c r="Z40" s="595"/>
    </row>
    <row r="41" spans="3:31" ht="18.899999999999999" customHeight="1">
      <c r="C41" s="595"/>
      <c r="D41" s="595"/>
      <c r="Y41" s="595"/>
      <c r="Z41" s="595"/>
    </row>
    <row r="42" spans="3:31" ht="18.899999999999999" customHeight="1">
      <c r="Y42" s="595"/>
      <c r="Z42" s="595"/>
    </row>
    <row r="43" spans="3:31" ht="18.899999999999999" customHeight="1">
      <c r="D43" s="595"/>
    </row>
    <row r="44" spans="3:31" ht="18.899999999999999" customHeight="1">
      <c r="E44" s="595"/>
      <c r="F44" s="595"/>
      <c r="G44" s="595"/>
    </row>
    <row r="45" spans="3:31" ht="18.899999999999999" customHeight="1">
      <c r="C45" s="595"/>
      <c r="D45" s="595"/>
      <c r="E45" s="595"/>
      <c r="F45" s="595"/>
      <c r="G45" s="595"/>
      <c r="H45" s="595"/>
      <c r="I45" s="595"/>
      <c r="J45" s="595"/>
      <c r="K45" s="595"/>
      <c r="L45" s="595"/>
      <c r="M45" s="595"/>
      <c r="N45" s="595"/>
      <c r="O45" s="595"/>
      <c r="P45" s="595"/>
      <c r="Q45" s="595"/>
      <c r="R45" s="595"/>
      <c r="S45" s="595"/>
      <c r="T45" s="595"/>
    </row>
  </sheetData>
  <mergeCells count="15">
    <mergeCell ref="Y3:AJ3"/>
    <mergeCell ref="D16:Q16"/>
    <mergeCell ref="R16:AJ16"/>
    <mergeCell ref="N9:P9"/>
    <mergeCell ref="E10:P10"/>
    <mergeCell ref="U10:AJ10"/>
    <mergeCell ref="U11:AJ11"/>
    <mergeCell ref="U12:AJ12"/>
    <mergeCell ref="U13:AJ13"/>
    <mergeCell ref="D15:U15"/>
    <mergeCell ref="C22:AI22"/>
    <mergeCell ref="C23:AI23"/>
    <mergeCell ref="C25:AI25"/>
    <mergeCell ref="C26:AI26"/>
    <mergeCell ref="I33:T33"/>
  </mergeCells>
  <phoneticPr fontId="122"/>
  <dataValidations count="2">
    <dataValidation type="list" allowBlank="1" showInputMessage="1" showErrorMessage="1" sqref="C32:C33 C36:C38 C40:C41 C45 D43 X40 Y33 Y40:Y42" xr:uid="{00000000-0002-0000-2E00-000000000000}">
      <formula1>"□,■"</formula1>
    </dataValidation>
    <dataValidation type="list" allowBlank="1" showInputMessage="1" sqref="C28:C31 K28:K31 Y28:Y32" xr:uid="{00000000-0002-0000-2E00-000001000000}">
      <formula1>"□,■"</formula1>
    </dataValidation>
  </dataValidations>
  <pageMargins left="0.98425196850393704" right="0.78740157480314965" top="0.39370078740157483" bottom="0.39370078740157483" header="0.51181102362204722" footer="0.19685039370078741"/>
  <pageSetup paperSize="9" scale="94" orientation="portrait" blackAndWhite="1" r:id="rId1"/>
  <headerFooter alignWithMargins="0">
    <oddFooter>&amp;R&amp;9 2025.04.01版</oddFooter>
  </headerFooter>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AL43"/>
  <sheetViews>
    <sheetView zoomScaleNormal="100" zoomScaleSheetLayoutView="100" workbookViewId="0"/>
  </sheetViews>
  <sheetFormatPr defaultColWidth="2.33203125" defaultRowHeight="18.899999999999999" customHeight="1"/>
  <cols>
    <col min="1" max="14" width="2.33203125" style="594" customWidth="1"/>
    <col min="15" max="15" width="2.109375" style="594" customWidth="1"/>
    <col min="16" max="16" width="2.33203125" style="594" customWidth="1"/>
    <col min="17" max="16384" width="2.33203125" style="594"/>
  </cols>
  <sheetData>
    <row r="2" spans="1:37" ht="18.899999999999999" customHeight="1">
      <c r="Y2" s="2069" t="s">
        <v>3276</v>
      </c>
      <c r="Z2" s="2069"/>
      <c r="AA2" s="2069"/>
      <c r="AB2" s="2069"/>
      <c r="AC2" s="2069"/>
      <c r="AD2" s="2069"/>
      <c r="AE2" s="2069"/>
      <c r="AF2" s="2069"/>
      <c r="AG2" s="2069"/>
      <c r="AH2" s="2069"/>
      <c r="AI2" s="2069"/>
    </row>
    <row r="4" spans="1:37" ht="18.899999999999999" customHeight="1">
      <c r="A4" s="2078" t="s">
        <v>3293</v>
      </c>
      <c r="B4" s="2078"/>
      <c r="C4" s="2078"/>
      <c r="D4" s="2078"/>
      <c r="E4" s="2078"/>
      <c r="F4" s="2078"/>
      <c r="G4" s="2078"/>
      <c r="H4" s="2078"/>
      <c r="I4" s="2078"/>
      <c r="J4" s="2078"/>
      <c r="K4" s="2078"/>
      <c r="L4" s="2078"/>
      <c r="M4" s="2078"/>
      <c r="N4" s="2078"/>
      <c r="O4" s="2078"/>
      <c r="P4" s="2078"/>
      <c r="Q4" s="2078"/>
      <c r="R4" s="2078"/>
      <c r="S4" s="2078"/>
      <c r="T4" s="2078"/>
      <c r="U4" s="2078"/>
      <c r="V4" s="2078"/>
      <c r="W4" s="2078"/>
      <c r="X4" s="2078"/>
      <c r="Y4" s="2078"/>
      <c r="Z4" s="2078"/>
      <c r="AA4" s="2078"/>
      <c r="AB4" s="2078"/>
      <c r="AC4" s="2078"/>
      <c r="AD4" s="2078"/>
      <c r="AE4" s="2078"/>
      <c r="AF4" s="2078"/>
      <c r="AG4" s="2078"/>
      <c r="AH4" s="2078"/>
      <c r="AI4" s="2078"/>
      <c r="AJ4" s="2078"/>
      <c r="AK4" s="2078"/>
    </row>
    <row r="6" spans="1:37" ht="18.899999999999999" customHeight="1">
      <c r="A6" s="594" t="s">
        <v>3292</v>
      </c>
    </row>
    <row r="8" spans="1:37" ht="18.899999999999999" customHeight="1">
      <c r="N8" s="2068"/>
      <c r="O8" s="2068"/>
      <c r="P8" s="2068"/>
    </row>
    <row r="9" spans="1:37" ht="18.899999999999999" customHeight="1">
      <c r="N9" s="2076"/>
      <c r="O9" s="2076"/>
      <c r="P9" s="2076"/>
      <c r="S9" s="598" t="s">
        <v>12</v>
      </c>
      <c r="T9" s="2077" t="str">
        <f>cst_wsecoteki_owner1__address</f>
        <v/>
      </c>
      <c r="U9" s="2077"/>
      <c r="V9" s="2077"/>
      <c r="W9" s="2077"/>
      <c r="X9" s="2077"/>
      <c r="Y9" s="2077"/>
      <c r="Z9" s="2077"/>
      <c r="AA9" s="2077"/>
      <c r="AB9" s="2077"/>
      <c r="AC9" s="2077"/>
      <c r="AD9" s="2077"/>
      <c r="AE9" s="2077"/>
      <c r="AF9" s="2077"/>
      <c r="AG9" s="2077"/>
      <c r="AH9" s="2077"/>
      <c r="AI9" s="2077"/>
    </row>
    <row r="10" spans="1:37" ht="18.899999999999999" customHeight="1">
      <c r="T10" s="2079" t="str">
        <f>cst_wsecoteki_owner1_NAME</f>
        <v/>
      </c>
      <c r="U10" s="2079"/>
      <c r="V10" s="2079"/>
      <c r="W10" s="2079"/>
      <c r="X10" s="2079"/>
      <c r="Y10" s="2079"/>
      <c r="Z10" s="2079"/>
      <c r="AA10" s="2079"/>
      <c r="AB10" s="2079"/>
      <c r="AC10" s="2079"/>
      <c r="AD10" s="2079"/>
      <c r="AE10" s="2079"/>
      <c r="AF10" s="2079"/>
      <c r="AG10" s="2079"/>
      <c r="AH10" s="2079"/>
      <c r="AI10" s="2079"/>
    </row>
    <row r="11" spans="1:37" ht="18.899999999999999" customHeight="1">
      <c r="N11" s="605"/>
      <c r="O11" s="605"/>
      <c r="P11" s="605"/>
      <c r="Q11" s="605"/>
      <c r="R11" s="605"/>
      <c r="S11" s="605"/>
      <c r="T11" s="2080"/>
      <c r="U11" s="2080"/>
      <c r="V11" s="2080"/>
      <c r="W11" s="2080"/>
      <c r="X11" s="2080"/>
      <c r="Y11" s="2080"/>
      <c r="Z11" s="2080"/>
      <c r="AA11" s="2080"/>
      <c r="AB11" s="2080"/>
      <c r="AC11" s="2080"/>
      <c r="AD11" s="2080"/>
      <c r="AE11" s="2080"/>
      <c r="AF11" s="2080"/>
      <c r="AG11" s="2080"/>
      <c r="AH11" s="2080"/>
      <c r="AI11" s="2080"/>
    </row>
    <row r="12" spans="1:37" ht="18.899999999999999" customHeight="1">
      <c r="S12" s="598" t="s">
        <v>7</v>
      </c>
      <c r="T12" s="2080"/>
      <c r="U12" s="2080"/>
      <c r="V12" s="2080"/>
      <c r="W12" s="2080"/>
      <c r="X12" s="2080"/>
      <c r="Y12" s="2080"/>
      <c r="Z12" s="2080"/>
      <c r="AA12" s="2080"/>
      <c r="AB12" s="2080"/>
      <c r="AC12" s="2080"/>
      <c r="AD12" s="2080"/>
      <c r="AE12" s="2080"/>
      <c r="AF12" s="2080"/>
      <c r="AG12" s="2080"/>
      <c r="AH12" s="2080"/>
      <c r="AI12" s="2080"/>
      <c r="AJ12" s="594" t="s">
        <v>3295</v>
      </c>
    </row>
    <row r="14" spans="1:37" ht="18.899999999999999" customHeight="1">
      <c r="A14" s="594" t="s">
        <v>3291</v>
      </c>
      <c r="D14" s="2066" t="str">
        <f>cst_wsecoteki_dairi1_JIMU_NAME</f>
        <v/>
      </c>
      <c r="E14" s="2081"/>
      <c r="F14" s="2081"/>
      <c r="G14" s="2081"/>
      <c r="H14" s="2081"/>
      <c r="I14" s="2081"/>
      <c r="J14" s="2081"/>
      <c r="K14" s="2081"/>
      <c r="L14" s="2081"/>
      <c r="M14" s="2081"/>
      <c r="N14" s="2081"/>
      <c r="O14" s="2081"/>
      <c r="P14" s="2081"/>
      <c r="Q14" s="2081"/>
      <c r="R14" s="2081"/>
      <c r="S14" s="2081"/>
      <c r="T14" s="2081"/>
      <c r="U14" s="2081"/>
      <c r="V14" s="2081"/>
      <c r="W14" s="2081"/>
      <c r="X14" s="2081"/>
      <c r="Y14" s="2081"/>
      <c r="Z14" s="2081"/>
      <c r="AA14" s="2081"/>
      <c r="AB14" s="2081"/>
      <c r="AC14" s="2081"/>
      <c r="AD14" s="2081"/>
      <c r="AE14" s="2081"/>
      <c r="AF14" s="2081"/>
      <c r="AG14" s="2081"/>
      <c r="AH14" s="2081"/>
      <c r="AI14" s="2081"/>
    </row>
    <row r="15" spans="1:37" ht="18.899999999999999" customHeight="1">
      <c r="D15" s="600"/>
      <c r="E15" s="600"/>
      <c r="F15" s="600"/>
      <c r="G15" s="600"/>
      <c r="H15" s="600"/>
      <c r="I15" s="600"/>
      <c r="J15" s="600"/>
      <c r="K15" s="600"/>
      <c r="L15" s="600"/>
      <c r="M15" s="600"/>
      <c r="N15" s="600"/>
      <c r="O15" s="600"/>
      <c r="P15" s="600"/>
      <c r="Q15" s="600"/>
      <c r="R15" s="604"/>
      <c r="S15" s="604"/>
    </row>
    <row r="16" spans="1:37" ht="18.75" customHeight="1">
      <c r="A16" s="2066" t="str">
        <f>cst_wsecoteki_dairi1_NAME</f>
        <v/>
      </c>
      <c r="B16" s="2066"/>
      <c r="C16" s="2066"/>
      <c r="D16" s="2066"/>
      <c r="E16" s="2066"/>
      <c r="F16" s="2066"/>
      <c r="G16" s="2066"/>
      <c r="H16" s="2066"/>
      <c r="I16" s="2066"/>
      <c r="J16" s="2066"/>
      <c r="K16" s="2066"/>
      <c r="L16" s="2066"/>
      <c r="M16" s="2066"/>
      <c r="N16" s="2085" t="s">
        <v>3290</v>
      </c>
      <c r="O16" s="2085"/>
      <c r="P16" s="2085"/>
      <c r="Q16" s="2085"/>
      <c r="R16" s="2085"/>
      <c r="S16" s="2085"/>
      <c r="T16" s="2085"/>
      <c r="U16" s="2085"/>
      <c r="V16" s="2085"/>
      <c r="W16" s="2085"/>
      <c r="X16" s="2085"/>
      <c r="Y16" s="2085"/>
      <c r="Z16" s="2085"/>
      <c r="AA16" s="2085"/>
      <c r="AB16" s="2085"/>
      <c r="AC16" s="2085"/>
      <c r="AD16" s="2085"/>
      <c r="AE16" s="2085"/>
      <c r="AF16" s="2085"/>
      <c r="AG16" s="2085"/>
      <c r="AH16" s="2085"/>
      <c r="AI16" s="2085"/>
      <c r="AJ16" s="2085"/>
      <c r="AK16" s="2085"/>
    </row>
    <row r="17" spans="1:38" ht="21" customHeight="1">
      <c r="A17" s="594" t="s">
        <v>3289</v>
      </c>
      <c r="D17" s="600"/>
      <c r="E17" s="600"/>
      <c r="F17" s="600"/>
      <c r="G17" s="600"/>
      <c r="H17" s="600"/>
      <c r="I17" s="600"/>
      <c r="J17" s="600"/>
      <c r="K17" s="600"/>
      <c r="L17" s="600"/>
      <c r="M17" s="600"/>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row>
    <row r="18" spans="1:38" ht="21" customHeight="1">
      <c r="D18" s="600"/>
      <c r="E18" s="600"/>
      <c r="F18" s="600"/>
      <c r="G18" s="600"/>
      <c r="H18" s="600"/>
      <c r="I18" s="600"/>
      <c r="J18" s="600"/>
      <c r="K18" s="600"/>
      <c r="L18" s="600"/>
      <c r="M18" s="600"/>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row>
    <row r="19" spans="1:38" ht="92.25" customHeight="1">
      <c r="A19" s="2083" t="s">
        <v>3294</v>
      </c>
      <c r="B19" s="2083"/>
      <c r="C19" s="2083"/>
      <c r="D19" s="2083"/>
      <c r="E19" s="2083"/>
      <c r="F19" s="2083"/>
      <c r="G19" s="2083"/>
      <c r="H19" s="2083"/>
      <c r="I19" s="2083"/>
      <c r="J19" s="2083"/>
      <c r="K19" s="2083"/>
      <c r="L19" s="2083"/>
      <c r="M19" s="2083"/>
      <c r="N19" s="2083"/>
      <c r="O19" s="2083"/>
      <c r="P19" s="2083"/>
      <c r="Q19" s="2083"/>
      <c r="R19" s="2083"/>
      <c r="S19" s="2083"/>
      <c r="T19" s="2083"/>
      <c r="U19" s="2083"/>
      <c r="V19" s="2083"/>
      <c r="W19" s="2083"/>
      <c r="X19" s="2083"/>
      <c r="Y19" s="2083"/>
      <c r="Z19" s="2083"/>
      <c r="AA19" s="2083"/>
      <c r="AB19" s="2083"/>
      <c r="AC19" s="2083"/>
      <c r="AD19" s="2083"/>
      <c r="AE19" s="2083"/>
      <c r="AF19" s="2083"/>
      <c r="AG19" s="2083"/>
      <c r="AH19" s="2083"/>
      <c r="AI19" s="2083"/>
      <c r="AJ19" s="2083"/>
      <c r="AK19" s="2083"/>
      <c r="AL19" s="601"/>
    </row>
    <row r="20" spans="1:38" ht="18.899999999999999" customHeight="1">
      <c r="A20" s="602"/>
      <c r="B20" s="602"/>
      <c r="C20" s="602"/>
      <c r="D20" s="602"/>
      <c r="E20" s="602"/>
      <c r="F20" s="602"/>
      <c r="G20" s="602"/>
      <c r="H20" s="602"/>
      <c r="I20" s="602"/>
      <c r="J20" s="602"/>
      <c r="K20" s="602"/>
      <c r="L20" s="602"/>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1"/>
      <c r="AL20" s="601"/>
    </row>
    <row r="21" spans="1:38" ht="18.899999999999999" customHeight="1">
      <c r="A21" s="2084" t="s">
        <v>3287</v>
      </c>
      <c r="B21" s="2084"/>
      <c r="C21" s="2084"/>
      <c r="D21" s="2084"/>
      <c r="E21" s="2084"/>
      <c r="F21" s="2084"/>
      <c r="G21" s="2084"/>
      <c r="H21" s="2084"/>
      <c r="I21" s="2084"/>
      <c r="J21" s="2084"/>
      <c r="K21" s="2084"/>
      <c r="L21" s="2084"/>
      <c r="M21" s="2084"/>
      <c r="N21" s="2084"/>
      <c r="O21" s="2084"/>
      <c r="P21" s="2084"/>
      <c r="Q21" s="2084"/>
      <c r="R21" s="2084"/>
      <c r="S21" s="2084"/>
      <c r="T21" s="2084"/>
      <c r="U21" s="2084"/>
      <c r="V21" s="2084"/>
      <c r="W21" s="2084"/>
      <c r="X21" s="2084"/>
      <c r="Y21" s="2084"/>
      <c r="Z21" s="2084"/>
      <c r="AA21" s="2084"/>
      <c r="AB21" s="2084"/>
      <c r="AC21" s="2084"/>
      <c r="AD21" s="2084"/>
      <c r="AE21" s="2084"/>
      <c r="AF21" s="2084"/>
      <c r="AG21" s="2084"/>
      <c r="AH21" s="2084"/>
      <c r="AI21" s="2084"/>
      <c r="AJ21" s="2084"/>
      <c r="AK21" s="2084"/>
      <c r="AL21" s="601"/>
    </row>
    <row r="22" spans="1:38" ht="18.899999999999999" customHeight="1">
      <c r="D22" s="600"/>
      <c r="E22" s="600"/>
      <c r="F22" s="600"/>
      <c r="G22" s="600"/>
      <c r="H22" s="600"/>
      <c r="I22" s="600"/>
      <c r="J22" s="600"/>
      <c r="K22" s="600"/>
      <c r="L22" s="600"/>
      <c r="M22" s="600"/>
      <c r="N22" s="600"/>
      <c r="O22" s="600"/>
      <c r="P22" s="600"/>
      <c r="Q22" s="600"/>
      <c r="R22" s="599"/>
      <c r="S22" s="599"/>
      <c r="T22" s="599"/>
      <c r="U22" s="599"/>
      <c r="V22" s="599"/>
      <c r="W22" s="599"/>
      <c r="X22" s="599"/>
      <c r="Y22" s="599"/>
      <c r="Z22" s="599"/>
      <c r="AA22" s="599"/>
      <c r="AB22" s="599"/>
      <c r="AC22" s="599"/>
      <c r="AD22" s="599"/>
      <c r="AE22" s="599"/>
      <c r="AF22" s="599"/>
      <c r="AG22" s="599"/>
      <c r="AH22" s="599"/>
      <c r="AI22" s="599"/>
      <c r="AJ22" s="599"/>
      <c r="AK22" s="599"/>
      <c r="AL22" s="599"/>
    </row>
    <row r="23" spans="1:38" ht="18.899999999999999" customHeight="1">
      <c r="B23" s="594" t="s">
        <v>3286</v>
      </c>
    </row>
    <row r="24" spans="1:38" ht="18.899999999999999" customHeight="1">
      <c r="C24" s="2082" t="str">
        <f>cst_wsecoteki_BUILD__address</f>
        <v/>
      </c>
      <c r="D24" s="2082"/>
      <c r="E24" s="2082"/>
      <c r="F24" s="2082"/>
      <c r="G24" s="2082"/>
      <c r="H24" s="2082"/>
      <c r="I24" s="2082"/>
      <c r="J24" s="2082"/>
      <c r="K24" s="2082"/>
      <c r="L24" s="2082"/>
      <c r="M24" s="2082"/>
      <c r="N24" s="2082"/>
      <c r="O24" s="2082"/>
      <c r="P24" s="2082"/>
      <c r="Q24" s="2082"/>
      <c r="R24" s="2082"/>
      <c r="S24" s="2082"/>
      <c r="T24" s="2082"/>
      <c r="U24" s="2082"/>
      <c r="V24" s="2082"/>
      <c r="W24" s="2082"/>
      <c r="X24" s="2082"/>
      <c r="Y24" s="2082"/>
      <c r="Z24" s="2082"/>
      <c r="AA24" s="2082"/>
      <c r="AB24" s="2082"/>
      <c r="AC24" s="2082"/>
      <c r="AD24" s="2082"/>
      <c r="AE24" s="2082"/>
      <c r="AF24" s="2082"/>
      <c r="AG24" s="2082"/>
      <c r="AH24" s="2082"/>
      <c r="AI24" s="2082"/>
    </row>
    <row r="25" spans="1:38" ht="18.899999999999999" customHeight="1">
      <c r="C25" s="2082"/>
      <c r="D25" s="2082"/>
      <c r="E25" s="2082"/>
      <c r="F25" s="2082"/>
      <c r="G25" s="2082"/>
      <c r="H25" s="2082"/>
      <c r="I25" s="2082"/>
      <c r="J25" s="2082"/>
      <c r="K25" s="2082"/>
      <c r="L25" s="2082"/>
      <c r="M25" s="2082"/>
      <c r="N25" s="2082"/>
      <c r="O25" s="2082"/>
      <c r="P25" s="2082"/>
      <c r="Q25" s="2082"/>
      <c r="R25" s="2082"/>
      <c r="S25" s="2082"/>
      <c r="T25" s="2082"/>
      <c r="U25" s="2082"/>
      <c r="V25" s="2082"/>
      <c r="W25" s="2082"/>
      <c r="X25" s="2082"/>
      <c r="Y25" s="2082"/>
      <c r="Z25" s="2082"/>
      <c r="AA25" s="2082"/>
      <c r="AB25" s="2082"/>
      <c r="AC25" s="2082"/>
      <c r="AD25" s="2082"/>
      <c r="AE25" s="2082"/>
      <c r="AF25" s="2082"/>
      <c r="AG25" s="2082"/>
      <c r="AH25" s="2082"/>
      <c r="AI25" s="2082"/>
    </row>
    <row r="26" spans="1:38" ht="18.899999999999999" customHeight="1">
      <c r="B26" s="594" t="s">
        <v>3285</v>
      </c>
    </row>
    <row r="27" spans="1:38" ht="18.899999999999999" customHeight="1">
      <c r="C27" s="2082" t="str">
        <f>cst_wsecoteki_BUILD_NAME</f>
        <v/>
      </c>
      <c r="D27" s="2082"/>
      <c r="E27" s="2082"/>
      <c r="F27" s="2082"/>
      <c r="G27" s="2082"/>
      <c r="H27" s="2082"/>
      <c r="I27" s="2082"/>
      <c r="J27" s="2082"/>
      <c r="K27" s="2082"/>
      <c r="L27" s="2082"/>
      <c r="M27" s="2082"/>
      <c r="N27" s="2082"/>
      <c r="O27" s="2082"/>
      <c r="P27" s="2082"/>
      <c r="Q27" s="2082"/>
      <c r="R27" s="2082"/>
      <c r="S27" s="2082"/>
      <c r="T27" s="2082"/>
      <c r="U27" s="2082"/>
      <c r="V27" s="2082"/>
      <c r="W27" s="2082"/>
      <c r="X27" s="2082"/>
      <c r="Y27" s="2082"/>
      <c r="Z27" s="2082"/>
      <c r="AA27" s="2082"/>
      <c r="AB27" s="2082"/>
      <c r="AC27" s="2082"/>
      <c r="AD27" s="2082"/>
      <c r="AE27" s="2082"/>
      <c r="AF27" s="2082"/>
      <c r="AG27" s="2082"/>
      <c r="AH27" s="2082"/>
      <c r="AI27" s="2082"/>
    </row>
    <row r="28" spans="1:38" ht="18.899999999999999" customHeight="1">
      <c r="C28" s="2082"/>
      <c r="D28" s="2082"/>
      <c r="E28" s="2082"/>
      <c r="F28" s="2082"/>
      <c r="G28" s="2082"/>
      <c r="H28" s="2082"/>
      <c r="I28" s="2082"/>
      <c r="J28" s="2082"/>
      <c r="K28" s="2082"/>
      <c r="L28" s="2082"/>
      <c r="M28" s="2082"/>
      <c r="N28" s="2082"/>
      <c r="O28" s="2082"/>
      <c r="P28" s="2082"/>
      <c r="Q28" s="2082"/>
      <c r="R28" s="2082"/>
      <c r="S28" s="2082"/>
      <c r="T28" s="2082"/>
      <c r="U28" s="2082"/>
      <c r="V28" s="2082"/>
      <c r="W28" s="2082"/>
      <c r="X28" s="2082"/>
      <c r="Y28" s="2082"/>
      <c r="Z28" s="2082"/>
      <c r="AA28" s="2082"/>
      <c r="AB28" s="2082"/>
      <c r="AC28" s="2082"/>
      <c r="AD28" s="2082"/>
      <c r="AE28" s="2082"/>
      <c r="AF28" s="2082"/>
      <c r="AG28" s="2082"/>
      <c r="AH28" s="2082"/>
      <c r="AI28" s="2082"/>
    </row>
    <row r="29" spans="1:38" ht="18.899999999999999" customHeight="1">
      <c r="B29" s="594" t="s">
        <v>3284</v>
      </c>
    </row>
    <row r="30" spans="1:38" ht="18.899999999999999" customHeight="1">
      <c r="C30" s="753"/>
      <c r="D30" s="595" t="s">
        <v>3283</v>
      </c>
      <c r="E30" s="595"/>
      <c r="Q30" s="753"/>
      <c r="R30" s="595" t="s">
        <v>3282</v>
      </c>
      <c r="S30" s="595"/>
      <c r="T30" s="595"/>
      <c r="X30" s="596"/>
      <c r="Y30" s="597"/>
      <c r="Z30" s="597"/>
      <c r="AA30" s="596"/>
      <c r="AB30" s="596"/>
      <c r="AC30" s="596"/>
      <c r="AD30" s="596"/>
      <c r="AE30" s="596"/>
      <c r="AF30" s="596"/>
      <c r="AG30" s="596"/>
    </row>
    <row r="31" spans="1:38" ht="18.899999999999999" customHeight="1">
      <c r="C31" s="753"/>
      <c r="D31" s="595" t="s">
        <v>3281</v>
      </c>
      <c r="E31" s="595"/>
      <c r="Q31" s="753"/>
      <c r="R31" s="595" t="s">
        <v>3280</v>
      </c>
      <c r="S31" s="595"/>
      <c r="T31" s="595"/>
      <c r="X31" s="596"/>
      <c r="Y31" s="597"/>
      <c r="Z31" s="597"/>
      <c r="AA31" s="597"/>
      <c r="AB31" s="597"/>
      <c r="AC31" s="597"/>
      <c r="AD31" s="596"/>
      <c r="AE31" s="596"/>
      <c r="AF31" s="596"/>
      <c r="AG31" s="596"/>
    </row>
    <row r="32" spans="1:38" ht="18.899999999999999" customHeight="1">
      <c r="C32" s="753"/>
      <c r="D32" s="595" t="s">
        <v>3279</v>
      </c>
      <c r="E32" s="595"/>
      <c r="F32" s="595"/>
      <c r="Q32" s="753"/>
      <c r="R32" s="595" t="s">
        <v>3278</v>
      </c>
      <c r="S32" s="595"/>
      <c r="T32" s="595"/>
      <c r="V32" s="598"/>
      <c r="W32" s="596"/>
      <c r="X32" s="596"/>
      <c r="Y32" s="597"/>
      <c r="Z32" s="597"/>
      <c r="AA32" s="597"/>
      <c r="AB32" s="597"/>
      <c r="AC32" s="597"/>
      <c r="AD32" s="597"/>
      <c r="AE32" s="597"/>
      <c r="AF32" s="596"/>
      <c r="AG32" s="596"/>
    </row>
    <row r="33" spans="3:33" ht="18.899999999999999" customHeight="1">
      <c r="I33" s="595"/>
      <c r="J33" s="595"/>
      <c r="K33" s="595"/>
      <c r="L33" s="595"/>
      <c r="M33" s="595"/>
      <c r="N33" s="595"/>
      <c r="O33" s="595"/>
      <c r="P33" s="595"/>
      <c r="Q33" s="595"/>
      <c r="R33" s="595"/>
      <c r="S33" s="595"/>
      <c r="T33" s="595"/>
      <c r="V33" s="596"/>
      <c r="W33" s="596"/>
      <c r="X33" s="596"/>
      <c r="Y33" s="597"/>
      <c r="Z33" s="597"/>
      <c r="AA33" s="597"/>
      <c r="AB33" s="597"/>
      <c r="AC33" s="597"/>
      <c r="AD33" s="597"/>
      <c r="AE33" s="597"/>
      <c r="AF33" s="596"/>
      <c r="AG33" s="596"/>
    </row>
    <row r="34" spans="3:33" ht="18.899999999999999" customHeight="1">
      <c r="C34" s="595"/>
    </row>
    <row r="35" spans="3:33" ht="18.899999999999999" customHeight="1">
      <c r="C35" s="595"/>
      <c r="D35" s="595"/>
      <c r="E35" s="595"/>
    </row>
    <row r="36" spans="3:33" ht="18.899999999999999" customHeight="1">
      <c r="C36" s="595"/>
      <c r="D36" s="595"/>
      <c r="E36" s="595"/>
      <c r="F36" s="595"/>
      <c r="G36" s="595"/>
      <c r="H36" s="595"/>
    </row>
    <row r="38" spans="3:33" ht="18.899999999999999" customHeight="1">
      <c r="C38" s="595"/>
      <c r="D38" s="595"/>
      <c r="X38" s="595"/>
      <c r="Y38" s="595"/>
      <c r="Z38" s="595"/>
    </row>
    <row r="39" spans="3:33" ht="18.899999999999999" customHeight="1">
      <c r="C39" s="595"/>
      <c r="D39" s="595"/>
      <c r="Y39" s="595"/>
      <c r="Z39" s="595"/>
    </row>
    <row r="40" spans="3:33" ht="18.899999999999999" customHeight="1">
      <c r="Y40" s="595"/>
      <c r="Z40" s="595"/>
    </row>
    <row r="41" spans="3:33" ht="18.899999999999999" customHeight="1">
      <c r="D41" s="595"/>
    </row>
    <row r="42" spans="3:33" ht="18.899999999999999" customHeight="1">
      <c r="E42" s="595"/>
      <c r="F42" s="595"/>
      <c r="G42" s="595"/>
    </row>
    <row r="43" spans="3:33" ht="18.899999999999999" customHeight="1">
      <c r="C43" s="595"/>
      <c r="D43" s="595"/>
      <c r="E43" s="595"/>
      <c r="F43" s="595"/>
      <c r="G43" s="595"/>
      <c r="H43" s="595"/>
      <c r="I43" s="595"/>
      <c r="J43" s="595"/>
      <c r="K43" s="595"/>
      <c r="L43" s="595"/>
      <c r="M43" s="595"/>
      <c r="N43" s="595"/>
      <c r="O43" s="595"/>
      <c r="P43" s="595"/>
      <c r="Q43" s="595"/>
      <c r="R43" s="595"/>
      <c r="S43" s="595"/>
      <c r="T43" s="595"/>
    </row>
  </sheetData>
  <mergeCells count="13">
    <mergeCell ref="T10:AI12"/>
    <mergeCell ref="A16:M16"/>
    <mergeCell ref="D14:AI14"/>
    <mergeCell ref="C24:AI25"/>
    <mergeCell ref="C27:AI28"/>
    <mergeCell ref="A19:AK19"/>
    <mergeCell ref="A21:AK21"/>
    <mergeCell ref="N16:AK16"/>
    <mergeCell ref="N8:P8"/>
    <mergeCell ref="N9:P9"/>
    <mergeCell ref="T9:AI9"/>
    <mergeCell ref="Y2:AI2"/>
    <mergeCell ref="A4:AK4"/>
  </mergeCells>
  <phoneticPr fontId="122"/>
  <dataValidations count="6">
    <dataValidation type="list" allowBlank="1" showInputMessage="1" showErrorMessage="1" sqref="C34:C36 C38:C39 C43 C65563:C65566 C65570:C65571 C65573:C65574 C65578 C131099:C131102 C131106:C131107 C131109:C131110 C131114 C196635:C196638 C196642:C196643 C196645:C196646 C196650 C262171:C262174 C262178:C262179 C262181:C262182 C262186 C327707:C327710 C327714:C327715 C327717:C327718 C327722 C393243:C393246 C393250:C393251 C393253:C393254 C393258 C458779:C458782 C458786:C458787 C458789:C458790 C458794 C524315:C524318 C524322:C524323 C524325:C524326 C524330 C589851:C589854 C589858:C589859 C589861:C589862 C589866 C655387:C655390 C655394:C655395 C655397:C655398 C655402 C720923:C720926 C720930:C720931 C720933:C720934 C720938 C786459:C786462 C786466:C786467 C786469:C786470 C786474 C851995:C851998 C852002:C852003 C852005:C852006 C852010 C917531:C917534 C917538:C917539 C917541:C917542 C917546 C983067:C983070 C983074:C983075 C983077:C983078 C983082 D41 D65576 D131112 D196648 D262184 D327720 D393256 D458792 D524328 D589864 D655400 D720936 D786472 D852008 D917544 D983080 X38 X65573 X131109 X196645 X262181 X327717 X393253 X458789 X524325 X589861 X655397 X720933 X786469 X852005 X917541 X983077 Y30:Y33 Y38:Y40 Y65563:Y65566 Y65573:Y65575 Y131099:Y131102 Y131109:Y131111 Y196635:Y196638 Y196645:Y196647 Y262171:Y262174 Y262181:Y262183 Y327707:Y327710 Y327717:Y327719 Y393243:Y393246 Y393253:Y393255 Y458779:Y458782 Y458789:Y458791 Y524315:Y524318 Y524325:Y524327 Y589851:Y589854 Y589861:Y589863 Y655387:Y655390 Y655397:Y655399 Y720923:Y720926 Y720933:Y720935 Y786459:Y786462 Y786469:Y786471 Y851995:Y851998 Y852005:Y852007 Y917531:Y917534 Y917541:Y917543 Y983067:Y983070 Y983077:Y983079 IY30:IY33 IY35:IY36 IY38:IY39 IY43 IY65563:IY65566 IY65570:IY65571 IY65573:IY65574 IY65578 IY131099:IY131102 IY131106:IY131107 IY131109:IY131110 IY131114 IY196635:IY196638 IY196642:IY196643 IY196645:IY196646 IY196650 IY262171:IY262174 IY262178:IY262179 IY262181:IY262182 IY262186 IY327707:IY327710 IY327714:IY327715 IY327717:IY327718 IY327722 IY393243:IY393246 IY393250:IY393251 IY393253:IY393254 IY393258 IY458779:IY458782 IY458786:IY458787 IY458789:IY458790 IY458794 IY524315:IY524318 IY524322:IY524323 IY524325:IY524326 IY524330 IY589851:IY589854 IY589858:IY589859 IY589861:IY589862 IY589866 IY655387:IY655390 IY655394:IY655395 IY655397:IY655398 IY655402 IY720923:IY720926 IY720930:IY720931 IY720933:IY720934 IY720938 IY786459:IY786462 IY786466:IY786467 IY786469:IY786470 IY786474 IY851995:IY851998 IY852002:IY852003 IY852005:IY852006 IY852010 IY917531:IY917534 IY917538:IY917539 IY917541:IY917542 IY917546 IY983067:IY983070 IY983074:IY983075 IY983077:IY983078 IY983082 IZ41 IZ65576 IZ131112 IZ196648 IZ262184 IZ327720 IZ393256 IZ458792 IZ524328 IZ589864 IZ655400 IZ720936 IZ786472 IZ852008 IZ917544 IZ983080 JT38 JT65573 JT131109 JT196645 JT262181 JT327717 JT393253 JT458789 JT524325 JT589861 JT655397 JT720933 JT786469 JT852005 JT917541 JT983077 JU30:JU33 JU38:JU40 JU65563:JU65566 JU65573:JU65575 JU131099:JU131102 JU131109:JU131111 JU196635:JU196638 JU196645:JU196647 JU262171:JU262174 JU262181:JU262183 JU327707:JU327710 JU327717:JU327719 JU393243:JU393246 JU393253:JU393255 JU458779:JU458782 JU458789:JU458791 JU524315:JU524318 JU524325:JU524327 JU589851:JU589854 JU589861:JU589863 JU655387:JU655390 JU655397:JU655399 JU720923:JU720926 JU720933:JU720935 JU786459:JU786462 JU786469:JU786471 JU851995:JU851998 JU852005:JU852007 JU917531:JU917534 JU917541:JU917543 JU983067:JU983070 JU983077:JU983079 SU30:SU33 SU35:SU36 SU38:SU39 SU43 SU65563:SU65566 SU65570:SU65571 SU65573:SU65574 SU65578 SU131099:SU131102 SU131106:SU131107 SU131109:SU131110 SU131114 SU196635:SU196638 SU196642:SU196643 SU196645:SU196646 SU196650 SU262171:SU262174 SU262178:SU262179 SU262181:SU262182 SU262186 SU327707:SU327710 SU327714:SU327715 SU327717:SU327718 SU327722 SU393243:SU393246 SU393250:SU393251 SU393253:SU393254 SU393258 SU458779:SU458782 SU458786:SU458787 SU458789:SU458790 SU458794 SU524315:SU524318 SU524322:SU524323 SU524325:SU524326 SU524330 SU589851:SU589854 SU589858:SU589859 SU589861:SU589862 SU589866 SU655387:SU655390 SU655394:SU655395 SU655397:SU655398 SU655402 SU720923:SU720926 SU720930:SU720931 SU720933:SU720934 SU720938 SU786459:SU786462 SU786466:SU786467 SU786469:SU786470 SU786474 SU851995:SU851998 SU852002:SU852003 SU852005:SU852006 SU852010 SU917531:SU917534 SU917538:SU917539 SU917541:SU917542 SU917546 SU983067:SU983070 SU983074:SU983075 SU983077:SU983078 SU983082 SV41 SV65576 SV131112 SV196648 SV262184 SV327720 SV393256 SV458792 SV524328 SV589864 SV655400 SV720936 SV786472 SV852008 SV917544 SV983080 TP38 TP65573 TP131109 TP196645 TP262181 TP327717 TP393253 TP458789 TP524325 TP589861 TP655397 TP720933 TP786469 TP852005 TP917541 TP983077 TQ30:TQ33 TQ38:TQ40 TQ65563:TQ65566 TQ65573:TQ65575 TQ131099:TQ131102 TQ131109:TQ131111 TQ196635:TQ196638 TQ196645:TQ196647 TQ262171:TQ262174 TQ262181:TQ262183 TQ327707:TQ327710 TQ327717:TQ327719 TQ393243:TQ393246 TQ393253:TQ393255 TQ458779:TQ458782 TQ458789:TQ458791 TQ524315:TQ524318 TQ524325:TQ524327 TQ589851:TQ589854 TQ589861:TQ589863 TQ655387:TQ655390 TQ655397:TQ655399 TQ720923:TQ720926 TQ720933:TQ720935 TQ786459:TQ786462 TQ786469:TQ786471 TQ851995:TQ851998 TQ852005:TQ852007 TQ917531:TQ917534 TQ917541:TQ917543 TQ983067:TQ983070 TQ983077:TQ983079 ACQ30:ACQ33 ACQ35:ACQ36 ACQ38:ACQ39 ACQ43 ACQ65563:ACQ65566 ACQ65570:ACQ65571 ACQ65573:ACQ65574 ACQ65578 ACQ131099:ACQ131102 ACQ131106:ACQ131107 ACQ131109:ACQ131110 ACQ131114 ACQ196635:ACQ196638 ACQ196642:ACQ196643 ACQ196645:ACQ196646 ACQ196650 ACQ262171:ACQ262174 ACQ262178:ACQ262179 ACQ262181:ACQ262182 ACQ262186 ACQ327707:ACQ327710 ACQ327714:ACQ327715 ACQ327717:ACQ327718 ACQ327722 ACQ393243:ACQ393246 ACQ393250:ACQ393251 ACQ393253:ACQ393254 ACQ393258 ACQ458779:ACQ458782 ACQ458786:ACQ458787 ACQ458789:ACQ458790 ACQ458794 ACQ524315:ACQ524318 ACQ524322:ACQ524323 ACQ524325:ACQ524326 ACQ524330 ACQ589851:ACQ589854 ACQ589858:ACQ589859 ACQ589861:ACQ589862 ACQ589866 ACQ655387:ACQ655390 ACQ655394:ACQ655395 ACQ655397:ACQ655398 ACQ655402 ACQ720923:ACQ720926 ACQ720930:ACQ720931 ACQ720933:ACQ720934 ACQ720938 ACQ786459:ACQ786462 ACQ786466:ACQ786467 ACQ786469:ACQ786470 ACQ786474 ACQ851995:ACQ851998 ACQ852002:ACQ852003 ACQ852005:ACQ852006 ACQ852010 ACQ917531:ACQ917534 ACQ917538:ACQ917539 ACQ917541:ACQ917542 ACQ917546 ACQ983067:ACQ983070 ACQ983074:ACQ983075 ACQ983077:ACQ983078 ACQ983082 ACR41 ACR65576 ACR131112 ACR196648 ACR262184 ACR327720 ACR393256 ACR458792 ACR524328 ACR589864 ACR655400 ACR720936 ACR786472 ACR852008 ACR917544 ACR983080 ADL38 ADL65573 ADL131109 ADL196645 ADL262181 ADL327717 ADL393253 ADL458789 ADL524325 ADL589861 ADL655397 ADL720933 ADL786469 ADL852005 ADL917541 ADL983077 ADM30:ADM33 ADM38:ADM40 ADM65563:ADM65566 ADM65573:ADM65575 ADM131099:ADM131102 ADM131109:ADM131111 ADM196635:ADM196638 ADM196645:ADM196647 ADM262171:ADM262174 ADM262181:ADM262183 ADM327707:ADM327710 ADM327717:ADM327719 ADM393243:ADM393246 ADM393253:ADM393255 ADM458779:ADM458782 ADM458789:ADM458791 ADM524315:ADM524318 ADM524325:ADM524327 ADM589851:ADM589854 ADM589861:ADM589863 ADM655387:ADM655390 ADM655397:ADM655399 ADM720923:ADM720926 ADM720933:ADM720935 ADM786459:ADM786462 ADM786469:ADM786471 ADM851995:ADM851998 ADM852005:ADM852007 ADM917531:ADM917534 ADM917541:ADM917543 ADM983067:ADM983070 ADM983077:ADM983079 AMM30:AMM33 AMM35:AMM36 AMM38:AMM39 AMM43 AMM65563:AMM65566 AMM65570:AMM65571 AMM65573:AMM65574 AMM65578 AMM131099:AMM131102 AMM131106:AMM131107 AMM131109:AMM131110 AMM131114 AMM196635:AMM196638 AMM196642:AMM196643 AMM196645:AMM196646 AMM196650 AMM262171:AMM262174 AMM262178:AMM262179 AMM262181:AMM262182 AMM262186 AMM327707:AMM327710 AMM327714:AMM327715 AMM327717:AMM327718 AMM327722 AMM393243:AMM393246 AMM393250:AMM393251 AMM393253:AMM393254 AMM393258 AMM458779:AMM458782 AMM458786:AMM458787 AMM458789:AMM458790 AMM458794 AMM524315:AMM524318 AMM524322:AMM524323 AMM524325:AMM524326 AMM524330 AMM589851:AMM589854 AMM589858:AMM589859 AMM589861:AMM589862 AMM589866 AMM655387:AMM655390 AMM655394:AMM655395 AMM655397:AMM655398 AMM655402 AMM720923:AMM720926 AMM720930:AMM720931 AMM720933:AMM720934 AMM720938 AMM786459:AMM786462 AMM786466:AMM786467 AMM786469:AMM786470 AMM786474 AMM851995:AMM851998 AMM852002:AMM852003 AMM852005:AMM852006 AMM852010 AMM917531:AMM917534 AMM917538:AMM917539 AMM917541:AMM917542 AMM917546 AMM983067:AMM983070 AMM983074:AMM983075 AMM983077:AMM983078 AMM983082 AMN41 AMN65576 AMN131112 AMN196648 AMN262184 AMN327720 AMN393256 AMN458792 AMN524328 AMN589864 AMN655400 AMN720936 AMN786472 AMN852008 AMN917544 AMN983080 ANH38 ANH65573 ANH131109 ANH196645 ANH262181 ANH327717 ANH393253 ANH458789 ANH524325 ANH589861 ANH655397 ANH720933 ANH786469 ANH852005 ANH917541 ANH983077 ANI30:ANI33 ANI38:ANI40 ANI65563:ANI65566 ANI65573:ANI65575 ANI131099:ANI131102 ANI131109:ANI131111 ANI196635:ANI196638 ANI196645:ANI196647 ANI262171:ANI262174 ANI262181:ANI262183 ANI327707:ANI327710 ANI327717:ANI327719 ANI393243:ANI393246 ANI393253:ANI393255 ANI458779:ANI458782 ANI458789:ANI458791 ANI524315:ANI524318 ANI524325:ANI524327 ANI589851:ANI589854 ANI589861:ANI589863 ANI655387:ANI655390 ANI655397:ANI655399 ANI720923:ANI720926 ANI720933:ANI720935 ANI786459:ANI786462 ANI786469:ANI786471 ANI851995:ANI851998 ANI852005:ANI852007 ANI917531:ANI917534 ANI917541:ANI917543 ANI983067:ANI983070 ANI983077:ANI983079 AWI30:AWI33 AWI35:AWI36 AWI38:AWI39 AWI43 AWI65563:AWI65566 AWI65570:AWI65571 AWI65573:AWI65574 AWI65578 AWI131099:AWI131102 AWI131106:AWI131107 AWI131109:AWI131110 AWI131114 AWI196635:AWI196638 AWI196642:AWI196643 AWI196645:AWI196646 AWI196650 AWI262171:AWI262174 AWI262178:AWI262179 AWI262181:AWI262182 AWI262186 AWI327707:AWI327710 AWI327714:AWI327715 AWI327717:AWI327718 AWI327722 AWI393243:AWI393246 AWI393250:AWI393251 AWI393253:AWI393254 AWI393258 AWI458779:AWI458782 AWI458786:AWI458787 AWI458789:AWI458790 AWI458794 AWI524315:AWI524318 AWI524322:AWI524323 AWI524325:AWI524326 AWI524330 AWI589851:AWI589854 AWI589858:AWI589859 AWI589861:AWI589862 AWI589866 AWI655387:AWI655390 AWI655394:AWI655395 AWI655397:AWI655398 AWI655402 AWI720923:AWI720926 AWI720930:AWI720931 AWI720933:AWI720934 AWI720938 AWI786459:AWI786462 AWI786466:AWI786467 AWI786469:AWI786470 AWI786474 AWI851995:AWI851998 AWI852002:AWI852003 AWI852005:AWI852006 AWI852010 AWI917531:AWI917534 AWI917538:AWI917539 AWI917541:AWI917542 AWI917546 AWI983067:AWI983070 AWI983074:AWI983075 AWI983077:AWI983078 AWI983082 AWJ41 AWJ65576 AWJ131112 AWJ196648 AWJ262184 AWJ327720 AWJ393256 AWJ458792 AWJ524328 AWJ589864 AWJ655400 AWJ720936 AWJ786472 AWJ852008 AWJ917544 AWJ983080 AXD38 AXD65573 AXD131109 AXD196645 AXD262181 AXD327717 AXD393253 AXD458789 AXD524325 AXD589861 AXD655397 AXD720933 AXD786469 AXD852005 AXD917541 AXD983077 AXE30:AXE33 AXE38:AXE40 AXE65563:AXE65566 AXE65573:AXE65575 AXE131099:AXE131102 AXE131109:AXE131111 AXE196635:AXE196638 AXE196645:AXE196647 AXE262171:AXE262174 AXE262181:AXE262183 AXE327707:AXE327710 AXE327717:AXE327719 AXE393243:AXE393246 AXE393253:AXE393255 AXE458779:AXE458782 AXE458789:AXE458791 AXE524315:AXE524318 AXE524325:AXE524327 AXE589851:AXE589854 AXE589861:AXE589863 AXE655387:AXE655390 AXE655397:AXE655399 AXE720923:AXE720926 AXE720933:AXE720935 AXE786459:AXE786462 AXE786469:AXE786471 AXE851995:AXE851998 AXE852005:AXE852007 AXE917531:AXE917534 AXE917541:AXE917543 AXE983067:AXE983070 AXE983077:AXE983079 BGE30:BGE33 BGE35:BGE36 BGE38:BGE39 BGE43 BGE65563:BGE65566 BGE65570:BGE65571 BGE65573:BGE65574 BGE65578 BGE131099:BGE131102 BGE131106:BGE131107 BGE131109:BGE131110 BGE131114 BGE196635:BGE196638 BGE196642:BGE196643 BGE196645:BGE196646 BGE196650 BGE262171:BGE262174 BGE262178:BGE262179 BGE262181:BGE262182 BGE262186 BGE327707:BGE327710 BGE327714:BGE327715 BGE327717:BGE327718 BGE327722 BGE393243:BGE393246 BGE393250:BGE393251 BGE393253:BGE393254 BGE393258 BGE458779:BGE458782 BGE458786:BGE458787 BGE458789:BGE458790 BGE458794 BGE524315:BGE524318 BGE524322:BGE524323 BGE524325:BGE524326 BGE524330 BGE589851:BGE589854 BGE589858:BGE589859 BGE589861:BGE589862 BGE589866 BGE655387:BGE655390 BGE655394:BGE655395 BGE655397:BGE655398 BGE655402 BGE720923:BGE720926 BGE720930:BGE720931 BGE720933:BGE720934 BGE720938 BGE786459:BGE786462 BGE786466:BGE786467 BGE786469:BGE786470 BGE786474 BGE851995:BGE851998 BGE852002:BGE852003 BGE852005:BGE852006 BGE852010 BGE917531:BGE917534 BGE917538:BGE917539 BGE917541:BGE917542 BGE917546 BGE983067:BGE983070 BGE983074:BGE983075 BGE983077:BGE983078 BGE983082 BGF41 BGF65576 BGF131112 BGF196648 BGF262184 BGF327720 BGF393256 BGF458792 BGF524328 BGF589864 BGF655400 BGF720936 BGF786472 BGF852008 BGF917544 BGF983080 BGZ38 BGZ65573 BGZ131109 BGZ196645 BGZ262181 BGZ327717 BGZ393253 BGZ458789 BGZ524325 BGZ589861 BGZ655397 BGZ720933 BGZ786469 BGZ852005 BGZ917541 BGZ983077 BHA30:BHA33 BHA38:BHA40 BHA65563:BHA65566 BHA65573:BHA65575 BHA131099:BHA131102 BHA131109:BHA131111 BHA196635:BHA196638 BHA196645:BHA196647 BHA262171:BHA262174 BHA262181:BHA262183 BHA327707:BHA327710 BHA327717:BHA327719 BHA393243:BHA393246 BHA393253:BHA393255 BHA458779:BHA458782 BHA458789:BHA458791 BHA524315:BHA524318 BHA524325:BHA524327 BHA589851:BHA589854 BHA589861:BHA589863 BHA655387:BHA655390 BHA655397:BHA655399 BHA720923:BHA720926 BHA720933:BHA720935 BHA786459:BHA786462 BHA786469:BHA786471 BHA851995:BHA851998 BHA852005:BHA852007 BHA917531:BHA917534 BHA917541:BHA917543 BHA983067:BHA983070 BHA983077:BHA983079 BQA30:BQA33 BQA35:BQA36 BQA38:BQA39 BQA43 BQA65563:BQA65566 BQA65570:BQA65571 BQA65573:BQA65574 BQA65578 BQA131099:BQA131102 BQA131106:BQA131107 BQA131109:BQA131110 BQA131114 BQA196635:BQA196638 BQA196642:BQA196643 BQA196645:BQA196646 BQA196650 BQA262171:BQA262174 BQA262178:BQA262179 BQA262181:BQA262182 BQA262186 BQA327707:BQA327710 BQA327714:BQA327715 BQA327717:BQA327718 BQA327722 BQA393243:BQA393246 BQA393250:BQA393251 BQA393253:BQA393254 BQA393258 BQA458779:BQA458782 BQA458786:BQA458787 BQA458789:BQA458790 BQA458794 BQA524315:BQA524318 BQA524322:BQA524323 BQA524325:BQA524326 BQA524330 BQA589851:BQA589854 BQA589858:BQA589859 BQA589861:BQA589862 BQA589866 BQA655387:BQA655390 BQA655394:BQA655395 BQA655397:BQA655398 BQA655402 BQA720923:BQA720926 BQA720930:BQA720931 BQA720933:BQA720934 BQA720938 BQA786459:BQA786462 BQA786466:BQA786467 BQA786469:BQA786470 BQA786474 BQA851995:BQA851998 BQA852002:BQA852003 BQA852005:BQA852006 BQA852010 BQA917531:BQA917534 BQA917538:BQA917539 BQA917541:BQA917542 BQA917546 BQA983067:BQA983070 BQA983074:BQA983075 BQA983077:BQA983078 BQA983082 BQB41 BQB65576 BQB131112 BQB196648 BQB262184 BQB327720 BQB393256 BQB458792 BQB524328 BQB589864 BQB655400 BQB720936 BQB786472 BQB852008 BQB917544 BQB983080 BQV38 BQV65573 BQV131109 BQV196645 BQV262181 BQV327717 BQV393253 BQV458789 BQV524325 BQV589861 BQV655397 BQV720933 BQV786469 BQV852005 BQV917541 BQV983077 BQW30:BQW33 BQW38:BQW40 BQW65563:BQW65566 BQW65573:BQW65575 BQW131099:BQW131102 BQW131109:BQW131111 BQW196635:BQW196638 BQW196645:BQW196647 BQW262171:BQW262174 BQW262181:BQW262183 BQW327707:BQW327710 BQW327717:BQW327719 BQW393243:BQW393246 BQW393253:BQW393255 BQW458779:BQW458782 BQW458789:BQW458791 BQW524315:BQW524318 BQW524325:BQW524327 BQW589851:BQW589854 BQW589861:BQW589863 BQW655387:BQW655390 BQW655397:BQW655399 BQW720923:BQW720926 BQW720933:BQW720935 BQW786459:BQW786462 BQW786469:BQW786471 BQW851995:BQW851998 BQW852005:BQW852007 BQW917531:BQW917534 BQW917541:BQW917543 BQW983067:BQW983070 BQW983077:BQW983079 BZW30:BZW33 BZW35:BZW36 BZW38:BZW39 BZW43 BZW65563:BZW65566 BZW65570:BZW65571 BZW65573:BZW65574 BZW65578 BZW131099:BZW131102 BZW131106:BZW131107 BZW131109:BZW131110 BZW131114 BZW196635:BZW196638 BZW196642:BZW196643 BZW196645:BZW196646 BZW196650 BZW262171:BZW262174 BZW262178:BZW262179 BZW262181:BZW262182 BZW262186 BZW327707:BZW327710 BZW327714:BZW327715 BZW327717:BZW327718 BZW327722 BZW393243:BZW393246 BZW393250:BZW393251 BZW393253:BZW393254 BZW393258 BZW458779:BZW458782 BZW458786:BZW458787 BZW458789:BZW458790 BZW458794 BZW524315:BZW524318 BZW524322:BZW524323 BZW524325:BZW524326 BZW524330 BZW589851:BZW589854 BZW589858:BZW589859 BZW589861:BZW589862 BZW589866 BZW655387:BZW655390 BZW655394:BZW655395 BZW655397:BZW655398 BZW655402 BZW720923:BZW720926 BZW720930:BZW720931 BZW720933:BZW720934 BZW720938 BZW786459:BZW786462 BZW786466:BZW786467 BZW786469:BZW786470 BZW786474 BZW851995:BZW851998 BZW852002:BZW852003 BZW852005:BZW852006 BZW852010 BZW917531:BZW917534 BZW917538:BZW917539 BZW917541:BZW917542 BZW917546 BZW983067:BZW983070 BZW983074:BZW983075 BZW983077:BZW983078 BZW983082 BZX41 BZX65576 BZX131112 BZX196648 BZX262184 BZX327720 BZX393256 BZX458792 BZX524328 BZX589864 BZX655400 BZX720936 BZX786472 BZX852008 BZX917544 BZX983080 CAR38 CAR65573 CAR131109 CAR196645 CAR262181 CAR327717 CAR393253 CAR458789 CAR524325 CAR589861 CAR655397 CAR720933 CAR786469 CAR852005 CAR917541 CAR983077 CAS30:CAS33 CAS38:CAS40 CAS65563:CAS65566 CAS65573:CAS65575 CAS131099:CAS131102 CAS131109:CAS131111 CAS196635:CAS196638 CAS196645:CAS196647 CAS262171:CAS262174 CAS262181:CAS262183 CAS327707:CAS327710 CAS327717:CAS327719 CAS393243:CAS393246 CAS393253:CAS393255 CAS458779:CAS458782 CAS458789:CAS458791 CAS524315:CAS524318 CAS524325:CAS524327 CAS589851:CAS589854 CAS589861:CAS589863 CAS655387:CAS655390 CAS655397:CAS655399 CAS720923:CAS720926 CAS720933:CAS720935 CAS786459:CAS786462 CAS786469:CAS786471 CAS851995:CAS851998 CAS852005:CAS852007 CAS917531:CAS917534 CAS917541:CAS917543 CAS983067:CAS983070 CAS983077:CAS983079 CJS30:CJS33 CJS35:CJS36 CJS38:CJS39 CJS43 CJS65563:CJS65566 CJS65570:CJS65571 CJS65573:CJS65574 CJS65578 CJS131099:CJS131102 CJS131106:CJS131107 CJS131109:CJS131110 CJS131114 CJS196635:CJS196638 CJS196642:CJS196643 CJS196645:CJS196646 CJS196650 CJS262171:CJS262174 CJS262178:CJS262179 CJS262181:CJS262182 CJS262186 CJS327707:CJS327710 CJS327714:CJS327715 CJS327717:CJS327718 CJS327722 CJS393243:CJS393246 CJS393250:CJS393251 CJS393253:CJS393254 CJS393258 CJS458779:CJS458782 CJS458786:CJS458787 CJS458789:CJS458790 CJS458794 CJS524315:CJS524318 CJS524322:CJS524323 CJS524325:CJS524326 CJS524330 CJS589851:CJS589854 CJS589858:CJS589859 CJS589861:CJS589862 CJS589866 CJS655387:CJS655390 CJS655394:CJS655395 CJS655397:CJS655398 CJS655402 CJS720923:CJS720926 CJS720930:CJS720931 CJS720933:CJS720934 CJS720938 CJS786459:CJS786462 CJS786466:CJS786467 CJS786469:CJS786470 CJS786474 CJS851995:CJS851998 CJS852002:CJS852003 CJS852005:CJS852006 CJS852010 CJS917531:CJS917534 CJS917538:CJS917539 CJS917541:CJS917542 CJS917546 CJS983067:CJS983070 CJS983074:CJS983075 CJS983077:CJS983078 CJS983082 CJT41 CJT65576 CJT131112 CJT196648 CJT262184 CJT327720 CJT393256 CJT458792 CJT524328 CJT589864 CJT655400 CJT720936 CJT786472 CJT852008 CJT917544 CJT983080 CKN38 CKN65573 CKN131109 CKN196645 CKN262181 CKN327717 CKN393253 CKN458789 CKN524325 CKN589861 CKN655397 CKN720933 CKN786469 CKN852005 CKN917541 CKN983077 CKO30:CKO33 CKO38:CKO40 CKO65563:CKO65566 CKO65573:CKO65575 CKO131099:CKO131102 CKO131109:CKO131111 CKO196635:CKO196638 CKO196645:CKO196647 CKO262171:CKO262174 CKO262181:CKO262183 CKO327707:CKO327710 CKO327717:CKO327719 CKO393243:CKO393246 CKO393253:CKO393255 CKO458779:CKO458782 CKO458789:CKO458791 CKO524315:CKO524318 CKO524325:CKO524327 CKO589851:CKO589854 CKO589861:CKO589863 CKO655387:CKO655390 CKO655397:CKO655399 CKO720923:CKO720926 CKO720933:CKO720935 CKO786459:CKO786462 CKO786469:CKO786471 CKO851995:CKO851998 CKO852005:CKO852007 CKO917531:CKO917534 CKO917541:CKO917543 CKO983067:CKO983070 CKO983077:CKO983079 CTO30:CTO33 CTO35:CTO36 CTO38:CTO39 CTO43 CTO65563:CTO65566 CTO65570:CTO65571 CTO65573:CTO65574 CTO65578 CTO131099:CTO131102 CTO131106:CTO131107 CTO131109:CTO131110 CTO131114 CTO196635:CTO196638 CTO196642:CTO196643 CTO196645:CTO196646 CTO196650 CTO262171:CTO262174 CTO262178:CTO262179 CTO262181:CTO262182 CTO262186 CTO327707:CTO327710 CTO327714:CTO327715 CTO327717:CTO327718 CTO327722 CTO393243:CTO393246 CTO393250:CTO393251 CTO393253:CTO393254 CTO393258 CTO458779:CTO458782 CTO458786:CTO458787 CTO458789:CTO458790 CTO458794 CTO524315:CTO524318 CTO524322:CTO524323 CTO524325:CTO524326 CTO524330 CTO589851:CTO589854 CTO589858:CTO589859 CTO589861:CTO589862 CTO589866 CTO655387:CTO655390 CTO655394:CTO655395 CTO655397:CTO655398 CTO655402 CTO720923:CTO720926 CTO720930:CTO720931 CTO720933:CTO720934 CTO720938 CTO786459:CTO786462 CTO786466:CTO786467 CTO786469:CTO786470 CTO786474 CTO851995:CTO851998 CTO852002:CTO852003 CTO852005:CTO852006 CTO852010 CTO917531:CTO917534 CTO917538:CTO917539 CTO917541:CTO917542 CTO917546 CTO983067:CTO983070 CTO983074:CTO983075 CTO983077:CTO983078 CTO983082 CTP41 CTP65576 CTP131112 CTP196648 CTP262184 CTP327720 CTP393256 CTP458792 CTP524328 CTP589864 CTP655400 CTP720936 CTP786472 CTP852008 CTP917544 CTP983080 CUJ38 CUJ65573 CUJ131109 CUJ196645 CUJ262181 CUJ327717 CUJ393253 CUJ458789 CUJ524325 CUJ589861 CUJ655397 CUJ720933 CUJ786469 CUJ852005 CUJ917541 CUJ983077 CUK30:CUK33 CUK38:CUK40 CUK65563:CUK65566 CUK65573:CUK65575 CUK131099:CUK131102 CUK131109:CUK131111 CUK196635:CUK196638 CUK196645:CUK196647 CUK262171:CUK262174 CUK262181:CUK262183 CUK327707:CUK327710 CUK327717:CUK327719 CUK393243:CUK393246 CUK393253:CUK393255 CUK458779:CUK458782 CUK458789:CUK458791 CUK524315:CUK524318 CUK524325:CUK524327 CUK589851:CUK589854 CUK589861:CUK589863 CUK655387:CUK655390 CUK655397:CUK655399 CUK720923:CUK720926 CUK720933:CUK720935 CUK786459:CUK786462 CUK786469:CUK786471 CUK851995:CUK851998 CUK852005:CUK852007 CUK917531:CUK917534 CUK917541:CUK917543 CUK983067:CUK983070 CUK983077:CUK983079 DDK30:DDK33 DDK35:DDK36 DDK38:DDK39 DDK43 DDK65563:DDK65566 DDK65570:DDK65571 DDK65573:DDK65574 DDK65578 DDK131099:DDK131102 DDK131106:DDK131107 DDK131109:DDK131110 DDK131114 DDK196635:DDK196638 DDK196642:DDK196643 DDK196645:DDK196646 DDK196650 DDK262171:DDK262174 DDK262178:DDK262179 DDK262181:DDK262182 DDK262186 DDK327707:DDK327710 DDK327714:DDK327715 DDK327717:DDK327718 DDK327722 DDK393243:DDK393246 DDK393250:DDK393251 DDK393253:DDK393254 DDK393258 DDK458779:DDK458782 DDK458786:DDK458787 DDK458789:DDK458790 DDK458794 DDK524315:DDK524318 DDK524322:DDK524323 DDK524325:DDK524326 DDK524330 DDK589851:DDK589854 DDK589858:DDK589859 DDK589861:DDK589862 DDK589866 DDK655387:DDK655390 DDK655394:DDK655395 DDK655397:DDK655398 DDK655402 DDK720923:DDK720926 DDK720930:DDK720931 DDK720933:DDK720934 DDK720938 DDK786459:DDK786462 DDK786466:DDK786467 DDK786469:DDK786470 DDK786474 DDK851995:DDK851998 DDK852002:DDK852003 DDK852005:DDK852006 DDK852010 DDK917531:DDK917534 DDK917538:DDK917539 DDK917541:DDK917542 DDK917546 DDK983067:DDK983070 DDK983074:DDK983075 DDK983077:DDK983078 DDK983082 DDL41 DDL65576 DDL131112 DDL196648 DDL262184 DDL327720 DDL393256 DDL458792 DDL524328 DDL589864 DDL655400 DDL720936 DDL786472 DDL852008 DDL917544 DDL983080 DEF38 DEF65573 DEF131109 DEF196645 DEF262181 DEF327717 DEF393253 DEF458789 DEF524325 DEF589861 DEF655397 DEF720933 DEF786469 DEF852005 DEF917541 DEF983077 DEG30:DEG33 DEG38:DEG40 DEG65563:DEG65566 DEG65573:DEG65575 DEG131099:DEG131102 DEG131109:DEG131111 DEG196635:DEG196638 DEG196645:DEG196647 DEG262171:DEG262174 DEG262181:DEG262183 DEG327707:DEG327710 DEG327717:DEG327719 DEG393243:DEG393246 DEG393253:DEG393255 DEG458779:DEG458782 DEG458789:DEG458791 DEG524315:DEG524318 DEG524325:DEG524327 DEG589851:DEG589854 DEG589861:DEG589863 DEG655387:DEG655390 DEG655397:DEG655399 DEG720923:DEG720926 DEG720933:DEG720935 DEG786459:DEG786462 DEG786469:DEG786471 DEG851995:DEG851998 DEG852005:DEG852007 DEG917531:DEG917534 DEG917541:DEG917543 DEG983067:DEG983070 DEG983077:DEG983079 DNG30:DNG33 DNG35:DNG36 DNG38:DNG39 DNG43 DNG65563:DNG65566 DNG65570:DNG65571 DNG65573:DNG65574 DNG65578 DNG131099:DNG131102 DNG131106:DNG131107 DNG131109:DNG131110 DNG131114 DNG196635:DNG196638 DNG196642:DNG196643 DNG196645:DNG196646 DNG196650 DNG262171:DNG262174 DNG262178:DNG262179 DNG262181:DNG262182 DNG262186 DNG327707:DNG327710 DNG327714:DNG327715 DNG327717:DNG327718 DNG327722 DNG393243:DNG393246 DNG393250:DNG393251 DNG393253:DNG393254 DNG393258 DNG458779:DNG458782 DNG458786:DNG458787 DNG458789:DNG458790 DNG458794 DNG524315:DNG524318 DNG524322:DNG524323 DNG524325:DNG524326 DNG524330 DNG589851:DNG589854 DNG589858:DNG589859 DNG589861:DNG589862 DNG589866 DNG655387:DNG655390 DNG655394:DNG655395 DNG655397:DNG655398 DNG655402 DNG720923:DNG720926 DNG720930:DNG720931 DNG720933:DNG720934 DNG720938 DNG786459:DNG786462 DNG786466:DNG786467 DNG786469:DNG786470 DNG786474 DNG851995:DNG851998 DNG852002:DNG852003 DNG852005:DNG852006 DNG852010 DNG917531:DNG917534 DNG917538:DNG917539 DNG917541:DNG917542 DNG917546 DNG983067:DNG983070 DNG983074:DNG983075 DNG983077:DNG983078 DNG983082 DNH41 DNH65576 DNH131112 DNH196648 DNH262184 DNH327720 DNH393256 DNH458792 DNH524328 DNH589864 DNH655400 DNH720936 DNH786472 DNH852008 DNH917544 DNH983080 DOB38 DOB65573 DOB131109 DOB196645 DOB262181 DOB327717 DOB393253 DOB458789 DOB524325 DOB589861 DOB655397 DOB720933 DOB786469 DOB852005 DOB917541 DOB983077 DOC30:DOC33 DOC38:DOC40 DOC65563:DOC65566 DOC65573:DOC65575 DOC131099:DOC131102 DOC131109:DOC131111 DOC196635:DOC196638 DOC196645:DOC196647 DOC262171:DOC262174 DOC262181:DOC262183 DOC327707:DOC327710 DOC327717:DOC327719 DOC393243:DOC393246 DOC393253:DOC393255 DOC458779:DOC458782 DOC458789:DOC458791 DOC524315:DOC524318 DOC524325:DOC524327 DOC589851:DOC589854 DOC589861:DOC589863 DOC655387:DOC655390 DOC655397:DOC655399 DOC720923:DOC720926 DOC720933:DOC720935 DOC786459:DOC786462 DOC786469:DOC786471 DOC851995:DOC851998 DOC852005:DOC852007 DOC917531:DOC917534 DOC917541:DOC917543 DOC983067:DOC983070 DOC983077:DOC983079 DXC30:DXC33 DXC35:DXC36 DXC38:DXC39 DXC43 DXC65563:DXC65566 DXC65570:DXC65571 DXC65573:DXC65574 DXC65578 DXC131099:DXC131102 DXC131106:DXC131107 DXC131109:DXC131110 DXC131114 DXC196635:DXC196638 DXC196642:DXC196643 DXC196645:DXC196646 DXC196650 DXC262171:DXC262174 DXC262178:DXC262179 DXC262181:DXC262182 DXC262186 DXC327707:DXC327710 DXC327714:DXC327715 DXC327717:DXC327718 DXC327722 DXC393243:DXC393246 DXC393250:DXC393251 DXC393253:DXC393254 DXC393258 DXC458779:DXC458782 DXC458786:DXC458787 DXC458789:DXC458790 DXC458794 DXC524315:DXC524318 DXC524322:DXC524323 DXC524325:DXC524326 DXC524330 DXC589851:DXC589854 DXC589858:DXC589859 DXC589861:DXC589862 DXC589866 DXC655387:DXC655390 DXC655394:DXC655395 DXC655397:DXC655398 DXC655402 DXC720923:DXC720926 DXC720930:DXC720931 DXC720933:DXC720934 DXC720938 DXC786459:DXC786462 DXC786466:DXC786467 DXC786469:DXC786470 DXC786474 DXC851995:DXC851998 DXC852002:DXC852003 DXC852005:DXC852006 DXC852010 DXC917531:DXC917534 DXC917538:DXC917539 DXC917541:DXC917542 DXC917546 DXC983067:DXC983070 DXC983074:DXC983075 DXC983077:DXC983078 DXC983082 DXD41 DXD65576 DXD131112 DXD196648 DXD262184 DXD327720 DXD393256 DXD458792 DXD524328 DXD589864 DXD655400 DXD720936 DXD786472 DXD852008 DXD917544 DXD983080 DXX38 DXX65573 DXX131109 DXX196645 DXX262181 DXX327717 DXX393253 DXX458789 DXX524325 DXX589861 DXX655397 DXX720933 DXX786469 DXX852005 DXX917541 DXX983077 DXY30:DXY33 DXY38:DXY40 DXY65563:DXY65566 DXY65573:DXY65575 DXY131099:DXY131102 DXY131109:DXY131111 DXY196635:DXY196638 DXY196645:DXY196647 DXY262171:DXY262174 DXY262181:DXY262183 DXY327707:DXY327710 DXY327717:DXY327719 DXY393243:DXY393246 DXY393253:DXY393255 DXY458779:DXY458782 DXY458789:DXY458791 DXY524315:DXY524318 DXY524325:DXY524327 DXY589851:DXY589854 DXY589861:DXY589863 DXY655387:DXY655390 DXY655397:DXY655399 DXY720923:DXY720926 DXY720933:DXY720935 DXY786459:DXY786462 DXY786469:DXY786471 DXY851995:DXY851998 DXY852005:DXY852007 DXY917531:DXY917534 DXY917541:DXY917543 DXY983067:DXY983070 DXY983077:DXY983079 EGY30:EGY33 EGY35:EGY36 EGY38:EGY39 EGY43 EGY65563:EGY65566 EGY65570:EGY65571 EGY65573:EGY65574 EGY65578 EGY131099:EGY131102 EGY131106:EGY131107 EGY131109:EGY131110 EGY131114 EGY196635:EGY196638 EGY196642:EGY196643 EGY196645:EGY196646 EGY196650 EGY262171:EGY262174 EGY262178:EGY262179 EGY262181:EGY262182 EGY262186 EGY327707:EGY327710 EGY327714:EGY327715 EGY327717:EGY327718 EGY327722 EGY393243:EGY393246 EGY393250:EGY393251 EGY393253:EGY393254 EGY393258 EGY458779:EGY458782 EGY458786:EGY458787 EGY458789:EGY458790 EGY458794 EGY524315:EGY524318 EGY524322:EGY524323 EGY524325:EGY524326 EGY524330 EGY589851:EGY589854 EGY589858:EGY589859 EGY589861:EGY589862 EGY589866 EGY655387:EGY655390 EGY655394:EGY655395 EGY655397:EGY655398 EGY655402 EGY720923:EGY720926 EGY720930:EGY720931 EGY720933:EGY720934 EGY720938 EGY786459:EGY786462 EGY786466:EGY786467 EGY786469:EGY786470 EGY786474 EGY851995:EGY851998 EGY852002:EGY852003 EGY852005:EGY852006 EGY852010 EGY917531:EGY917534 EGY917538:EGY917539 EGY917541:EGY917542 EGY917546 EGY983067:EGY983070 EGY983074:EGY983075 EGY983077:EGY983078 EGY983082 EGZ41 EGZ65576 EGZ131112 EGZ196648 EGZ262184 EGZ327720 EGZ393256 EGZ458792 EGZ524328 EGZ589864 EGZ655400 EGZ720936 EGZ786472 EGZ852008 EGZ917544 EGZ983080 EHT38 EHT65573 EHT131109 EHT196645 EHT262181 EHT327717 EHT393253 EHT458789 EHT524325 EHT589861 EHT655397 EHT720933 EHT786469 EHT852005 EHT917541 EHT983077 EHU30:EHU33 EHU38:EHU40 EHU65563:EHU65566 EHU65573:EHU65575 EHU131099:EHU131102 EHU131109:EHU131111 EHU196635:EHU196638 EHU196645:EHU196647 EHU262171:EHU262174 EHU262181:EHU262183 EHU327707:EHU327710 EHU327717:EHU327719 EHU393243:EHU393246 EHU393253:EHU393255 EHU458779:EHU458782 EHU458789:EHU458791 EHU524315:EHU524318 EHU524325:EHU524327 EHU589851:EHU589854 EHU589861:EHU589863 EHU655387:EHU655390 EHU655397:EHU655399 EHU720923:EHU720926 EHU720933:EHU720935 EHU786459:EHU786462 EHU786469:EHU786471 EHU851995:EHU851998 EHU852005:EHU852007 EHU917531:EHU917534 EHU917541:EHU917543 EHU983067:EHU983070 EHU983077:EHU983079 EQU30:EQU33 EQU35:EQU36 EQU38:EQU39 EQU43 EQU65563:EQU65566 EQU65570:EQU65571 EQU65573:EQU65574 EQU65578 EQU131099:EQU131102 EQU131106:EQU131107 EQU131109:EQU131110 EQU131114 EQU196635:EQU196638 EQU196642:EQU196643 EQU196645:EQU196646 EQU196650 EQU262171:EQU262174 EQU262178:EQU262179 EQU262181:EQU262182 EQU262186 EQU327707:EQU327710 EQU327714:EQU327715 EQU327717:EQU327718 EQU327722 EQU393243:EQU393246 EQU393250:EQU393251 EQU393253:EQU393254 EQU393258 EQU458779:EQU458782 EQU458786:EQU458787 EQU458789:EQU458790 EQU458794 EQU524315:EQU524318 EQU524322:EQU524323 EQU524325:EQU524326 EQU524330 EQU589851:EQU589854 EQU589858:EQU589859 EQU589861:EQU589862 EQU589866 EQU655387:EQU655390 EQU655394:EQU655395 EQU655397:EQU655398 EQU655402 EQU720923:EQU720926 EQU720930:EQU720931 EQU720933:EQU720934 EQU720938 EQU786459:EQU786462 EQU786466:EQU786467 EQU786469:EQU786470 EQU786474 EQU851995:EQU851998 EQU852002:EQU852003 EQU852005:EQU852006 EQU852010 EQU917531:EQU917534 EQU917538:EQU917539 EQU917541:EQU917542 EQU917546 EQU983067:EQU983070 EQU983074:EQU983075 EQU983077:EQU983078 EQU983082 EQV41 EQV65576 EQV131112 EQV196648 EQV262184 EQV327720 EQV393256 EQV458792 EQV524328 EQV589864 EQV655400 EQV720936 EQV786472 EQV852008 EQV917544 EQV983080 ERP38 ERP65573 ERP131109 ERP196645 ERP262181 ERP327717 ERP393253 ERP458789 ERP524325 ERP589861 ERP655397 ERP720933 ERP786469 ERP852005 ERP917541 ERP983077 ERQ30:ERQ33 ERQ38:ERQ40 ERQ65563:ERQ65566 ERQ65573:ERQ65575 ERQ131099:ERQ131102 ERQ131109:ERQ131111 ERQ196635:ERQ196638 ERQ196645:ERQ196647 ERQ262171:ERQ262174 ERQ262181:ERQ262183 ERQ327707:ERQ327710 ERQ327717:ERQ327719 ERQ393243:ERQ393246 ERQ393253:ERQ393255 ERQ458779:ERQ458782 ERQ458789:ERQ458791 ERQ524315:ERQ524318 ERQ524325:ERQ524327 ERQ589851:ERQ589854 ERQ589861:ERQ589863 ERQ655387:ERQ655390 ERQ655397:ERQ655399 ERQ720923:ERQ720926 ERQ720933:ERQ720935 ERQ786459:ERQ786462 ERQ786469:ERQ786471 ERQ851995:ERQ851998 ERQ852005:ERQ852007 ERQ917531:ERQ917534 ERQ917541:ERQ917543 ERQ983067:ERQ983070 ERQ983077:ERQ983079 FAQ30:FAQ33 FAQ35:FAQ36 FAQ38:FAQ39 FAQ43 FAQ65563:FAQ65566 FAQ65570:FAQ65571 FAQ65573:FAQ65574 FAQ65578 FAQ131099:FAQ131102 FAQ131106:FAQ131107 FAQ131109:FAQ131110 FAQ131114 FAQ196635:FAQ196638 FAQ196642:FAQ196643 FAQ196645:FAQ196646 FAQ196650 FAQ262171:FAQ262174 FAQ262178:FAQ262179 FAQ262181:FAQ262182 FAQ262186 FAQ327707:FAQ327710 FAQ327714:FAQ327715 FAQ327717:FAQ327718 FAQ327722 FAQ393243:FAQ393246 FAQ393250:FAQ393251 FAQ393253:FAQ393254 FAQ393258 FAQ458779:FAQ458782 FAQ458786:FAQ458787 FAQ458789:FAQ458790 FAQ458794 FAQ524315:FAQ524318 FAQ524322:FAQ524323 FAQ524325:FAQ524326 FAQ524330 FAQ589851:FAQ589854 FAQ589858:FAQ589859 FAQ589861:FAQ589862 FAQ589866 FAQ655387:FAQ655390 FAQ655394:FAQ655395 FAQ655397:FAQ655398 FAQ655402 FAQ720923:FAQ720926 FAQ720930:FAQ720931 FAQ720933:FAQ720934 FAQ720938 FAQ786459:FAQ786462 FAQ786466:FAQ786467 FAQ786469:FAQ786470 FAQ786474 FAQ851995:FAQ851998 FAQ852002:FAQ852003 FAQ852005:FAQ852006 FAQ852010 FAQ917531:FAQ917534 FAQ917538:FAQ917539 FAQ917541:FAQ917542 FAQ917546 FAQ983067:FAQ983070 FAQ983074:FAQ983075 FAQ983077:FAQ983078 FAQ983082 FAR41 FAR65576 FAR131112 FAR196648 FAR262184 FAR327720 FAR393256 FAR458792 FAR524328 FAR589864 FAR655400 FAR720936 FAR786472 FAR852008 FAR917544 FAR983080 FBL38 FBL65573 FBL131109 FBL196645 FBL262181 FBL327717 FBL393253 FBL458789 FBL524325 FBL589861 FBL655397 FBL720933 FBL786469 FBL852005 FBL917541 FBL983077 FBM30:FBM33 FBM38:FBM40 FBM65563:FBM65566 FBM65573:FBM65575 FBM131099:FBM131102 FBM131109:FBM131111 FBM196635:FBM196638 FBM196645:FBM196647 FBM262171:FBM262174 FBM262181:FBM262183 FBM327707:FBM327710 FBM327717:FBM327719 FBM393243:FBM393246 FBM393253:FBM393255 FBM458779:FBM458782 FBM458789:FBM458791 FBM524315:FBM524318 FBM524325:FBM524327 FBM589851:FBM589854 FBM589861:FBM589863 FBM655387:FBM655390 FBM655397:FBM655399 FBM720923:FBM720926 FBM720933:FBM720935 FBM786459:FBM786462 FBM786469:FBM786471 FBM851995:FBM851998 FBM852005:FBM852007 FBM917531:FBM917534 FBM917541:FBM917543 FBM983067:FBM983070 FBM983077:FBM983079 FKM30:FKM33 FKM35:FKM36 FKM38:FKM39 FKM43 FKM65563:FKM65566 FKM65570:FKM65571 FKM65573:FKM65574 FKM65578 FKM131099:FKM131102 FKM131106:FKM131107 FKM131109:FKM131110 FKM131114 FKM196635:FKM196638 FKM196642:FKM196643 FKM196645:FKM196646 FKM196650 FKM262171:FKM262174 FKM262178:FKM262179 FKM262181:FKM262182 FKM262186 FKM327707:FKM327710 FKM327714:FKM327715 FKM327717:FKM327718 FKM327722 FKM393243:FKM393246 FKM393250:FKM393251 FKM393253:FKM393254 FKM393258 FKM458779:FKM458782 FKM458786:FKM458787 FKM458789:FKM458790 FKM458794 FKM524315:FKM524318 FKM524322:FKM524323 FKM524325:FKM524326 FKM524330 FKM589851:FKM589854 FKM589858:FKM589859 FKM589861:FKM589862 FKM589866 FKM655387:FKM655390 FKM655394:FKM655395 FKM655397:FKM655398 FKM655402 FKM720923:FKM720926 FKM720930:FKM720931 FKM720933:FKM720934 FKM720938 FKM786459:FKM786462 FKM786466:FKM786467 FKM786469:FKM786470 FKM786474 FKM851995:FKM851998 FKM852002:FKM852003 FKM852005:FKM852006 FKM852010 FKM917531:FKM917534 FKM917538:FKM917539 FKM917541:FKM917542 FKM917546 FKM983067:FKM983070 FKM983074:FKM983075 FKM983077:FKM983078 FKM983082 FKN41 FKN65576 FKN131112 FKN196648 FKN262184 FKN327720 FKN393256 FKN458792 FKN524328 FKN589864 FKN655400 FKN720936 FKN786472 FKN852008 FKN917544 FKN983080 FLH38 FLH65573 FLH131109 FLH196645 FLH262181 FLH327717 FLH393253 FLH458789 FLH524325 FLH589861 FLH655397 FLH720933 FLH786469 FLH852005 FLH917541 FLH983077 FLI30:FLI33 FLI38:FLI40 FLI65563:FLI65566 FLI65573:FLI65575 FLI131099:FLI131102 FLI131109:FLI131111 FLI196635:FLI196638 FLI196645:FLI196647 FLI262171:FLI262174 FLI262181:FLI262183 FLI327707:FLI327710 FLI327717:FLI327719 FLI393243:FLI393246 FLI393253:FLI393255 FLI458779:FLI458782 FLI458789:FLI458791 FLI524315:FLI524318 FLI524325:FLI524327 FLI589851:FLI589854 FLI589861:FLI589863 FLI655387:FLI655390 FLI655397:FLI655399 FLI720923:FLI720926 FLI720933:FLI720935 FLI786459:FLI786462 FLI786469:FLI786471 FLI851995:FLI851998 FLI852005:FLI852007 FLI917531:FLI917534 FLI917541:FLI917543 FLI983067:FLI983070 FLI983077:FLI983079 FUI30:FUI33 FUI35:FUI36 FUI38:FUI39 FUI43 FUI65563:FUI65566 FUI65570:FUI65571 FUI65573:FUI65574 FUI65578 FUI131099:FUI131102 FUI131106:FUI131107 FUI131109:FUI131110 FUI131114 FUI196635:FUI196638 FUI196642:FUI196643 FUI196645:FUI196646 FUI196650 FUI262171:FUI262174 FUI262178:FUI262179 FUI262181:FUI262182 FUI262186 FUI327707:FUI327710 FUI327714:FUI327715 FUI327717:FUI327718 FUI327722 FUI393243:FUI393246 FUI393250:FUI393251 FUI393253:FUI393254 FUI393258 FUI458779:FUI458782 FUI458786:FUI458787 FUI458789:FUI458790 FUI458794 FUI524315:FUI524318 FUI524322:FUI524323 FUI524325:FUI524326 FUI524330 FUI589851:FUI589854 FUI589858:FUI589859 FUI589861:FUI589862 FUI589866 FUI655387:FUI655390 FUI655394:FUI655395 FUI655397:FUI655398 FUI655402 FUI720923:FUI720926 FUI720930:FUI720931 FUI720933:FUI720934 FUI720938 FUI786459:FUI786462 FUI786466:FUI786467 FUI786469:FUI786470 FUI786474 FUI851995:FUI851998 FUI852002:FUI852003 FUI852005:FUI852006 FUI852010 FUI917531:FUI917534 FUI917538:FUI917539 FUI917541:FUI917542 FUI917546 FUI983067:FUI983070 FUI983074:FUI983075 FUI983077:FUI983078 FUI983082 FUJ41 FUJ65576 FUJ131112 FUJ196648 FUJ262184 FUJ327720 FUJ393256 FUJ458792 FUJ524328 FUJ589864 FUJ655400 FUJ720936 FUJ786472 FUJ852008 FUJ917544 FUJ983080 FVD38 FVD65573 FVD131109 FVD196645 FVD262181 FVD327717 FVD393253 FVD458789 FVD524325 FVD589861 FVD655397 FVD720933 FVD786469 FVD852005 FVD917541 FVD983077 FVE30:FVE33 FVE38:FVE40 FVE65563:FVE65566 FVE65573:FVE65575 FVE131099:FVE131102 FVE131109:FVE131111 FVE196635:FVE196638 FVE196645:FVE196647 FVE262171:FVE262174 FVE262181:FVE262183 FVE327707:FVE327710 FVE327717:FVE327719 FVE393243:FVE393246 FVE393253:FVE393255 FVE458779:FVE458782 FVE458789:FVE458791 FVE524315:FVE524318 FVE524325:FVE524327 FVE589851:FVE589854 FVE589861:FVE589863 FVE655387:FVE655390 FVE655397:FVE655399 FVE720923:FVE720926 FVE720933:FVE720935 FVE786459:FVE786462 FVE786469:FVE786471 FVE851995:FVE851998 FVE852005:FVE852007 FVE917531:FVE917534 FVE917541:FVE917543 FVE983067:FVE983070 FVE983077:FVE983079 GEE30:GEE33 GEE35:GEE36 GEE38:GEE39 GEE43 GEE65563:GEE65566 GEE65570:GEE65571 GEE65573:GEE65574 GEE65578 GEE131099:GEE131102 GEE131106:GEE131107 GEE131109:GEE131110 GEE131114 GEE196635:GEE196638 GEE196642:GEE196643 GEE196645:GEE196646 GEE196650 GEE262171:GEE262174 GEE262178:GEE262179 GEE262181:GEE262182 GEE262186 GEE327707:GEE327710 GEE327714:GEE327715 GEE327717:GEE327718 GEE327722 GEE393243:GEE393246 GEE393250:GEE393251 GEE393253:GEE393254 GEE393258 GEE458779:GEE458782 GEE458786:GEE458787 GEE458789:GEE458790 GEE458794 GEE524315:GEE524318 GEE524322:GEE524323 GEE524325:GEE524326 GEE524330 GEE589851:GEE589854 GEE589858:GEE589859 GEE589861:GEE589862 GEE589866 GEE655387:GEE655390 GEE655394:GEE655395 GEE655397:GEE655398 GEE655402 GEE720923:GEE720926 GEE720930:GEE720931 GEE720933:GEE720934 GEE720938 GEE786459:GEE786462 GEE786466:GEE786467 GEE786469:GEE786470 GEE786474 GEE851995:GEE851998 GEE852002:GEE852003 GEE852005:GEE852006 GEE852010 GEE917531:GEE917534 GEE917538:GEE917539 GEE917541:GEE917542 GEE917546 GEE983067:GEE983070 GEE983074:GEE983075 GEE983077:GEE983078 GEE983082 GEF41 GEF65576 GEF131112 GEF196648 GEF262184 GEF327720 GEF393256 GEF458792 GEF524328 GEF589864 GEF655400 GEF720936 GEF786472 GEF852008 GEF917544 GEF983080 GEZ38 GEZ65573 GEZ131109 GEZ196645 GEZ262181 GEZ327717 GEZ393253 GEZ458789 GEZ524325 GEZ589861 GEZ655397 GEZ720933 GEZ786469 GEZ852005 GEZ917541 GEZ983077 GFA30:GFA33 GFA38:GFA40 GFA65563:GFA65566 GFA65573:GFA65575 GFA131099:GFA131102 GFA131109:GFA131111 GFA196635:GFA196638 GFA196645:GFA196647 GFA262171:GFA262174 GFA262181:GFA262183 GFA327707:GFA327710 GFA327717:GFA327719 GFA393243:GFA393246 GFA393253:GFA393255 GFA458779:GFA458782 GFA458789:GFA458791 GFA524315:GFA524318 GFA524325:GFA524327 GFA589851:GFA589854 GFA589861:GFA589863 GFA655387:GFA655390 GFA655397:GFA655399 GFA720923:GFA720926 GFA720933:GFA720935 GFA786459:GFA786462 GFA786469:GFA786471 GFA851995:GFA851998 GFA852005:GFA852007 GFA917531:GFA917534 GFA917541:GFA917543 GFA983067:GFA983070 GFA983077:GFA983079 GOA30:GOA33 GOA35:GOA36 GOA38:GOA39 GOA43 GOA65563:GOA65566 GOA65570:GOA65571 GOA65573:GOA65574 GOA65578 GOA131099:GOA131102 GOA131106:GOA131107 GOA131109:GOA131110 GOA131114 GOA196635:GOA196638 GOA196642:GOA196643 GOA196645:GOA196646 GOA196650 GOA262171:GOA262174 GOA262178:GOA262179 GOA262181:GOA262182 GOA262186 GOA327707:GOA327710 GOA327714:GOA327715 GOA327717:GOA327718 GOA327722 GOA393243:GOA393246 GOA393250:GOA393251 GOA393253:GOA393254 GOA393258 GOA458779:GOA458782 GOA458786:GOA458787 GOA458789:GOA458790 GOA458794 GOA524315:GOA524318 GOA524322:GOA524323 GOA524325:GOA524326 GOA524330 GOA589851:GOA589854 GOA589858:GOA589859 GOA589861:GOA589862 GOA589866 GOA655387:GOA655390 GOA655394:GOA655395 GOA655397:GOA655398 GOA655402 GOA720923:GOA720926 GOA720930:GOA720931 GOA720933:GOA720934 GOA720938 GOA786459:GOA786462 GOA786466:GOA786467 GOA786469:GOA786470 GOA786474 GOA851995:GOA851998 GOA852002:GOA852003 GOA852005:GOA852006 GOA852010 GOA917531:GOA917534 GOA917538:GOA917539 GOA917541:GOA917542 GOA917546 GOA983067:GOA983070 GOA983074:GOA983075 GOA983077:GOA983078 GOA983082 GOB41 GOB65576 GOB131112 GOB196648 GOB262184 GOB327720 GOB393256 GOB458792 GOB524328 GOB589864 GOB655400 GOB720936 GOB786472 GOB852008 GOB917544 GOB983080 GOV38 GOV65573 GOV131109 GOV196645 GOV262181 GOV327717 GOV393253 GOV458789 GOV524325 GOV589861 GOV655397 GOV720933 GOV786469 GOV852005 GOV917541 GOV983077 GOW30:GOW33 GOW38:GOW40 GOW65563:GOW65566 GOW65573:GOW65575 GOW131099:GOW131102 GOW131109:GOW131111 GOW196635:GOW196638 GOW196645:GOW196647 GOW262171:GOW262174 GOW262181:GOW262183 GOW327707:GOW327710 GOW327717:GOW327719 GOW393243:GOW393246 GOW393253:GOW393255 GOW458779:GOW458782 GOW458789:GOW458791 GOW524315:GOW524318 GOW524325:GOW524327 GOW589851:GOW589854 GOW589861:GOW589863 GOW655387:GOW655390 GOW655397:GOW655399 GOW720923:GOW720926 GOW720933:GOW720935 GOW786459:GOW786462 GOW786469:GOW786471 GOW851995:GOW851998 GOW852005:GOW852007 GOW917531:GOW917534 GOW917541:GOW917543 GOW983067:GOW983070 GOW983077:GOW983079 GXW30:GXW33 GXW35:GXW36 GXW38:GXW39 GXW43 GXW65563:GXW65566 GXW65570:GXW65571 GXW65573:GXW65574 GXW65578 GXW131099:GXW131102 GXW131106:GXW131107 GXW131109:GXW131110 GXW131114 GXW196635:GXW196638 GXW196642:GXW196643 GXW196645:GXW196646 GXW196650 GXW262171:GXW262174 GXW262178:GXW262179 GXW262181:GXW262182 GXW262186 GXW327707:GXW327710 GXW327714:GXW327715 GXW327717:GXW327718 GXW327722 GXW393243:GXW393246 GXW393250:GXW393251 GXW393253:GXW393254 GXW393258 GXW458779:GXW458782 GXW458786:GXW458787 GXW458789:GXW458790 GXW458794 GXW524315:GXW524318 GXW524322:GXW524323 GXW524325:GXW524326 GXW524330 GXW589851:GXW589854 GXW589858:GXW589859 GXW589861:GXW589862 GXW589866 GXW655387:GXW655390 GXW655394:GXW655395 GXW655397:GXW655398 GXW655402 GXW720923:GXW720926 GXW720930:GXW720931 GXW720933:GXW720934 GXW720938 GXW786459:GXW786462 GXW786466:GXW786467 GXW786469:GXW786470 GXW786474 GXW851995:GXW851998 GXW852002:GXW852003 GXW852005:GXW852006 GXW852010 GXW917531:GXW917534 GXW917538:GXW917539 GXW917541:GXW917542 GXW917546 GXW983067:GXW983070 GXW983074:GXW983075 GXW983077:GXW983078 GXW983082 GXX41 GXX65576 GXX131112 GXX196648 GXX262184 GXX327720 GXX393256 GXX458792 GXX524328 GXX589864 GXX655400 GXX720936 GXX786472 GXX852008 GXX917544 GXX983080 GYR38 GYR65573 GYR131109 GYR196645 GYR262181 GYR327717 GYR393253 GYR458789 GYR524325 GYR589861 GYR655397 GYR720933 GYR786469 GYR852005 GYR917541 GYR983077 GYS30:GYS33 GYS38:GYS40 GYS65563:GYS65566 GYS65573:GYS65575 GYS131099:GYS131102 GYS131109:GYS131111 GYS196635:GYS196638 GYS196645:GYS196647 GYS262171:GYS262174 GYS262181:GYS262183 GYS327707:GYS327710 GYS327717:GYS327719 GYS393243:GYS393246 GYS393253:GYS393255 GYS458779:GYS458782 GYS458789:GYS458791 GYS524315:GYS524318 GYS524325:GYS524327 GYS589851:GYS589854 GYS589861:GYS589863 GYS655387:GYS655390 GYS655397:GYS655399 GYS720923:GYS720926 GYS720933:GYS720935 GYS786459:GYS786462 GYS786469:GYS786471 GYS851995:GYS851998 GYS852005:GYS852007 GYS917531:GYS917534 GYS917541:GYS917543 GYS983067:GYS983070 GYS983077:GYS983079 HHS30:HHS33 HHS35:HHS36 HHS38:HHS39 HHS43 HHS65563:HHS65566 HHS65570:HHS65571 HHS65573:HHS65574 HHS65578 HHS131099:HHS131102 HHS131106:HHS131107 HHS131109:HHS131110 HHS131114 HHS196635:HHS196638 HHS196642:HHS196643 HHS196645:HHS196646 HHS196650 HHS262171:HHS262174 HHS262178:HHS262179 HHS262181:HHS262182 HHS262186 HHS327707:HHS327710 HHS327714:HHS327715 HHS327717:HHS327718 HHS327722 HHS393243:HHS393246 HHS393250:HHS393251 HHS393253:HHS393254 HHS393258 HHS458779:HHS458782 HHS458786:HHS458787 HHS458789:HHS458790 HHS458794 HHS524315:HHS524318 HHS524322:HHS524323 HHS524325:HHS524326 HHS524330 HHS589851:HHS589854 HHS589858:HHS589859 HHS589861:HHS589862 HHS589866 HHS655387:HHS655390 HHS655394:HHS655395 HHS655397:HHS655398 HHS655402 HHS720923:HHS720926 HHS720930:HHS720931 HHS720933:HHS720934 HHS720938 HHS786459:HHS786462 HHS786466:HHS786467 HHS786469:HHS786470 HHS786474 HHS851995:HHS851998 HHS852002:HHS852003 HHS852005:HHS852006 HHS852010 HHS917531:HHS917534 HHS917538:HHS917539 HHS917541:HHS917542 HHS917546 HHS983067:HHS983070 HHS983074:HHS983075 HHS983077:HHS983078 HHS983082 HHT41 HHT65576 HHT131112 HHT196648 HHT262184 HHT327720 HHT393256 HHT458792 HHT524328 HHT589864 HHT655400 HHT720936 HHT786472 HHT852008 HHT917544 HHT983080 HIN38 HIN65573 HIN131109 HIN196645 HIN262181 HIN327717 HIN393253 HIN458789 HIN524325 HIN589861 HIN655397 HIN720933 HIN786469 HIN852005 HIN917541 HIN983077 HIO30:HIO33 HIO38:HIO40 HIO65563:HIO65566 HIO65573:HIO65575 HIO131099:HIO131102 HIO131109:HIO131111 HIO196635:HIO196638 HIO196645:HIO196647 HIO262171:HIO262174 HIO262181:HIO262183 HIO327707:HIO327710 HIO327717:HIO327719 HIO393243:HIO393246 HIO393253:HIO393255 HIO458779:HIO458782 HIO458789:HIO458791 HIO524315:HIO524318 HIO524325:HIO524327 HIO589851:HIO589854 HIO589861:HIO589863 HIO655387:HIO655390 HIO655397:HIO655399 HIO720923:HIO720926 HIO720933:HIO720935 HIO786459:HIO786462 HIO786469:HIO786471 HIO851995:HIO851998 HIO852005:HIO852007 HIO917531:HIO917534 HIO917541:HIO917543 HIO983067:HIO983070 HIO983077:HIO983079 HRO30:HRO33 HRO35:HRO36 HRO38:HRO39 HRO43 HRO65563:HRO65566 HRO65570:HRO65571 HRO65573:HRO65574 HRO65578 HRO131099:HRO131102 HRO131106:HRO131107 HRO131109:HRO131110 HRO131114 HRO196635:HRO196638 HRO196642:HRO196643 HRO196645:HRO196646 HRO196650 HRO262171:HRO262174 HRO262178:HRO262179 HRO262181:HRO262182 HRO262186 HRO327707:HRO327710 HRO327714:HRO327715 HRO327717:HRO327718 HRO327722 HRO393243:HRO393246 HRO393250:HRO393251 HRO393253:HRO393254 HRO393258 HRO458779:HRO458782 HRO458786:HRO458787 HRO458789:HRO458790 HRO458794 HRO524315:HRO524318 HRO524322:HRO524323 HRO524325:HRO524326 HRO524330 HRO589851:HRO589854 HRO589858:HRO589859 HRO589861:HRO589862 HRO589866 HRO655387:HRO655390 HRO655394:HRO655395 HRO655397:HRO655398 HRO655402 HRO720923:HRO720926 HRO720930:HRO720931 HRO720933:HRO720934 HRO720938 HRO786459:HRO786462 HRO786466:HRO786467 HRO786469:HRO786470 HRO786474 HRO851995:HRO851998 HRO852002:HRO852003 HRO852005:HRO852006 HRO852010 HRO917531:HRO917534 HRO917538:HRO917539 HRO917541:HRO917542 HRO917546 HRO983067:HRO983070 HRO983074:HRO983075 HRO983077:HRO983078 HRO983082 HRP41 HRP65576 HRP131112 HRP196648 HRP262184 HRP327720 HRP393256 HRP458792 HRP524328 HRP589864 HRP655400 HRP720936 HRP786472 HRP852008 HRP917544 HRP983080 HSJ38 HSJ65573 HSJ131109 HSJ196645 HSJ262181 HSJ327717 HSJ393253 HSJ458789 HSJ524325 HSJ589861 HSJ655397 HSJ720933 HSJ786469 HSJ852005 HSJ917541 HSJ983077 HSK30:HSK33 HSK38:HSK40 HSK65563:HSK65566 HSK65573:HSK65575 HSK131099:HSK131102 HSK131109:HSK131111 HSK196635:HSK196638 HSK196645:HSK196647 HSK262171:HSK262174 HSK262181:HSK262183 HSK327707:HSK327710 HSK327717:HSK327719 HSK393243:HSK393246 HSK393253:HSK393255 HSK458779:HSK458782 HSK458789:HSK458791 HSK524315:HSK524318 HSK524325:HSK524327 HSK589851:HSK589854 HSK589861:HSK589863 HSK655387:HSK655390 HSK655397:HSK655399 HSK720923:HSK720926 HSK720933:HSK720935 HSK786459:HSK786462 HSK786469:HSK786471 HSK851995:HSK851998 HSK852005:HSK852007 HSK917531:HSK917534 HSK917541:HSK917543 HSK983067:HSK983070 HSK983077:HSK983079 IBK30:IBK33 IBK35:IBK36 IBK38:IBK39 IBK43 IBK65563:IBK65566 IBK65570:IBK65571 IBK65573:IBK65574 IBK65578 IBK131099:IBK131102 IBK131106:IBK131107 IBK131109:IBK131110 IBK131114 IBK196635:IBK196638 IBK196642:IBK196643 IBK196645:IBK196646 IBK196650 IBK262171:IBK262174 IBK262178:IBK262179 IBK262181:IBK262182 IBK262186 IBK327707:IBK327710 IBK327714:IBK327715 IBK327717:IBK327718 IBK327722 IBK393243:IBK393246 IBK393250:IBK393251 IBK393253:IBK393254 IBK393258 IBK458779:IBK458782 IBK458786:IBK458787 IBK458789:IBK458790 IBK458794 IBK524315:IBK524318 IBK524322:IBK524323 IBK524325:IBK524326 IBK524330 IBK589851:IBK589854 IBK589858:IBK589859 IBK589861:IBK589862 IBK589866 IBK655387:IBK655390 IBK655394:IBK655395 IBK655397:IBK655398 IBK655402 IBK720923:IBK720926 IBK720930:IBK720931 IBK720933:IBK720934 IBK720938 IBK786459:IBK786462 IBK786466:IBK786467 IBK786469:IBK786470 IBK786474 IBK851995:IBK851998 IBK852002:IBK852003 IBK852005:IBK852006 IBK852010 IBK917531:IBK917534 IBK917538:IBK917539 IBK917541:IBK917542 IBK917546 IBK983067:IBK983070 IBK983074:IBK983075 IBK983077:IBK983078 IBK983082 IBL41 IBL65576 IBL131112 IBL196648 IBL262184 IBL327720 IBL393256 IBL458792 IBL524328 IBL589864 IBL655400 IBL720936 IBL786472 IBL852008 IBL917544 IBL983080 ICF38 ICF65573 ICF131109 ICF196645 ICF262181 ICF327717 ICF393253 ICF458789 ICF524325 ICF589861 ICF655397 ICF720933 ICF786469 ICF852005 ICF917541 ICF983077 ICG30:ICG33 ICG38:ICG40 ICG65563:ICG65566 ICG65573:ICG65575 ICG131099:ICG131102 ICG131109:ICG131111 ICG196635:ICG196638 ICG196645:ICG196647 ICG262171:ICG262174 ICG262181:ICG262183 ICG327707:ICG327710 ICG327717:ICG327719 ICG393243:ICG393246 ICG393253:ICG393255 ICG458779:ICG458782 ICG458789:ICG458791 ICG524315:ICG524318 ICG524325:ICG524327 ICG589851:ICG589854 ICG589861:ICG589863 ICG655387:ICG655390 ICG655397:ICG655399 ICG720923:ICG720926 ICG720933:ICG720935 ICG786459:ICG786462 ICG786469:ICG786471 ICG851995:ICG851998 ICG852005:ICG852007 ICG917531:ICG917534 ICG917541:ICG917543 ICG983067:ICG983070 ICG983077:ICG983079 ILG30:ILG33 ILG35:ILG36 ILG38:ILG39 ILG43 ILG65563:ILG65566 ILG65570:ILG65571 ILG65573:ILG65574 ILG65578 ILG131099:ILG131102 ILG131106:ILG131107 ILG131109:ILG131110 ILG131114 ILG196635:ILG196638 ILG196642:ILG196643 ILG196645:ILG196646 ILG196650 ILG262171:ILG262174 ILG262178:ILG262179 ILG262181:ILG262182 ILG262186 ILG327707:ILG327710 ILG327714:ILG327715 ILG327717:ILG327718 ILG327722 ILG393243:ILG393246 ILG393250:ILG393251 ILG393253:ILG393254 ILG393258 ILG458779:ILG458782 ILG458786:ILG458787 ILG458789:ILG458790 ILG458794 ILG524315:ILG524318 ILG524322:ILG524323 ILG524325:ILG524326 ILG524330 ILG589851:ILG589854 ILG589858:ILG589859 ILG589861:ILG589862 ILG589866 ILG655387:ILG655390 ILG655394:ILG655395 ILG655397:ILG655398 ILG655402 ILG720923:ILG720926 ILG720930:ILG720931 ILG720933:ILG720934 ILG720938 ILG786459:ILG786462 ILG786466:ILG786467 ILG786469:ILG786470 ILG786474 ILG851995:ILG851998 ILG852002:ILG852003 ILG852005:ILG852006 ILG852010 ILG917531:ILG917534 ILG917538:ILG917539 ILG917541:ILG917542 ILG917546 ILG983067:ILG983070 ILG983074:ILG983075 ILG983077:ILG983078 ILG983082 ILH41 ILH65576 ILH131112 ILH196648 ILH262184 ILH327720 ILH393256 ILH458792 ILH524328 ILH589864 ILH655400 ILH720936 ILH786472 ILH852008 ILH917544 ILH983080 IMB38 IMB65573 IMB131109 IMB196645 IMB262181 IMB327717 IMB393253 IMB458789 IMB524325 IMB589861 IMB655397 IMB720933 IMB786469 IMB852005 IMB917541 IMB983077 IMC30:IMC33 IMC38:IMC40 IMC65563:IMC65566 IMC65573:IMC65575 IMC131099:IMC131102 IMC131109:IMC131111 IMC196635:IMC196638 IMC196645:IMC196647 IMC262171:IMC262174 IMC262181:IMC262183 IMC327707:IMC327710 IMC327717:IMC327719 IMC393243:IMC393246 IMC393253:IMC393255 IMC458779:IMC458782 IMC458789:IMC458791 IMC524315:IMC524318 IMC524325:IMC524327 IMC589851:IMC589854 IMC589861:IMC589863 IMC655387:IMC655390 IMC655397:IMC655399 IMC720923:IMC720926 IMC720933:IMC720935 IMC786459:IMC786462 IMC786469:IMC786471 IMC851995:IMC851998 IMC852005:IMC852007 IMC917531:IMC917534 IMC917541:IMC917543 IMC983067:IMC983070 IMC983077:IMC983079 IVC30:IVC33 IVC35:IVC36 IVC38:IVC39 IVC43 IVC65563:IVC65566 IVC65570:IVC65571 IVC65573:IVC65574 IVC65578 IVC131099:IVC131102 IVC131106:IVC131107 IVC131109:IVC131110 IVC131114 IVC196635:IVC196638 IVC196642:IVC196643 IVC196645:IVC196646 IVC196650 IVC262171:IVC262174 IVC262178:IVC262179 IVC262181:IVC262182 IVC262186 IVC327707:IVC327710 IVC327714:IVC327715 IVC327717:IVC327718 IVC327722 IVC393243:IVC393246 IVC393250:IVC393251 IVC393253:IVC393254 IVC393258 IVC458779:IVC458782 IVC458786:IVC458787 IVC458789:IVC458790 IVC458794 IVC524315:IVC524318 IVC524322:IVC524323 IVC524325:IVC524326 IVC524330 IVC589851:IVC589854 IVC589858:IVC589859 IVC589861:IVC589862 IVC589866 IVC655387:IVC655390 IVC655394:IVC655395 IVC655397:IVC655398 IVC655402 IVC720923:IVC720926 IVC720930:IVC720931 IVC720933:IVC720934 IVC720938 IVC786459:IVC786462 IVC786466:IVC786467 IVC786469:IVC786470 IVC786474 IVC851995:IVC851998 IVC852002:IVC852003 IVC852005:IVC852006 IVC852010 IVC917531:IVC917534 IVC917538:IVC917539 IVC917541:IVC917542 IVC917546 IVC983067:IVC983070 IVC983074:IVC983075 IVC983077:IVC983078 IVC983082 IVD41 IVD65576 IVD131112 IVD196648 IVD262184 IVD327720 IVD393256 IVD458792 IVD524328 IVD589864 IVD655400 IVD720936 IVD786472 IVD852008 IVD917544 IVD983080 IVX38 IVX65573 IVX131109 IVX196645 IVX262181 IVX327717 IVX393253 IVX458789 IVX524325 IVX589861 IVX655397 IVX720933 IVX786469 IVX852005 IVX917541 IVX983077 IVY30:IVY33 IVY38:IVY40 IVY65563:IVY65566 IVY65573:IVY65575 IVY131099:IVY131102 IVY131109:IVY131111 IVY196635:IVY196638 IVY196645:IVY196647 IVY262171:IVY262174 IVY262181:IVY262183 IVY327707:IVY327710 IVY327717:IVY327719 IVY393243:IVY393246 IVY393253:IVY393255 IVY458779:IVY458782 IVY458789:IVY458791 IVY524315:IVY524318 IVY524325:IVY524327 IVY589851:IVY589854 IVY589861:IVY589863 IVY655387:IVY655390 IVY655397:IVY655399 IVY720923:IVY720926 IVY720933:IVY720935 IVY786459:IVY786462 IVY786469:IVY786471 IVY851995:IVY851998 IVY852005:IVY852007 IVY917531:IVY917534 IVY917541:IVY917543 IVY983067:IVY983070 IVY983077:IVY983079 JEY30:JEY33 JEY35:JEY36 JEY38:JEY39 JEY43 JEY65563:JEY65566 JEY65570:JEY65571 JEY65573:JEY65574 JEY65578 JEY131099:JEY131102 JEY131106:JEY131107 JEY131109:JEY131110 JEY131114 JEY196635:JEY196638 JEY196642:JEY196643 JEY196645:JEY196646 JEY196650 JEY262171:JEY262174 JEY262178:JEY262179 JEY262181:JEY262182 JEY262186 JEY327707:JEY327710 JEY327714:JEY327715 JEY327717:JEY327718 JEY327722 JEY393243:JEY393246 JEY393250:JEY393251 JEY393253:JEY393254 JEY393258 JEY458779:JEY458782 JEY458786:JEY458787 JEY458789:JEY458790 JEY458794 JEY524315:JEY524318 JEY524322:JEY524323 JEY524325:JEY524326 JEY524330 JEY589851:JEY589854 JEY589858:JEY589859 JEY589861:JEY589862 JEY589866 JEY655387:JEY655390 JEY655394:JEY655395 JEY655397:JEY655398 JEY655402 JEY720923:JEY720926 JEY720930:JEY720931 JEY720933:JEY720934 JEY720938 JEY786459:JEY786462 JEY786466:JEY786467 JEY786469:JEY786470 JEY786474 JEY851995:JEY851998 JEY852002:JEY852003 JEY852005:JEY852006 JEY852010 JEY917531:JEY917534 JEY917538:JEY917539 JEY917541:JEY917542 JEY917546 JEY983067:JEY983070 JEY983074:JEY983075 JEY983077:JEY983078 JEY983082 JEZ41 JEZ65576 JEZ131112 JEZ196648 JEZ262184 JEZ327720 JEZ393256 JEZ458792 JEZ524328 JEZ589864 JEZ655400 JEZ720936 JEZ786472 JEZ852008 JEZ917544 JEZ983080 JFT38 JFT65573 JFT131109 JFT196645 JFT262181 JFT327717 JFT393253 JFT458789 JFT524325 JFT589861 JFT655397 JFT720933 JFT786469 JFT852005 JFT917541 JFT983077 JFU30:JFU33 JFU38:JFU40 JFU65563:JFU65566 JFU65573:JFU65575 JFU131099:JFU131102 JFU131109:JFU131111 JFU196635:JFU196638 JFU196645:JFU196647 JFU262171:JFU262174 JFU262181:JFU262183 JFU327707:JFU327710 JFU327717:JFU327719 JFU393243:JFU393246 JFU393253:JFU393255 JFU458779:JFU458782 JFU458789:JFU458791 JFU524315:JFU524318 JFU524325:JFU524327 JFU589851:JFU589854 JFU589861:JFU589863 JFU655387:JFU655390 JFU655397:JFU655399 JFU720923:JFU720926 JFU720933:JFU720935 JFU786459:JFU786462 JFU786469:JFU786471 JFU851995:JFU851998 JFU852005:JFU852007 JFU917531:JFU917534 JFU917541:JFU917543 JFU983067:JFU983070 JFU983077:JFU983079 JOU30:JOU33 JOU35:JOU36 JOU38:JOU39 JOU43 JOU65563:JOU65566 JOU65570:JOU65571 JOU65573:JOU65574 JOU65578 JOU131099:JOU131102 JOU131106:JOU131107 JOU131109:JOU131110 JOU131114 JOU196635:JOU196638 JOU196642:JOU196643 JOU196645:JOU196646 JOU196650 JOU262171:JOU262174 JOU262178:JOU262179 JOU262181:JOU262182 JOU262186 JOU327707:JOU327710 JOU327714:JOU327715 JOU327717:JOU327718 JOU327722 JOU393243:JOU393246 JOU393250:JOU393251 JOU393253:JOU393254 JOU393258 JOU458779:JOU458782 JOU458786:JOU458787 JOU458789:JOU458790 JOU458794 JOU524315:JOU524318 JOU524322:JOU524323 JOU524325:JOU524326 JOU524330 JOU589851:JOU589854 JOU589858:JOU589859 JOU589861:JOU589862 JOU589866 JOU655387:JOU655390 JOU655394:JOU655395 JOU655397:JOU655398 JOU655402 JOU720923:JOU720926 JOU720930:JOU720931 JOU720933:JOU720934 JOU720938 JOU786459:JOU786462 JOU786466:JOU786467 JOU786469:JOU786470 JOU786474 JOU851995:JOU851998 JOU852002:JOU852003 JOU852005:JOU852006 JOU852010 JOU917531:JOU917534 JOU917538:JOU917539 JOU917541:JOU917542 JOU917546 JOU983067:JOU983070 JOU983074:JOU983075 JOU983077:JOU983078 JOU983082 JOV41 JOV65576 JOV131112 JOV196648 JOV262184 JOV327720 JOV393256 JOV458792 JOV524328 JOV589864 JOV655400 JOV720936 JOV786472 JOV852008 JOV917544 JOV983080 JPP38 JPP65573 JPP131109 JPP196645 JPP262181 JPP327717 JPP393253 JPP458789 JPP524325 JPP589861 JPP655397 JPP720933 JPP786469 JPP852005 JPP917541 JPP983077 JPQ30:JPQ33 JPQ38:JPQ40 JPQ65563:JPQ65566 JPQ65573:JPQ65575 JPQ131099:JPQ131102 JPQ131109:JPQ131111 JPQ196635:JPQ196638 JPQ196645:JPQ196647 JPQ262171:JPQ262174 JPQ262181:JPQ262183 JPQ327707:JPQ327710 JPQ327717:JPQ327719 JPQ393243:JPQ393246 JPQ393253:JPQ393255 JPQ458779:JPQ458782 JPQ458789:JPQ458791 JPQ524315:JPQ524318 JPQ524325:JPQ524327 JPQ589851:JPQ589854 JPQ589861:JPQ589863 JPQ655387:JPQ655390 JPQ655397:JPQ655399 JPQ720923:JPQ720926 JPQ720933:JPQ720935 JPQ786459:JPQ786462 JPQ786469:JPQ786471 JPQ851995:JPQ851998 JPQ852005:JPQ852007 JPQ917531:JPQ917534 JPQ917541:JPQ917543 JPQ983067:JPQ983070 JPQ983077:JPQ983079 JYQ30:JYQ33 JYQ35:JYQ36 JYQ38:JYQ39 JYQ43 JYQ65563:JYQ65566 JYQ65570:JYQ65571 JYQ65573:JYQ65574 JYQ65578 JYQ131099:JYQ131102 JYQ131106:JYQ131107 JYQ131109:JYQ131110 JYQ131114 JYQ196635:JYQ196638 JYQ196642:JYQ196643 JYQ196645:JYQ196646 JYQ196650 JYQ262171:JYQ262174 JYQ262178:JYQ262179 JYQ262181:JYQ262182 JYQ262186 JYQ327707:JYQ327710 JYQ327714:JYQ327715 JYQ327717:JYQ327718 JYQ327722 JYQ393243:JYQ393246 JYQ393250:JYQ393251 JYQ393253:JYQ393254 JYQ393258 JYQ458779:JYQ458782 JYQ458786:JYQ458787 JYQ458789:JYQ458790 JYQ458794 JYQ524315:JYQ524318 JYQ524322:JYQ524323 JYQ524325:JYQ524326 JYQ524330 JYQ589851:JYQ589854 JYQ589858:JYQ589859 JYQ589861:JYQ589862 JYQ589866 JYQ655387:JYQ655390 JYQ655394:JYQ655395 JYQ655397:JYQ655398 JYQ655402 JYQ720923:JYQ720926 JYQ720930:JYQ720931 JYQ720933:JYQ720934 JYQ720938 JYQ786459:JYQ786462 JYQ786466:JYQ786467 JYQ786469:JYQ786470 JYQ786474 JYQ851995:JYQ851998 JYQ852002:JYQ852003 JYQ852005:JYQ852006 JYQ852010 JYQ917531:JYQ917534 JYQ917538:JYQ917539 JYQ917541:JYQ917542 JYQ917546 JYQ983067:JYQ983070 JYQ983074:JYQ983075 JYQ983077:JYQ983078 JYQ983082 JYR41 JYR65576 JYR131112 JYR196648 JYR262184 JYR327720 JYR393256 JYR458792 JYR524328 JYR589864 JYR655400 JYR720936 JYR786472 JYR852008 JYR917544 JYR983080 JZL38 JZL65573 JZL131109 JZL196645 JZL262181 JZL327717 JZL393253 JZL458789 JZL524325 JZL589861 JZL655397 JZL720933 JZL786469 JZL852005 JZL917541 JZL983077 JZM30:JZM33 JZM38:JZM40 JZM65563:JZM65566 JZM65573:JZM65575 JZM131099:JZM131102 JZM131109:JZM131111 JZM196635:JZM196638 JZM196645:JZM196647 JZM262171:JZM262174 JZM262181:JZM262183 JZM327707:JZM327710 JZM327717:JZM327719 JZM393243:JZM393246 JZM393253:JZM393255 JZM458779:JZM458782 JZM458789:JZM458791 JZM524315:JZM524318 JZM524325:JZM524327 JZM589851:JZM589854 JZM589861:JZM589863 JZM655387:JZM655390 JZM655397:JZM655399 JZM720923:JZM720926 JZM720933:JZM720935 JZM786459:JZM786462 JZM786469:JZM786471 JZM851995:JZM851998 JZM852005:JZM852007 JZM917531:JZM917534 JZM917541:JZM917543 JZM983067:JZM983070 JZM983077:JZM983079 KIM30:KIM33 KIM35:KIM36 KIM38:KIM39 KIM43 KIM65563:KIM65566 KIM65570:KIM65571 KIM65573:KIM65574 KIM65578 KIM131099:KIM131102 KIM131106:KIM131107 KIM131109:KIM131110 KIM131114 KIM196635:KIM196638 KIM196642:KIM196643 KIM196645:KIM196646 KIM196650 KIM262171:KIM262174 KIM262178:KIM262179 KIM262181:KIM262182 KIM262186 KIM327707:KIM327710 KIM327714:KIM327715 KIM327717:KIM327718 KIM327722 KIM393243:KIM393246 KIM393250:KIM393251 KIM393253:KIM393254 KIM393258 KIM458779:KIM458782 KIM458786:KIM458787 KIM458789:KIM458790 KIM458794 KIM524315:KIM524318 KIM524322:KIM524323 KIM524325:KIM524326 KIM524330 KIM589851:KIM589854 KIM589858:KIM589859 KIM589861:KIM589862 KIM589866 KIM655387:KIM655390 KIM655394:KIM655395 KIM655397:KIM655398 KIM655402 KIM720923:KIM720926 KIM720930:KIM720931 KIM720933:KIM720934 KIM720938 KIM786459:KIM786462 KIM786466:KIM786467 KIM786469:KIM786470 KIM786474 KIM851995:KIM851998 KIM852002:KIM852003 KIM852005:KIM852006 KIM852010 KIM917531:KIM917534 KIM917538:KIM917539 KIM917541:KIM917542 KIM917546 KIM983067:KIM983070 KIM983074:KIM983075 KIM983077:KIM983078 KIM983082 KIN41 KIN65576 KIN131112 KIN196648 KIN262184 KIN327720 KIN393256 KIN458792 KIN524328 KIN589864 KIN655400 KIN720936 KIN786472 KIN852008 KIN917544 KIN983080 KJH38 KJH65573 KJH131109 KJH196645 KJH262181 KJH327717 KJH393253 KJH458789 KJH524325 KJH589861 KJH655397 KJH720933 KJH786469 KJH852005 KJH917541 KJH983077 KJI30:KJI33 KJI38:KJI40 KJI65563:KJI65566 KJI65573:KJI65575 KJI131099:KJI131102 KJI131109:KJI131111 KJI196635:KJI196638 KJI196645:KJI196647 KJI262171:KJI262174 KJI262181:KJI262183 KJI327707:KJI327710 KJI327717:KJI327719 KJI393243:KJI393246 KJI393253:KJI393255 KJI458779:KJI458782 KJI458789:KJI458791 KJI524315:KJI524318 KJI524325:KJI524327 KJI589851:KJI589854 KJI589861:KJI589863 KJI655387:KJI655390 KJI655397:KJI655399 KJI720923:KJI720926 KJI720933:KJI720935 KJI786459:KJI786462 KJI786469:KJI786471 KJI851995:KJI851998 KJI852005:KJI852007 KJI917531:KJI917534 KJI917541:KJI917543 KJI983067:KJI983070 KJI983077:KJI983079 KSI30:KSI33 KSI35:KSI36 KSI38:KSI39 KSI43 KSI65563:KSI65566 KSI65570:KSI65571 KSI65573:KSI65574 KSI65578 KSI131099:KSI131102 KSI131106:KSI131107 KSI131109:KSI131110 KSI131114 KSI196635:KSI196638 KSI196642:KSI196643 KSI196645:KSI196646 KSI196650 KSI262171:KSI262174 KSI262178:KSI262179 KSI262181:KSI262182 KSI262186 KSI327707:KSI327710 KSI327714:KSI327715 KSI327717:KSI327718 KSI327722 KSI393243:KSI393246 KSI393250:KSI393251 KSI393253:KSI393254 KSI393258 KSI458779:KSI458782 KSI458786:KSI458787 KSI458789:KSI458790 KSI458794 KSI524315:KSI524318 KSI524322:KSI524323 KSI524325:KSI524326 KSI524330 KSI589851:KSI589854 KSI589858:KSI589859 KSI589861:KSI589862 KSI589866 KSI655387:KSI655390 KSI655394:KSI655395 KSI655397:KSI655398 KSI655402 KSI720923:KSI720926 KSI720930:KSI720931 KSI720933:KSI720934 KSI720938 KSI786459:KSI786462 KSI786466:KSI786467 KSI786469:KSI786470 KSI786474 KSI851995:KSI851998 KSI852002:KSI852003 KSI852005:KSI852006 KSI852010 KSI917531:KSI917534 KSI917538:KSI917539 KSI917541:KSI917542 KSI917546 KSI983067:KSI983070 KSI983074:KSI983075 KSI983077:KSI983078 KSI983082 KSJ41 KSJ65576 KSJ131112 KSJ196648 KSJ262184 KSJ327720 KSJ393256 KSJ458792 KSJ524328 KSJ589864 KSJ655400 KSJ720936 KSJ786472 KSJ852008 KSJ917544 KSJ983080 KTD38 KTD65573 KTD131109 KTD196645 KTD262181 KTD327717 KTD393253 KTD458789 KTD524325 KTD589861 KTD655397 KTD720933 KTD786469 KTD852005 KTD917541 KTD983077 KTE30:KTE33 KTE38:KTE40 KTE65563:KTE65566 KTE65573:KTE65575 KTE131099:KTE131102 KTE131109:KTE131111 KTE196635:KTE196638 KTE196645:KTE196647 KTE262171:KTE262174 KTE262181:KTE262183 KTE327707:KTE327710 KTE327717:KTE327719 KTE393243:KTE393246 KTE393253:KTE393255 KTE458779:KTE458782 KTE458789:KTE458791 KTE524315:KTE524318 KTE524325:KTE524327 KTE589851:KTE589854 KTE589861:KTE589863 KTE655387:KTE655390 KTE655397:KTE655399 KTE720923:KTE720926 KTE720933:KTE720935 KTE786459:KTE786462 KTE786469:KTE786471 KTE851995:KTE851998 KTE852005:KTE852007 KTE917531:KTE917534 KTE917541:KTE917543 KTE983067:KTE983070 KTE983077:KTE983079 LCE30:LCE33 LCE35:LCE36 LCE38:LCE39 LCE43 LCE65563:LCE65566 LCE65570:LCE65571 LCE65573:LCE65574 LCE65578 LCE131099:LCE131102 LCE131106:LCE131107 LCE131109:LCE131110 LCE131114 LCE196635:LCE196638 LCE196642:LCE196643 LCE196645:LCE196646 LCE196650 LCE262171:LCE262174 LCE262178:LCE262179 LCE262181:LCE262182 LCE262186 LCE327707:LCE327710 LCE327714:LCE327715 LCE327717:LCE327718 LCE327722 LCE393243:LCE393246 LCE393250:LCE393251 LCE393253:LCE393254 LCE393258 LCE458779:LCE458782 LCE458786:LCE458787 LCE458789:LCE458790 LCE458794 LCE524315:LCE524318 LCE524322:LCE524323 LCE524325:LCE524326 LCE524330 LCE589851:LCE589854 LCE589858:LCE589859 LCE589861:LCE589862 LCE589866 LCE655387:LCE655390 LCE655394:LCE655395 LCE655397:LCE655398 LCE655402 LCE720923:LCE720926 LCE720930:LCE720931 LCE720933:LCE720934 LCE720938 LCE786459:LCE786462 LCE786466:LCE786467 LCE786469:LCE786470 LCE786474 LCE851995:LCE851998 LCE852002:LCE852003 LCE852005:LCE852006 LCE852010 LCE917531:LCE917534 LCE917538:LCE917539 LCE917541:LCE917542 LCE917546 LCE983067:LCE983070 LCE983074:LCE983075 LCE983077:LCE983078 LCE983082 LCF41 LCF65576 LCF131112 LCF196648 LCF262184 LCF327720 LCF393256 LCF458792 LCF524328 LCF589864 LCF655400 LCF720936 LCF786472 LCF852008 LCF917544 LCF983080 LCZ38 LCZ65573 LCZ131109 LCZ196645 LCZ262181 LCZ327717 LCZ393253 LCZ458789 LCZ524325 LCZ589861 LCZ655397 LCZ720933 LCZ786469 LCZ852005 LCZ917541 LCZ983077 LDA30:LDA33 LDA38:LDA40 LDA65563:LDA65566 LDA65573:LDA65575 LDA131099:LDA131102 LDA131109:LDA131111 LDA196635:LDA196638 LDA196645:LDA196647 LDA262171:LDA262174 LDA262181:LDA262183 LDA327707:LDA327710 LDA327717:LDA327719 LDA393243:LDA393246 LDA393253:LDA393255 LDA458779:LDA458782 LDA458789:LDA458791 LDA524315:LDA524318 LDA524325:LDA524327 LDA589851:LDA589854 LDA589861:LDA589863 LDA655387:LDA655390 LDA655397:LDA655399 LDA720923:LDA720926 LDA720933:LDA720935 LDA786459:LDA786462 LDA786469:LDA786471 LDA851995:LDA851998 LDA852005:LDA852007 LDA917531:LDA917534 LDA917541:LDA917543 LDA983067:LDA983070 LDA983077:LDA983079 LMA30:LMA33 LMA35:LMA36 LMA38:LMA39 LMA43 LMA65563:LMA65566 LMA65570:LMA65571 LMA65573:LMA65574 LMA65578 LMA131099:LMA131102 LMA131106:LMA131107 LMA131109:LMA131110 LMA131114 LMA196635:LMA196638 LMA196642:LMA196643 LMA196645:LMA196646 LMA196650 LMA262171:LMA262174 LMA262178:LMA262179 LMA262181:LMA262182 LMA262186 LMA327707:LMA327710 LMA327714:LMA327715 LMA327717:LMA327718 LMA327722 LMA393243:LMA393246 LMA393250:LMA393251 LMA393253:LMA393254 LMA393258 LMA458779:LMA458782 LMA458786:LMA458787 LMA458789:LMA458790 LMA458794 LMA524315:LMA524318 LMA524322:LMA524323 LMA524325:LMA524326 LMA524330 LMA589851:LMA589854 LMA589858:LMA589859 LMA589861:LMA589862 LMA589866 LMA655387:LMA655390 LMA655394:LMA655395 LMA655397:LMA655398 LMA655402 LMA720923:LMA720926 LMA720930:LMA720931 LMA720933:LMA720934 LMA720938 LMA786459:LMA786462 LMA786466:LMA786467 LMA786469:LMA786470 LMA786474 LMA851995:LMA851998 LMA852002:LMA852003 LMA852005:LMA852006 LMA852010 LMA917531:LMA917534 LMA917538:LMA917539 LMA917541:LMA917542 LMA917546 LMA983067:LMA983070 LMA983074:LMA983075 LMA983077:LMA983078 LMA983082 LMB41 LMB65576 LMB131112 LMB196648 LMB262184 LMB327720 LMB393256 LMB458792 LMB524328 LMB589864 LMB655400 LMB720936 LMB786472 LMB852008 LMB917544 LMB983080 LMV38 LMV65573 LMV131109 LMV196645 LMV262181 LMV327717 LMV393253 LMV458789 LMV524325 LMV589861 LMV655397 LMV720933 LMV786469 LMV852005 LMV917541 LMV983077 LMW30:LMW33 LMW38:LMW40 LMW65563:LMW65566 LMW65573:LMW65575 LMW131099:LMW131102 LMW131109:LMW131111 LMW196635:LMW196638 LMW196645:LMW196647 LMW262171:LMW262174 LMW262181:LMW262183 LMW327707:LMW327710 LMW327717:LMW327719 LMW393243:LMW393246 LMW393253:LMW393255 LMW458779:LMW458782 LMW458789:LMW458791 LMW524315:LMW524318 LMW524325:LMW524327 LMW589851:LMW589854 LMW589861:LMW589863 LMW655387:LMW655390 LMW655397:LMW655399 LMW720923:LMW720926 LMW720933:LMW720935 LMW786459:LMW786462 LMW786469:LMW786471 LMW851995:LMW851998 LMW852005:LMW852007 LMW917531:LMW917534 LMW917541:LMW917543 LMW983067:LMW983070 LMW983077:LMW983079 LVW30:LVW33 LVW35:LVW36 LVW38:LVW39 LVW43 LVW65563:LVW65566 LVW65570:LVW65571 LVW65573:LVW65574 LVW65578 LVW131099:LVW131102 LVW131106:LVW131107 LVW131109:LVW131110 LVW131114 LVW196635:LVW196638 LVW196642:LVW196643 LVW196645:LVW196646 LVW196650 LVW262171:LVW262174 LVW262178:LVW262179 LVW262181:LVW262182 LVW262186 LVW327707:LVW327710 LVW327714:LVW327715 LVW327717:LVW327718 LVW327722 LVW393243:LVW393246 LVW393250:LVW393251 LVW393253:LVW393254 LVW393258 LVW458779:LVW458782 LVW458786:LVW458787 LVW458789:LVW458790 LVW458794 LVW524315:LVW524318 LVW524322:LVW524323 LVW524325:LVW524326 LVW524330 LVW589851:LVW589854 LVW589858:LVW589859 LVW589861:LVW589862 LVW589866 LVW655387:LVW655390 LVW655394:LVW655395 LVW655397:LVW655398 LVW655402 LVW720923:LVW720926 LVW720930:LVW720931 LVW720933:LVW720934 LVW720938 LVW786459:LVW786462 LVW786466:LVW786467 LVW786469:LVW786470 LVW786474 LVW851995:LVW851998 LVW852002:LVW852003 LVW852005:LVW852006 LVW852010 LVW917531:LVW917534 LVW917538:LVW917539 LVW917541:LVW917542 LVW917546 LVW983067:LVW983070 LVW983074:LVW983075 LVW983077:LVW983078 LVW983082 LVX41 LVX65576 LVX131112 LVX196648 LVX262184 LVX327720 LVX393256 LVX458792 LVX524328 LVX589864 LVX655400 LVX720936 LVX786472 LVX852008 LVX917544 LVX983080 LWR38 LWR65573 LWR131109 LWR196645 LWR262181 LWR327717 LWR393253 LWR458789 LWR524325 LWR589861 LWR655397 LWR720933 LWR786469 LWR852005 LWR917541 LWR983077 LWS30:LWS33 LWS38:LWS40 LWS65563:LWS65566 LWS65573:LWS65575 LWS131099:LWS131102 LWS131109:LWS131111 LWS196635:LWS196638 LWS196645:LWS196647 LWS262171:LWS262174 LWS262181:LWS262183 LWS327707:LWS327710 LWS327717:LWS327719 LWS393243:LWS393246 LWS393253:LWS393255 LWS458779:LWS458782 LWS458789:LWS458791 LWS524315:LWS524318 LWS524325:LWS524327 LWS589851:LWS589854 LWS589861:LWS589863 LWS655387:LWS655390 LWS655397:LWS655399 LWS720923:LWS720926 LWS720933:LWS720935 LWS786459:LWS786462 LWS786469:LWS786471 LWS851995:LWS851998 LWS852005:LWS852007 LWS917531:LWS917534 LWS917541:LWS917543 LWS983067:LWS983070 LWS983077:LWS983079 MFS30:MFS33 MFS35:MFS36 MFS38:MFS39 MFS43 MFS65563:MFS65566 MFS65570:MFS65571 MFS65573:MFS65574 MFS65578 MFS131099:MFS131102 MFS131106:MFS131107 MFS131109:MFS131110 MFS131114 MFS196635:MFS196638 MFS196642:MFS196643 MFS196645:MFS196646 MFS196650 MFS262171:MFS262174 MFS262178:MFS262179 MFS262181:MFS262182 MFS262186 MFS327707:MFS327710 MFS327714:MFS327715 MFS327717:MFS327718 MFS327722 MFS393243:MFS393246 MFS393250:MFS393251 MFS393253:MFS393254 MFS393258 MFS458779:MFS458782 MFS458786:MFS458787 MFS458789:MFS458790 MFS458794 MFS524315:MFS524318 MFS524322:MFS524323 MFS524325:MFS524326 MFS524330 MFS589851:MFS589854 MFS589858:MFS589859 MFS589861:MFS589862 MFS589866 MFS655387:MFS655390 MFS655394:MFS655395 MFS655397:MFS655398 MFS655402 MFS720923:MFS720926 MFS720930:MFS720931 MFS720933:MFS720934 MFS720938 MFS786459:MFS786462 MFS786466:MFS786467 MFS786469:MFS786470 MFS786474 MFS851995:MFS851998 MFS852002:MFS852003 MFS852005:MFS852006 MFS852010 MFS917531:MFS917534 MFS917538:MFS917539 MFS917541:MFS917542 MFS917546 MFS983067:MFS983070 MFS983074:MFS983075 MFS983077:MFS983078 MFS983082 MFT41 MFT65576 MFT131112 MFT196648 MFT262184 MFT327720 MFT393256 MFT458792 MFT524328 MFT589864 MFT655400 MFT720936 MFT786472 MFT852008 MFT917544 MFT983080 MGN38 MGN65573 MGN131109 MGN196645 MGN262181 MGN327717 MGN393253 MGN458789 MGN524325 MGN589861 MGN655397 MGN720933 MGN786469 MGN852005 MGN917541 MGN983077 MGO30:MGO33 MGO38:MGO40 MGO65563:MGO65566 MGO65573:MGO65575 MGO131099:MGO131102 MGO131109:MGO131111 MGO196635:MGO196638 MGO196645:MGO196647 MGO262171:MGO262174 MGO262181:MGO262183 MGO327707:MGO327710 MGO327717:MGO327719 MGO393243:MGO393246 MGO393253:MGO393255 MGO458779:MGO458782 MGO458789:MGO458791 MGO524315:MGO524318 MGO524325:MGO524327 MGO589851:MGO589854 MGO589861:MGO589863 MGO655387:MGO655390 MGO655397:MGO655399 MGO720923:MGO720926 MGO720933:MGO720935 MGO786459:MGO786462 MGO786469:MGO786471 MGO851995:MGO851998 MGO852005:MGO852007 MGO917531:MGO917534 MGO917541:MGO917543 MGO983067:MGO983070 MGO983077:MGO983079 MPO30:MPO33 MPO35:MPO36 MPO38:MPO39 MPO43 MPO65563:MPO65566 MPO65570:MPO65571 MPO65573:MPO65574 MPO65578 MPO131099:MPO131102 MPO131106:MPO131107 MPO131109:MPO131110 MPO131114 MPO196635:MPO196638 MPO196642:MPO196643 MPO196645:MPO196646 MPO196650 MPO262171:MPO262174 MPO262178:MPO262179 MPO262181:MPO262182 MPO262186 MPO327707:MPO327710 MPO327714:MPO327715 MPO327717:MPO327718 MPO327722 MPO393243:MPO393246 MPO393250:MPO393251 MPO393253:MPO393254 MPO393258 MPO458779:MPO458782 MPO458786:MPO458787 MPO458789:MPO458790 MPO458794 MPO524315:MPO524318 MPO524322:MPO524323 MPO524325:MPO524326 MPO524330 MPO589851:MPO589854 MPO589858:MPO589859 MPO589861:MPO589862 MPO589866 MPO655387:MPO655390 MPO655394:MPO655395 MPO655397:MPO655398 MPO655402 MPO720923:MPO720926 MPO720930:MPO720931 MPO720933:MPO720934 MPO720938 MPO786459:MPO786462 MPO786466:MPO786467 MPO786469:MPO786470 MPO786474 MPO851995:MPO851998 MPO852002:MPO852003 MPO852005:MPO852006 MPO852010 MPO917531:MPO917534 MPO917538:MPO917539 MPO917541:MPO917542 MPO917546 MPO983067:MPO983070 MPO983074:MPO983075 MPO983077:MPO983078 MPO983082 MPP41 MPP65576 MPP131112 MPP196648 MPP262184 MPP327720 MPP393256 MPP458792 MPP524328 MPP589864 MPP655400 MPP720936 MPP786472 MPP852008 MPP917544 MPP983080 MQJ38 MQJ65573 MQJ131109 MQJ196645 MQJ262181 MQJ327717 MQJ393253 MQJ458789 MQJ524325 MQJ589861 MQJ655397 MQJ720933 MQJ786469 MQJ852005 MQJ917541 MQJ983077 MQK30:MQK33 MQK38:MQK40 MQK65563:MQK65566 MQK65573:MQK65575 MQK131099:MQK131102 MQK131109:MQK131111 MQK196635:MQK196638 MQK196645:MQK196647 MQK262171:MQK262174 MQK262181:MQK262183 MQK327707:MQK327710 MQK327717:MQK327719 MQK393243:MQK393246 MQK393253:MQK393255 MQK458779:MQK458782 MQK458789:MQK458791 MQK524315:MQK524318 MQK524325:MQK524327 MQK589851:MQK589854 MQK589861:MQK589863 MQK655387:MQK655390 MQK655397:MQK655399 MQK720923:MQK720926 MQK720933:MQK720935 MQK786459:MQK786462 MQK786469:MQK786471 MQK851995:MQK851998 MQK852005:MQK852007 MQK917531:MQK917534 MQK917541:MQK917543 MQK983067:MQK983070 MQK983077:MQK983079 MZK30:MZK33 MZK35:MZK36 MZK38:MZK39 MZK43 MZK65563:MZK65566 MZK65570:MZK65571 MZK65573:MZK65574 MZK65578 MZK131099:MZK131102 MZK131106:MZK131107 MZK131109:MZK131110 MZK131114 MZK196635:MZK196638 MZK196642:MZK196643 MZK196645:MZK196646 MZK196650 MZK262171:MZK262174 MZK262178:MZK262179 MZK262181:MZK262182 MZK262186 MZK327707:MZK327710 MZK327714:MZK327715 MZK327717:MZK327718 MZK327722 MZK393243:MZK393246 MZK393250:MZK393251 MZK393253:MZK393254 MZK393258 MZK458779:MZK458782 MZK458786:MZK458787 MZK458789:MZK458790 MZK458794 MZK524315:MZK524318 MZK524322:MZK524323 MZK524325:MZK524326 MZK524330 MZK589851:MZK589854 MZK589858:MZK589859 MZK589861:MZK589862 MZK589866 MZK655387:MZK655390 MZK655394:MZK655395 MZK655397:MZK655398 MZK655402 MZK720923:MZK720926 MZK720930:MZK720931 MZK720933:MZK720934 MZK720938 MZK786459:MZK786462 MZK786466:MZK786467 MZK786469:MZK786470 MZK786474 MZK851995:MZK851998 MZK852002:MZK852003 MZK852005:MZK852006 MZK852010 MZK917531:MZK917534 MZK917538:MZK917539 MZK917541:MZK917542 MZK917546 MZK983067:MZK983070 MZK983074:MZK983075 MZK983077:MZK983078 MZK983082 MZL41 MZL65576 MZL131112 MZL196648 MZL262184 MZL327720 MZL393256 MZL458792 MZL524328 MZL589864 MZL655400 MZL720936 MZL786472 MZL852008 MZL917544 MZL983080 NAF38 NAF65573 NAF131109 NAF196645 NAF262181 NAF327717 NAF393253 NAF458789 NAF524325 NAF589861 NAF655397 NAF720933 NAF786469 NAF852005 NAF917541 NAF983077 NAG30:NAG33 NAG38:NAG40 NAG65563:NAG65566 NAG65573:NAG65575 NAG131099:NAG131102 NAG131109:NAG131111 NAG196635:NAG196638 NAG196645:NAG196647 NAG262171:NAG262174 NAG262181:NAG262183 NAG327707:NAG327710 NAG327717:NAG327719 NAG393243:NAG393246 NAG393253:NAG393255 NAG458779:NAG458782 NAG458789:NAG458791 NAG524315:NAG524318 NAG524325:NAG524327 NAG589851:NAG589854 NAG589861:NAG589863 NAG655387:NAG655390 NAG655397:NAG655399 NAG720923:NAG720926 NAG720933:NAG720935 NAG786459:NAG786462 NAG786469:NAG786471 NAG851995:NAG851998 NAG852005:NAG852007 NAG917531:NAG917534 NAG917541:NAG917543 NAG983067:NAG983070 NAG983077:NAG983079 NJG30:NJG33 NJG35:NJG36 NJG38:NJG39 NJG43 NJG65563:NJG65566 NJG65570:NJG65571 NJG65573:NJG65574 NJG65578 NJG131099:NJG131102 NJG131106:NJG131107 NJG131109:NJG131110 NJG131114 NJG196635:NJG196638 NJG196642:NJG196643 NJG196645:NJG196646 NJG196650 NJG262171:NJG262174 NJG262178:NJG262179 NJG262181:NJG262182 NJG262186 NJG327707:NJG327710 NJG327714:NJG327715 NJG327717:NJG327718 NJG327722 NJG393243:NJG393246 NJG393250:NJG393251 NJG393253:NJG393254 NJG393258 NJG458779:NJG458782 NJG458786:NJG458787 NJG458789:NJG458790 NJG458794 NJG524315:NJG524318 NJG524322:NJG524323 NJG524325:NJG524326 NJG524330 NJG589851:NJG589854 NJG589858:NJG589859 NJG589861:NJG589862 NJG589866 NJG655387:NJG655390 NJG655394:NJG655395 NJG655397:NJG655398 NJG655402 NJG720923:NJG720926 NJG720930:NJG720931 NJG720933:NJG720934 NJG720938 NJG786459:NJG786462 NJG786466:NJG786467 NJG786469:NJG786470 NJG786474 NJG851995:NJG851998 NJG852002:NJG852003 NJG852005:NJG852006 NJG852010 NJG917531:NJG917534 NJG917538:NJG917539 NJG917541:NJG917542 NJG917546 NJG983067:NJG983070 NJG983074:NJG983075 NJG983077:NJG983078 NJG983082 NJH41 NJH65576 NJH131112 NJH196648 NJH262184 NJH327720 NJH393256 NJH458792 NJH524328 NJH589864 NJH655400 NJH720936 NJH786472 NJH852008 NJH917544 NJH983080 NKB38 NKB65573 NKB131109 NKB196645 NKB262181 NKB327717 NKB393253 NKB458789 NKB524325 NKB589861 NKB655397 NKB720933 NKB786469 NKB852005 NKB917541 NKB983077 NKC30:NKC33 NKC38:NKC40 NKC65563:NKC65566 NKC65573:NKC65575 NKC131099:NKC131102 NKC131109:NKC131111 NKC196635:NKC196638 NKC196645:NKC196647 NKC262171:NKC262174 NKC262181:NKC262183 NKC327707:NKC327710 NKC327717:NKC327719 NKC393243:NKC393246 NKC393253:NKC393255 NKC458779:NKC458782 NKC458789:NKC458791 NKC524315:NKC524318 NKC524325:NKC524327 NKC589851:NKC589854 NKC589861:NKC589863 NKC655387:NKC655390 NKC655397:NKC655399 NKC720923:NKC720926 NKC720933:NKC720935 NKC786459:NKC786462 NKC786469:NKC786471 NKC851995:NKC851998 NKC852005:NKC852007 NKC917531:NKC917534 NKC917541:NKC917543 NKC983067:NKC983070 NKC983077:NKC983079 NTC30:NTC33 NTC35:NTC36 NTC38:NTC39 NTC43 NTC65563:NTC65566 NTC65570:NTC65571 NTC65573:NTC65574 NTC65578 NTC131099:NTC131102 NTC131106:NTC131107 NTC131109:NTC131110 NTC131114 NTC196635:NTC196638 NTC196642:NTC196643 NTC196645:NTC196646 NTC196650 NTC262171:NTC262174 NTC262178:NTC262179 NTC262181:NTC262182 NTC262186 NTC327707:NTC327710 NTC327714:NTC327715 NTC327717:NTC327718 NTC327722 NTC393243:NTC393246 NTC393250:NTC393251 NTC393253:NTC393254 NTC393258 NTC458779:NTC458782 NTC458786:NTC458787 NTC458789:NTC458790 NTC458794 NTC524315:NTC524318 NTC524322:NTC524323 NTC524325:NTC524326 NTC524330 NTC589851:NTC589854 NTC589858:NTC589859 NTC589861:NTC589862 NTC589866 NTC655387:NTC655390 NTC655394:NTC655395 NTC655397:NTC655398 NTC655402 NTC720923:NTC720926 NTC720930:NTC720931 NTC720933:NTC720934 NTC720938 NTC786459:NTC786462 NTC786466:NTC786467 NTC786469:NTC786470 NTC786474 NTC851995:NTC851998 NTC852002:NTC852003 NTC852005:NTC852006 NTC852010 NTC917531:NTC917534 NTC917538:NTC917539 NTC917541:NTC917542 NTC917546 NTC983067:NTC983070 NTC983074:NTC983075 NTC983077:NTC983078 NTC983082 NTD41 NTD65576 NTD131112 NTD196648 NTD262184 NTD327720 NTD393256 NTD458792 NTD524328 NTD589864 NTD655400 NTD720936 NTD786472 NTD852008 NTD917544 NTD983080 NTX38 NTX65573 NTX131109 NTX196645 NTX262181 NTX327717 NTX393253 NTX458789 NTX524325 NTX589861 NTX655397 NTX720933 NTX786469 NTX852005 NTX917541 NTX983077 NTY30:NTY33 NTY38:NTY40 NTY65563:NTY65566 NTY65573:NTY65575 NTY131099:NTY131102 NTY131109:NTY131111 NTY196635:NTY196638 NTY196645:NTY196647 NTY262171:NTY262174 NTY262181:NTY262183 NTY327707:NTY327710 NTY327717:NTY327719 NTY393243:NTY393246 NTY393253:NTY393255 NTY458779:NTY458782 NTY458789:NTY458791 NTY524315:NTY524318 NTY524325:NTY524327 NTY589851:NTY589854 NTY589861:NTY589863 NTY655387:NTY655390 NTY655397:NTY655399 NTY720923:NTY720926 NTY720933:NTY720935 NTY786459:NTY786462 NTY786469:NTY786471 NTY851995:NTY851998 NTY852005:NTY852007 NTY917531:NTY917534 NTY917541:NTY917543 NTY983067:NTY983070 NTY983077:NTY983079 OCY30:OCY33 OCY35:OCY36 OCY38:OCY39 OCY43 OCY65563:OCY65566 OCY65570:OCY65571 OCY65573:OCY65574 OCY65578 OCY131099:OCY131102 OCY131106:OCY131107 OCY131109:OCY131110 OCY131114 OCY196635:OCY196638 OCY196642:OCY196643 OCY196645:OCY196646 OCY196650 OCY262171:OCY262174 OCY262178:OCY262179 OCY262181:OCY262182 OCY262186 OCY327707:OCY327710 OCY327714:OCY327715 OCY327717:OCY327718 OCY327722 OCY393243:OCY393246 OCY393250:OCY393251 OCY393253:OCY393254 OCY393258 OCY458779:OCY458782 OCY458786:OCY458787 OCY458789:OCY458790 OCY458794 OCY524315:OCY524318 OCY524322:OCY524323 OCY524325:OCY524326 OCY524330 OCY589851:OCY589854 OCY589858:OCY589859 OCY589861:OCY589862 OCY589866 OCY655387:OCY655390 OCY655394:OCY655395 OCY655397:OCY655398 OCY655402 OCY720923:OCY720926 OCY720930:OCY720931 OCY720933:OCY720934 OCY720938 OCY786459:OCY786462 OCY786466:OCY786467 OCY786469:OCY786470 OCY786474 OCY851995:OCY851998 OCY852002:OCY852003 OCY852005:OCY852006 OCY852010 OCY917531:OCY917534 OCY917538:OCY917539 OCY917541:OCY917542 OCY917546 OCY983067:OCY983070 OCY983074:OCY983075 OCY983077:OCY983078 OCY983082 OCZ41 OCZ65576 OCZ131112 OCZ196648 OCZ262184 OCZ327720 OCZ393256 OCZ458792 OCZ524328 OCZ589864 OCZ655400 OCZ720936 OCZ786472 OCZ852008 OCZ917544 OCZ983080 ODT38 ODT65573 ODT131109 ODT196645 ODT262181 ODT327717 ODT393253 ODT458789 ODT524325 ODT589861 ODT655397 ODT720933 ODT786469 ODT852005 ODT917541 ODT983077 ODU30:ODU33 ODU38:ODU40 ODU65563:ODU65566 ODU65573:ODU65575 ODU131099:ODU131102 ODU131109:ODU131111 ODU196635:ODU196638 ODU196645:ODU196647 ODU262171:ODU262174 ODU262181:ODU262183 ODU327707:ODU327710 ODU327717:ODU327719 ODU393243:ODU393246 ODU393253:ODU393255 ODU458779:ODU458782 ODU458789:ODU458791 ODU524315:ODU524318 ODU524325:ODU524327 ODU589851:ODU589854 ODU589861:ODU589863 ODU655387:ODU655390 ODU655397:ODU655399 ODU720923:ODU720926 ODU720933:ODU720935 ODU786459:ODU786462 ODU786469:ODU786471 ODU851995:ODU851998 ODU852005:ODU852007 ODU917531:ODU917534 ODU917541:ODU917543 ODU983067:ODU983070 ODU983077:ODU983079 OMU30:OMU33 OMU35:OMU36 OMU38:OMU39 OMU43 OMU65563:OMU65566 OMU65570:OMU65571 OMU65573:OMU65574 OMU65578 OMU131099:OMU131102 OMU131106:OMU131107 OMU131109:OMU131110 OMU131114 OMU196635:OMU196638 OMU196642:OMU196643 OMU196645:OMU196646 OMU196650 OMU262171:OMU262174 OMU262178:OMU262179 OMU262181:OMU262182 OMU262186 OMU327707:OMU327710 OMU327714:OMU327715 OMU327717:OMU327718 OMU327722 OMU393243:OMU393246 OMU393250:OMU393251 OMU393253:OMU393254 OMU393258 OMU458779:OMU458782 OMU458786:OMU458787 OMU458789:OMU458790 OMU458794 OMU524315:OMU524318 OMU524322:OMU524323 OMU524325:OMU524326 OMU524330 OMU589851:OMU589854 OMU589858:OMU589859 OMU589861:OMU589862 OMU589866 OMU655387:OMU655390 OMU655394:OMU655395 OMU655397:OMU655398 OMU655402 OMU720923:OMU720926 OMU720930:OMU720931 OMU720933:OMU720934 OMU720938 OMU786459:OMU786462 OMU786466:OMU786467 OMU786469:OMU786470 OMU786474 OMU851995:OMU851998 OMU852002:OMU852003 OMU852005:OMU852006 OMU852010 OMU917531:OMU917534 OMU917538:OMU917539 OMU917541:OMU917542 OMU917546 OMU983067:OMU983070 OMU983074:OMU983075 OMU983077:OMU983078 OMU983082 OMV41 OMV65576 OMV131112 OMV196648 OMV262184 OMV327720 OMV393256 OMV458792 OMV524328 OMV589864 OMV655400 OMV720936 OMV786472 OMV852008 OMV917544 OMV983080 ONP38 ONP65573 ONP131109 ONP196645 ONP262181 ONP327717 ONP393253 ONP458789 ONP524325 ONP589861 ONP655397 ONP720933 ONP786469 ONP852005 ONP917541 ONP983077 ONQ30:ONQ33 ONQ38:ONQ40 ONQ65563:ONQ65566 ONQ65573:ONQ65575 ONQ131099:ONQ131102 ONQ131109:ONQ131111 ONQ196635:ONQ196638 ONQ196645:ONQ196647 ONQ262171:ONQ262174 ONQ262181:ONQ262183 ONQ327707:ONQ327710 ONQ327717:ONQ327719 ONQ393243:ONQ393246 ONQ393253:ONQ393255 ONQ458779:ONQ458782 ONQ458789:ONQ458791 ONQ524315:ONQ524318 ONQ524325:ONQ524327 ONQ589851:ONQ589854 ONQ589861:ONQ589863 ONQ655387:ONQ655390 ONQ655397:ONQ655399 ONQ720923:ONQ720926 ONQ720933:ONQ720935 ONQ786459:ONQ786462 ONQ786469:ONQ786471 ONQ851995:ONQ851998 ONQ852005:ONQ852007 ONQ917531:ONQ917534 ONQ917541:ONQ917543 ONQ983067:ONQ983070 ONQ983077:ONQ983079 OWQ30:OWQ33 OWQ35:OWQ36 OWQ38:OWQ39 OWQ43 OWQ65563:OWQ65566 OWQ65570:OWQ65571 OWQ65573:OWQ65574 OWQ65578 OWQ131099:OWQ131102 OWQ131106:OWQ131107 OWQ131109:OWQ131110 OWQ131114 OWQ196635:OWQ196638 OWQ196642:OWQ196643 OWQ196645:OWQ196646 OWQ196650 OWQ262171:OWQ262174 OWQ262178:OWQ262179 OWQ262181:OWQ262182 OWQ262186 OWQ327707:OWQ327710 OWQ327714:OWQ327715 OWQ327717:OWQ327718 OWQ327722 OWQ393243:OWQ393246 OWQ393250:OWQ393251 OWQ393253:OWQ393254 OWQ393258 OWQ458779:OWQ458782 OWQ458786:OWQ458787 OWQ458789:OWQ458790 OWQ458794 OWQ524315:OWQ524318 OWQ524322:OWQ524323 OWQ524325:OWQ524326 OWQ524330 OWQ589851:OWQ589854 OWQ589858:OWQ589859 OWQ589861:OWQ589862 OWQ589866 OWQ655387:OWQ655390 OWQ655394:OWQ655395 OWQ655397:OWQ655398 OWQ655402 OWQ720923:OWQ720926 OWQ720930:OWQ720931 OWQ720933:OWQ720934 OWQ720938 OWQ786459:OWQ786462 OWQ786466:OWQ786467 OWQ786469:OWQ786470 OWQ786474 OWQ851995:OWQ851998 OWQ852002:OWQ852003 OWQ852005:OWQ852006 OWQ852010 OWQ917531:OWQ917534 OWQ917538:OWQ917539 OWQ917541:OWQ917542 OWQ917546 OWQ983067:OWQ983070 OWQ983074:OWQ983075 OWQ983077:OWQ983078 OWQ983082 OWR41 OWR65576 OWR131112 OWR196648 OWR262184 OWR327720 OWR393256 OWR458792 OWR524328 OWR589864 OWR655400 OWR720936 OWR786472 OWR852008 OWR917544 OWR983080 OXL38 OXL65573 OXL131109 OXL196645 OXL262181 OXL327717 OXL393253 OXL458789 OXL524325 OXL589861 OXL655397 OXL720933 OXL786469 OXL852005 OXL917541 OXL983077 OXM30:OXM33 OXM38:OXM40 OXM65563:OXM65566 OXM65573:OXM65575 OXM131099:OXM131102 OXM131109:OXM131111 OXM196635:OXM196638 OXM196645:OXM196647 OXM262171:OXM262174 OXM262181:OXM262183 OXM327707:OXM327710 OXM327717:OXM327719 OXM393243:OXM393246 OXM393253:OXM393255 OXM458779:OXM458782 OXM458789:OXM458791 OXM524315:OXM524318 OXM524325:OXM524327 OXM589851:OXM589854 OXM589861:OXM589863 OXM655387:OXM655390 OXM655397:OXM655399 OXM720923:OXM720926 OXM720933:OXM720935 OXM786459:OXM786462 OXM786469:OXM786471 OXM851995:OXM851998 OXM852005:OXM852007 OXM917531:OXM917534 OXM917541:OXM917543 OXM983067:OXM983070 OXM983077:OXM983079 PGM30:PGM33 PGM35:PGM36 PGM38:PGM39 PGM43 PGM65563:PGM65566 PGM65570:PGM65571 PGM65573:PGM65574 PGM65578 PGM131099:PGM131102 PGM131106:PGM131107 PGM131109:PGM131110 PGM131114 PGM196635:PGM196638 PGM196642:PGM196643 PGM196645:PGM196646 PGM196650 PGM262171:PGM262174 PGM262178:PGM262179 PGM262181:PGM262182 PGM262186 PGM327707:PGM327710 PGM327714:PGM327715 PGM327717:PGM327718 PGM327722 PGM393243:PGM393246 PGM393250:PGM393251 PGM393253:PGM393254 PGM393258 PGM458779:PGM458782 PGM458786:PGM458787 PGM458789:PGM458790 PGM458794 PGM524315:PGM524318 PGM524322:PGM524323 PGM524325:PGM524326 PGM524330 PGM589851:PGM589854 PGM589858:PGM589859 PGM589861:PGM589862 PGM589866 PGM655387:PGM655390 PGM655394:PGM655395 PGM655397:PGM655398 PGM655402 PGM720923:PGM720926 PGM720930:PGM720931 PGM720933:PGM720934 PGM720938 PGM786459:PGM786462 PGM786466:PGM786467 PGM786469:PGM786470 PGM786474 PGM851995:PGM851998 PGM852002:PGM852003 PGM852005:PGM852006 PGM852010 PGM917531:PGM917534 PGM917538:PGM917539 PGM917541:PGM917542 PGM917546 PGM983067:PGM983070 PGM983074:PGM983075 PGM983077:PGM983078 PGM983082 PGN41 PGN65576 PGN131112 PGN196648 PGN262184 PGN327720 PGN393256 PGN458792 PGN524328 PGN589864 PGN655400 PGN720936 PGN786472 PGN852008 PGN917544 PGN983080 PHH38 PHH65573 PHH131109 PHH196645 PHH262181 PHH327717 PHH393253 PHH458789 PHH524325 PHH589861 PHH655397 PHH720933 PHH786469 PHH852005 PHH917541 PHH983077 PHI30:PHI33 PHI38:PHI40 PHI65563:PHI65566 PHI65573:PHI65575 PHI131099:PHI131102 PHI131109:PHI131111 PHI196635:PHI196638 PHI196645:PHI196647 PHI262171:PHI262174 PHI262181:PHI262183 PHI327707:PHI327710 PHI327717:PHI327719 PHI393243:PHI393246 PHI393253:PHI393255 PHI458779:PHI458782 PHI458789:PHI458791 PHI524315:PHI524318 PHI524325:PHI524327 PHI589851:PHI589854 PHI589861:PHI589863 PHI655387:PHI655390 PHI655397:PHI655399 PHI720923:PHI720926 PHI720933:PHI720935 PHI786459:PHI786462 PHI786469:PHI786471 PHI851995:PHI851998 PHI852005:PHI852007 PHI917531:PHI917534 PHI917541:PHI917543 PHI983067:PHI983070 PHI983077:PHI983079 PQI30:PQI33 PQI35:PQI36 PQI38:PQI39 PQI43 PQI65563:PQI65566 PQI65570:PQI65571 PQI65573:PQI65574 PQI65578 PQI131099:PQI131102 PQI131106:PQI131107 PQI131109:PQI131110 PQI131114 PQI196635:PQI196638 PQI196642:PQI196643 PQI196645:PQI196646 PQI196650 PQI262171:PQI262174 PQI262178:PQI262179 PQI262181:PQI262182 PQI262186 PQI327707:PQI327710 PQI327714:PQI327715 PQI327717:PQI327718 PQI327722 PQI393243:PQI393246 PQI393250:PQI393251 PQI393253:PQI393254 PQI393258 PQI458779:PQI458782 PQI458786:PQI458787 PQI458789:PQI458790 PQI458794 PQI524315:PQI524318 PQI524322:PQI524323 PQI524325:PQI524326 PQI524330 PQI589851:PQI589854 PQI589858:PQI589859 PQI589861:PQI589862 PQI589866 PQI655387:PQI655390 PQI655394:PQI655395 PQI655397:PQI655398 PQI655402 PQI720923:PQI720926 PQI720930:PQI720931 PQI720933:PQI720934 PQI720938 PQI786459:PQI786462 PQI786466:PQI786467 PQI786469:PQI786470 PQI786474 PQI851995:PQI851998 PQI852002:PQI852003 PQI852005:PQI852006 PQI852010 PQI917531:PQI917534 PQI917538:PQI917539 PQI917541:PQI917542 PQI917546 PQI983067:PQI983070 PQI983074:PQI983075 PQI983077:PQI983078 PQI983082 PQJ41 PQJ65576 PQJ131112 PQJ196648 PQJ262184 PQJ327720 PQJ393256 PQJ458792 PQJ524328 PQJ589864 PQJ655400 PQJ720936 PQJ786472 PQJ852008 PQJ917544 PQJ983080 PRD38 PRD65573 PRD131109 PRD196645 PRD262181 PRD327717 PRD393253 PRD458789 PRD524325 PRD589861 PRD655397 PRD720933 PRD786469 PRD852005 PRD917541 PRD983077 PRE30:PRE33 PRE38:PRE40 PRE65563:PRE65566 PRE65573:PRE65575 PRE131099:PRE131102 PRE131109:PRE131111 PRE196635:PRE196638 PRE196645:PRE196647 PRE262171:PRE262174 PRE262181:PRE262183 PRE327707:PRE327710 PRE327717:PRE327719 PRE393243:PRE393246 PRE393253:PRE393255 PRE458779:PRE458782 PRE458789:PRE458791 PRE524315:PRE524318 PRE524325:PRE524327 PRE589851:PRE589854 PRE589861:PRE589863 PRE655387:PRE655390 PRE655397:PRE655399 PRE720923:PRE720926 PRE720933:PRE720935 PRE786459:PRE786462 PRE786469:PRE786471 PRE851995:PRE851998 PRE852005:PRE852007 PRE917531:PRE917534 PRE917541:PRE917543 PRE983067:PRE983070 PRE983077:PRE983079 QAE30:QAE33 QAE35:QAE36 QAE38:QAE39 QAE43 QAE65563:QAE65566 QAE65570:QAE65571 QAE65573:QAE65574 QAE65578 QAE131099:QAE131102 QAE131106:QAE131107 QAE131109:QAE131110 QAE131114 QAE196635:QAE196638 QAE196642:QAE196643 QAE196645:QAE196646 QAE196650 QAE262171:QAE262174 QAE262178:QAE262179 QAE262181:QAE262182 QAE262186 QAE327707:QAE327710 QAE327714:QAE327715 QAE327717:QAE327718 QAE327722 QAE393243:QAE393246 QAE393250:QAE393251 QAE393253:QAE393254 QAE393258 QAE458779:QAE458782 QAE458786:QAE458787 QAE458789:QAE458790 QAE458794 QAE524315:QAE524318 QAE524322:QAE524323 QAE524325:QAE524326 QAE524330 QAE589851:QAE589854 QAE589858:QAE589859 QAE589861:QAE589862 QAE589866 QAE655387:QAE655390 QAE655394:QAE655395 QAE655397:QAE655398 QAE655402 QAE720923:QAE720926 QAE720930:QAE720931 QAE720933:QAE720934 QAE720938 QAE786459:QAE786462 QAE786466:QAE786467 QAE786469:QAE786470 QAE786474 QAE851995:QAE851998 QAE852002:QAE852003 QAE852005:QAE852006 QAE852010 QAE917531:QAE917534 QAE917538:QAE917539 QAE917541:QAE917542 QAE917546 QAE983067:QAE983070 QAE983074:QAE983075 QAE983077:QAE983078 QAE983082 QAF41 QAF65576 QAF131112 QAF196648 QAF262184 QAF327720 QAF393256 QAF458792 QAF524328 QAF589864 QAF655400 QAF720936 QAF786472 QAF852008 QAF917544 QAF983080 QAZ38 QAZ65573 QAZ131109 QAZ196645 QAZ262181 QAZ327717 QAZ393253 QAZ458789 QAZ524325 QAZ589861 QAZ655397 QAZ720933 QAZ786469 QAZ852005 QAZ917541 QAZ983077 QBA30:QBA33 QBA38:QBA40 QBA65563:QBA65566 QBA65573:QBA65575 QBA131099:QBA131102 QBA131109:QBA131111 QBA196635:QBA196638 QBA196645:QBA196647 QBA262171:QBA262174 QBA262181:QBA262183 QBA327707:QBA327710 QBA327717:QBA327719 QBA393243:QBA393246 QBA393253:QBA393255 QBA458779:QBA458782 QBA458789:QBA458791 QBA524315:QBA524318 QBA524325:QBA524327 QBA589851:QBA589854 QBA589861:QBA589863 QBA655387:QBA655390 QBA655397:QBA655399 QBA720923:QBA720926 QBA720933:QBA720935 QBA786459:QBA786462 QBA786469:QBA786471 QBA851995:QBA851998 QBA852005:QBA852007 QBA917531:QBA917534 QBA917541:QBA917543 QBA983067:QBA983070 QBA983077:QBA983079 QKA30:QKA33 QKA35:QKA36 QKA38:QKA39 QKA43 QKA65563:QKA65566 QKA65570:QKA65571 QKA65573:QKA65574 QKA65578 QKA131099:QKA131102 QKA131106:QKA131107 QKA131109:QKA131110 QKA131114 QKA196635:QKA196638 QKA196642:QKA196643 QKA196645:QKA196646 QKA196650 QKA262171:QKA262174 QKA262178:QKA262179 QKA262181:QKA262182 QKA262186 QKA327707:QKA327710 QKA327714:QKA327715 QKA327717:QKA327718 QKA327722 QKA393243:QKA393246 QKA393250:QKA393251 QKA393253:QKA393254 QKA393258 QKA458779:QKA458782 QKA458786:QKA458787 QKA458789:QKA458790 QKA458794 QKA524315:QKA524318 QKA524322:QKA524323 QKA524325:QKA524326 QKA524330 QKA589851:QKA589854 QKA589858:QKA589859 QKA589861:QKA589862 QKA589866 QKA655387:QKA655390 QKA655394:QKA655395 QKA655397:QKA655398 QKA655402 QKA720923:QKA720926 QKA720930:QKA720931 QKA720933:QKA720934 QKA720938 QKA786459:QKA786462 QKA786466:QKA786467 QKA786469:QKA786470 QKA786474 QKA851995:QKA851998 QKA852002:QKA852003 QKA852005:QKA852006 QKA852010 QKA917531:QKA917534 QKA917538:QKA917539 QKA917541:QKA917542 QKA917546 QKA983067:QKA983070 QKA983074:QKA983075 QKA983077:QKA983078 QKA983082 QKB41 QKB65576 QKB131112 QKB196648 QKB262184 QKB327720 QKB393256 QKB458792 QKB524328 QKB589864 QKB655400 QKB720936 QKB786472 QKB852008 QKB917544 QKB983080 QKV38 QKV65573 QKV131109 QKV196645 QKV262181 QKV327717 QKV393253 QKV458789 QKV524325 QKV589861 QKV655397 QKV720933 QKV786469 QKV852005 QKV917541 QKV983077 QKW30:QKW33 QKW38:QKW40 QKW65563:QKW65566 QKW65573:QKW65575 QKW131099:QKW131102 QKW131109:QKW131111 QKW196635:QKW196638 QKW196645:QKW196647 QKW262171:QKW262174 QKW262181:QKW262183 QKW327707:QKW327710 QKW327717:QKW327719 QKW393243:QKW393246 QKW393253:QKW393255 QKW458779:QKW458782 QKW458789:QKW458791 QKW524315:QKW524318 QKW524325:QKW524327 QKW589851:QKW589854 QKW589861:QKW589863 QKW655387:QKW655390 QKW655397:QKW655399 QKW720923:QKW720926 QKW720933:QKW720935 QKW786459:QKW786462 QKW786469:QKW786471 QKW851995:QKW851998 QKW852005:QKW852007 QKW917531:QKW917534 QKW917541:QKW917543 QKW983067:QKW983070 QKW983077:QKW983079 QTW30:QTW33 QTW35:QTW36 QTW38:QTW39 QTW43 QTW65563:QTW65566 QTW65570:QTW65571 QTW65573:QTW65574 QTW65578 QTW131099:QTW131102 QTW131106:QTW131107 QTW131109:QTW131110 QTW131114 QTW196635:QTW196638 QTW196642:QTW196643 QTW196645:QTW196646 QTW196650 QTW262171:QTW262174 QTW262178:QTW262179 QTW262181:QTW262182 QTW262186 QTW327707:QTW327710 QTW327714:QTW327715 QTW327717:QTW327718 QTW327722 QTW393243:QTW393246 QTW393250:QTW393251 QTW393253:QTW393254 QTW393258 QTW458779:QTW458782 QTW458786:QTW458787 QTW458789:QTW458790 QTW458794 QTW524315:QTW524318 QTW524322:QTW524323 QTW524325:QTW524326 QTW524330 QTW589851:QTW589854 QTW589858:QTW589859 QTW589861:QTW589862 QTW589866 QTW655387:QTW655390 QTW655394:QTW655395 QTW655397:QTW655398 QTW655402 QTW720923:QTW720926 QTW720930:QTW720931 QTW720933:QTW720934 QTW720938 QTW786459:QTW786462 QTW786466:QTW786467 QTW786469:QTW786470 QTW786474 QTW851995:QTW851998 QTW852002:QTW852003 QTW852005:QTW852006 QTW852010 QTW917531:QTW917534 QTW917538:QTW917539 QTW917541:QTW917542 QTW917546 QTW983067:QTW983070 QTW983074:QTW983075 QTW983077:QTW983078 QTW983082 QTX41 QTX65576 QTX131112 QTX196648 QTX262184 QTX327720 QTX393256 QTX458792 QTX524328 QTX589864 QTX655400 QTX720936 QTX786472 QTX852008 QTX917544 QTX983080 QUR38 QUR65573 QUR131109 QUR196645 QUR262181 QUR327717 QUR393253 QUR458789 QUR524325 QUR589861 QUR655397 QUR720933 QUR786469 QUR852005 QUR917541 QUR983077 QUS30:QUS33 QUS38:QUS40 QUS65563:QUS65566 QUS65573:QUS65575 QUS131099:QUS131102 QUS131109:QUS131111 QUS196635:QUS196638 QUS196645:QUS196647 QUS262171:QUS262174 QUS262181:QUS262183 QUS327707:QUS327710 QUS327717:QUS327719 QUS393243:QUS393246 QUS393253:QUS393255 QUS458779:QUS458782 QUS458789:QUS458791 QUS524315:QUS524318 QUS524325:QUS524327 QUS589851:QUS589854 QUS589861:QUS589863 QUS655387:QUS655390 QUS655397:QUS655399 QUS720923:QUS720926 QUS720933:QUS720935 QUS786459:QUS786462 QUS786469:QUS786471 QUS851995:QUS851998 QUS852005:QUS852007 QUS917531:QUS917534 QUS917541:QUS917543 QUS983067:QUS983070 QUS983077:QUS983079 RDS30:RDS33 RDS35:RDS36 RDS38:RDS39 RDS43 RDS65563:RDS65566 RDS65570:RDS65571 RDS65573:RDS65574 RDS65578 RDS131099:RDS131102 RDS131106:RDS131107 RDS131109:RDS131110 RDS131114 RDS196635:RDS196638 RDS196642:RDS196643 RDS196645:RDS196646 RDS196650 RDS262171:RDS262174 RDS262178:RDS262179 RDS262181:RDS262182 RDS262186 RDS327707:RDS327710 RDS327714:RDS327715 RDS327717:RDS327718 RDS327722 RDS393243:RDS393246 RDS393250:RDS393251 RDS393253:RDS393254 RDS393258 RDS458779:RDS458782 RDS458786:RDS458787 RDS458789:RDS458790 RDS458794 RDS524315:RDS524318 RDS524322:RDS524323 RDS524325:RDS524326 RDS524330 RDS589851:RDS589854 RDS589858:RDS589859 RDS589861:RDS589862 RDS589866 RDS655387:RDS655390 RDS655394:RDS655395 RDS655397:RDS655398 RDS655402 RDS720923:RDS720926 RDS720930:RDS720931 RDS720933:RDS720934 RDS720938 RDS786459:RDS786462 RDS786466:RDS786467 RDS786469:RDS786470 RDS786474 RDS851995:RDS851998 RDS852002:RDS852003 RDS852005:RDS852006 RDS852010 RDS917531:RDS917534 RDS917538:RDS917539 RDS917541:RDS917542 RDS917546 RDS983067:RDS983070 RDS983074:RDS983075 RDS983077:RDS983078 RDS983082 RDT41 RDT65576 RDT131112 RDT196648 RDT262184 RDT327720 RDT393256 RDT458792 RDT524328 RDT589864 RDT655400 RDT720936 RDT786472 RDT852008 RDT917544 RDT983080 REN38 REN65573 REN131109 REN196645 REN262181 REN327717 REN393253 REN458789 REN524325 REN589861 REN655397 REN720933 REN786469 REN852005 REN917541 REN983077 REO30:REO33 REO38:REO40 REO65563:REO65566 REO65573:REO65575 REO131099:REO131102 REO131109:REO131111 REO196635:REO196638 REO196645:REO196647 REO262171:REO262174 REO262181:REO262183 REO327707:REO327710 REO327717:REO327719 REO393243:REO393246 REO393253:REO393255 REO458779:REO458782 REO458789:REO458791 REO524315:REO524318 REO524325:REO524327 REO589851:REO589854 REO589861:REO589863 REO655387:REO655390 REO655397:REO655399 REO720923:REO720926 REO720933:REO720935 REO786459:REO786462 REO786469:REO786471 REO851995:REO851998 REO852005:REO852007 REO917531:REO917534 REO917541:REO917543 REO983067:REO983070 REO983077:REO983079 RNO30:RNO33 RNO35:RNO36 RNO38:RNO39 RNO43 RNO65563:RNO65566 RNO65570:RNO65571 RNO65573:RNO65574 RNO65578 RNO131099:RNO131102 RNO131106:RNO131107 RNO131109:RNO131110 RNO131114 RNO196635:RNO196638 RNO196642:RNO196643 RNO196645:RNO196646 RNO196650 RNO262171:RNO262174 RNO262178:RNO262179 RNO262181:RNO262182 RNO262186 RNO327707:RNO327710 RNO327714:RNO327715 RNO327717:RNO327718 RNO327722 RNO393243:RNO393246 RNO393250:RNO393251 RNO393253:RNO393254 RNO393258 RNO458779:RNO458782 RNO458786:RNO458787 RNO458789:RNO458790 RNO458794 RNO524315:RNO524318 RNO524322:RNO524323 RNO524325:RNO524326 RNO524330 RNO589851:RNO589854 RNO589858:RNO589859 RNO589861:RNO589862 RNO589866 RNO655387:RNO655390 RNO655394:RNO655395 RNO655397:RNO655398 RNO655402 RNO720923:RNO720926 RNO720930:RNO720931 RNO720933:RNO720934 RNO720938 RNO786459:RNO786462 RNO786466:RNO786467 RNO786469:RNO786470 RNO786474 RNO851995:RNO851998 RNO852002:RNO852003 RNO852005:RNO852006 RNO852010 RNO917531:RNO917534 RNO917538:RNO917539 RNO917541:RNO917542 RNO917546 RNO983067:RNO983070 RNO983074:RNO983075 RNO983077:RNO983078 RNO983082 RNP41 RNP65576 RNP131112 RNP196648 RNP262184 RNP327720 RNP393256 RNP458792 RNP524328 RNP589864 RNP655400 RNP720936 RNP786472 RNP852008 RNP917544 RNP983080 ROJ38 ROJ65573 ROJ131109 ROJ196645 ROJ262181 ROJ327717 ROJ393253 ROJ458789 ROJ524325 ROJ589861 ROJ655397 ROJ720933 ROJ786469 ROJ852005 ROJ917541 ROJ983077 ROK30:ROK33 ROK38:ROK40 ROK65563:ROK65566 ROK65573:ROK65575 ROK131099:ROK131102 ROK131109:ROK131111 ROK196635:ROK196638 ROK196645:ROK196647 ROK262171:ROK262174 ROK262181:ROK262183 ROK327707:ROK327710 ROK327717:ROK327719 ROK393243:ROK393246 ROK393253:ROK393255 ROK458779:ROK458782 ROK458789:ROK458791 ROK524315:ROK524318 ROK524325:ROK524327 ROK589851:ROK589854 ROK589861:ROK589863 ROK655387:ROK655390 ROK655397:ROK655399 ROK720923:ROK720926 ROK720933:ROK720935 ROK786459:ROK786462 ROK786469:ROK786471 ROK851995:ROK851998 ROK852005:ROK852007 ROK917531:ROK917534 ROK917541:ROK917543 ROK983067:ROK983070 ROK983077:ROK983079 RXK30:RXK33 RXK35:RXK36 RXK38:RXK39 RXK43 RXK65563:RXK65566 RXK65570:RXK65571 RXK65573:RXK65574 RXK65578 RXK131099:RXK131102 RXK131106:RXK131107 RXK131109:RXK131110 RXK131114 RXK196635:RXK196638 RXK196642:RXK196643 RXK196645:RXK196646 RXK196650 RXK262171:RXK262174 RXK262178:RXK262179 RXK262181:RXK262182 RXK262186 RXK327707:RXK327710 RXK327714:RXK327715 RXK327717:RXK327718 RXK327722 RXK393243:RXK393246 RXK393250:RXK393251 RXK393253:RXK393254 RXK393258 RXK458779:RXK458782 RXK458786:RXK458787 RXK458789:RXK458790 RXK458794 RXK524315:RXK524318 RXK524322:RXK524323 RXK524325:RXK524326 RXK524330 RXK589851:RXK589854 RXK589858:RXK589859 RXK589861:RXK589862 RXK589866 RXK655387:RXK655390 RXK655394:RXK655395 RXK655397:RXK655398 RXK655402 RXK720923:RXK720926 RXK720930:RXK720931 RXK720933:RXK720934 RXK720938 RXK786459:RXK786462 RXK786466:RXK786467 RXK786469:RXK786470 RXK786474 RXK851995:RXK851998 RXK852002:RXK852003 RXK852005:RXK852006 RXK852010 RXK917531:RXK917534 RXK917538:RXK917539 RXK917541:RXK917542 RXK917546 RXK983067:RXK983070 RXK983074:RXK983075 RXK983077:RXK983078 RXK983082 RXL41 RXL65576 RXL131112 RXL196648 RXL262184 RXL327720 RXL393256 RXL458792 RXL524328 RXL589864 RXL655400 RXL720936 RXL786472 RXL852008 RXL917544 RXL983080 RYF38 RYF65573 RYF131109 RYF196645 RYF262181 RYF327717 RYF393253 RYF458789 RYF524325 RYF589861 RYF655397 RYF720933 RYF786469 RYF852005 RYF917541 RYF983077 RYG30:RYG33 RYG38:RYG40 RYG65563:RYG65566 RYG65573:RYG65575 RYG131099:RYG131102 RYG131109:RYG131111 RYG196635:RYG196638 RYG196645:RYG196647 RYG262171:RYG262174 RYG262181:RYG262183 RYG327707:RYG327710 RYG327717:RYG327719 RYG393243:RYG393246 RYG393253:RYG393255 RYG458779:RYG458782 RYG458789:RYG458791 RYG524315:RYG524318 RYG524325:RYG524327 RYG589851:RYG589854 RYG589861:RYG589863 RYG655387:RYG655390 RYG655397:RYG655399 RYG720923:RYG720926 RYG720933:RYG720935 RYG786459:RYG786462 RYG786469:RYG786471 RYG851995:RYG851998 RYG852005:RYG852007 RYG917531:RYG917534 RYG917541:RYG917543 RYG983067:RYG983070 RYG983077:RYG983079 SHG30:SHG33 SHG35:SHG36 SHG38:SHG39 SHG43 SHG65563:SHG65566 SHG65570:SHG65571 SHG65573:SHG65574 SHG65578 SHG131099:SHG131102 SHG131106:SHG131107 SHG131109:SHG131110 SHG131114 SHG196635:SHG196638 SHG196642:SHG196643 SHG196645:SHG196646 SHG196650 SHG262171:SHG262174 SHG262178:SHG262179 SHG262181:SHG262182 SHG262186 SHG327707:SHG327710 SHG327714:SHG327715 SHG327717:SHG327718 SHG327722 SHG393243:SHG393246 SHG393250:SHG393251 SHG393253:SHG393254 SHG393258 SHG458779:SHG458782 SHG458786:SHG458787 SHG458789:SHG458790 SHG458794 SHG524315:SHG524318 SHG524322:SHG524323 SHG524325:SHG524326 SHG524330 SHG589851:SHG589854 SHG589858:SHG589859 SHG589861:SHG589862 SHG589866 SHG655387:SHG655390 SHG655394:SHG655395 SHG655397:SHG655398 SHG655402 SHG720923:SHG720926 SHG720930:SHG720931 SHG720933:SHG720934 SHG720938 SHG786459:SHG786462 SHG786466:SHG786467 SHG786469:SHG786470 SHG786474 SHG851995:SHG851998 SHG852002:SHG852003 SHG852005:SHG852006 SHG852010 SHG917531:SHG917534 SHG917538:SHG917539 SHG917541:SHG917542 SHG917546 SHG983067:SHG983070 SHG983074:SHG983075 SHG983077:SHG983078 SHG983082 SHH41 SHH65576 SHH131112 SHH196648 SHH262184 SHH327720 SHH393256 SHH458792 SHH524328 SHH589864 SHH655400 SHH720936 SHH786472 SHH852008 SHH917544 SHH983080 SIB38 SIB65573 SIB131109 SIB196645 SIB262181 SIB327717 SIB393253 SIB458789 SIB524325 SIB589861 SIB655397 SIB720933 SIB786469 SIB852005 SIB917541 SIB983077 SIC30:SIC33 SIC38:SIC40 SIC65563:SIC65566 SIC65573:SIC65575 SIC131099:SIC131102 SIC131109:SIC131111 SIC196635:SIC196638 SIC196645:SIC196647 SIC262171:SIC262174 SIC262181:SIC262183 SIC327707:SIC327710 SIC327717:SIC327719 SIC393243:SIC393246 SIC393253:SIC393255 SIC458779:SIC458782 SIC458789:SIC458791 SIC524315:SIC524318 SIC524325:SIC524327 SIC589851:SIC589854 SIC589861:SIC589863 SIC655387:SIC655390 SIC655397:SIC655399 SIC720923:SIC720926 SIC720933:SIC720935 SIC786459:SIC786462 SIC786469:SIC786471 SIC851995:SIC851998 SIC852005:SIC852007 SIC917531:SIC917534 SIC917541:SIC917543 SIC983067:SIC983070 SIC983077:SIC983079 SRC30:SRC33 SRC35:SRC36 SRC38:SRC39 SRC43 SRC65563:SRC65566 SRC65570:SRC65571 SRC65573:SRC65574 SRC65578 SRC131099:SRC131102 SRC131106:SRC131107 SRC131109:SRC131110 SRC131114 SRC196635:SRC196638 SRC196642:SRC196643 SRC196645:SRC196646 SRC196650 SRC262171:SRC262174 SRC262178:SRC262179 SRC262181:SRC262182 SRC262186 SRC327707:SRC327710 SRC327714:SRC327715 SRC327717:SRC327718 SRC327722 SRC393243:SRC393246 SRC393250:SRC393251 SRC393253:SRC393254 SRC393258 SRC458779:SRC458782 SRC458786:SRC458787 SRC458789:SRC458790 SRC458794 SRC524315:SRC524318 SRC524322:SRC524323 SRC524325:SRC524326 SRC524330 SRC589851:SRC589854 SRC589858:SRC589859 SRC589861:SRC589862 SRC589866 SRC655387:SRC655390 SRC655394:SRC655395 SRC655397:SRC655398 SRC655402 SRC720923:SRC720926 SRC720930:SRC720931 SRC720933:SRC720934 SRC720938 SRC786459:SRC786462 SRC786466:SRC786467 SRC786469:SRC786470 SRC786474 SRC851995:SRC851998 SRC852002:SRC852003 SRC852005:SRC852006 SRC852010 SRC917531:SRC917534 SRC917538:SRC917539 SRC917541:SRC917542 SRC917546 SRC983067:SRC983070 SRC983074:SRC983075 SRC983077:SRC983078 SRC983082 SRD41 SRD65576 SRD131112 SRD196648 SRD262184 SRD327720 SRD393256 SRD458792 SRD524328 SRD589864 SRD655400 SRD720936 SRD786472 SRD852008 SRD917544 SRD983080 SRX38 SRX65573 SRX131109 SRX196645 SRX262181 SRX327717 SRX393253 SRX458789 SRX524325 SRX589861 SRX655397 SRX720933 SRX786469 SRX852005 SRX917541 SRX983077 SRY30:SRY33 SRY38:SRY40 SRY65563:SRY65566 SRY65573:SRY65575 SRY131099:SRY131102 SRY131109:SRY131111 SRY196635:SRY196638 SRY196645:SRY196647 SRY262171:SRY262174 SRY262181:SRY262183 SRY327707:SRY327710 SRY327717:SRY327719 SRY393243:SRY393246 SRY393253:SRY393255 SRY458779:SRY458782 SRY458789:SRY458791 SRY524315:SRY524318 SRY524325:SRY524327 SRY589851:SRY589854 SRY589861:SRY589863 SRY655387:SRY655390 SRY655397:SRY655399 SRY720923:SRY720926 SRY720933:SRY720935 SRY786459:SRY786462 SRY786469:SRY786471 SRY851995:SRY851998 SRY852005:SRY852007 SRY917531:SRY917534 SRY917541:SRY917543 SRY983067:SRY983070 SRY983077:SRY983079 TAY30:TAY33 TAY35:TAY36 TAY38:TAY39 TAY43 TAY65563:TAY65566 TAY65570:TAY65571 TAY65573:TAY65574 TAY65578 TAY131099:TAY131102 TAY131106:TAY131107 TAY131109:TAY131110 TAY131114 TAY196635:TAY196638 TAY196642:TAY196643 TAY196645:TAY196646 TAY196650 TAY262171:TAY262174 TAY262178:TAY262179 TAY262181:TAY262182 TAY262186 TAY327707:TAY327710 TAY327714:TAY327715 TAY327717:TAY327718 TAY327722 TAY393243:TAY393246 TAY393250:TAY393251 TAY393253:TAY393254 TAY393258 TAY458779:TAY458782 TAY458786:TAY458787 TAY458789:TAY458790 TAY458794 TAY524315:TAY524318 TAY524322:TAY524323 TAY524325:TAY524326 TAY524330 TAY589851:TAY589854 TAY589858:TAY589859 TAY589861:TAY589862 TAY589866 TAY655387:TAY655390 TAY655394:TAY655395 TAY655397:TAY655398 TAY655402 TAY720923:TAY720926 TAY720930:TAY720931 TAY720933:TAY720934 TAY720938 TAY786459:TAY786462 TAY786466:TAY786467 TAY786469:TAY786470 TAY786474 TAY851995:TAY851998 TAY852002:TAY852003 TAY852005:TAY852006 TAY852010 TAY917531:TAY917534 TAY917538:TAY917539 TAY917541:TAY917542 TAY917546 TAY983067:TAY983070 TAY983074:TAY983075 TAY983077:TAY983078 TAY983082 TAZ41 TAZ65576 TAZ131112 TAZ196648 TAZ262184 TAZ327720 TAZ393256 TAZ458792 TAZ524328 TAZ589864 TAZ655400 TAZ720936 TAZ786472 TAZ852008 TAZ917544 TAZ983080 TBT38 TBT65573 TBT131109 TBT196645 TBT262181 TBT327717 TBT393253 TBT458789 TBT524325 TBT589861 TBT655397 TBT720933 TBT786469 TBT852005 TBT917541 TBT983077 TBU30:TBU33 TBU38:TBU40 TBU65563:TBU65566 TBU65573:TBU65575 TBU131099:TBU131102 TBU131109:TBU131111 TBU196635:TBU196638 TBU196645:TBU196647 TBU262171:TBU262174 TBU262181:TBU262183 TBU327707:TBU327710 TBU327717:TBU327719 TBU393243:TBU393246 TBU393253:TBU393255 TBU458779:TBU458782 TBU458789:TBU458791 TBU524315:TBU524318 TBU524325:TBU524327 TBU589851:TBU589854 TBU589861:TBU589863 TBU655387:TBU655390 TBU655397:TBU655399 TBU720923:TBU720926 TBU720933:TBU720935 TBU786459:TBU786462 TBU786469:TBU786471 TBU851995:TBU851998 TBU852005:TBU852007 TBU917531:TBU917534 TBU917541:TBU917543 TBU983067:TBU983070 TBU983077:TBU983079 TKU30:TKU33 TKU35:TKU36 TKU38:TKU39 TKU43 TKU65563:TKU65566 TKU65570:TKU65571 TKU65573:TKU65574 TKU65578 TKU131099:TKU131102 TKU131106:TKU131107 TKU131109:TKU131110 TKU131114 TKU196635:TKU196638 TKU196642:TKU196643 TKU196645:TKU196646 TKU196650 TKU262171:TKU262174 TKU262178:TKU262179 TKU262181:TKU262182 TKU262186 TKU327707:TKU327710 TKU327714:TKU327715 TKU327717:TKU327718 TKU327722 TKU393243:TKU393246 TKU393250:TKU393251 TKU393253:TKU393254 TKU393258 TKU458779:TKU458782 TKU458786:TKU458787 TKU458789:TKU458790 TKU458794 TKU524315:TKU524318 TKU524322:TKU524323 TKU524325:TKU524326 TKU524330 TKU589851:TKU589854 TKU589858:TKU589859 TKU589861:TKU589862 TKU589866 TKU655387:TKU655390 TKU655394:TKU655395 TKU655397:TKU655398 TKU655402 TKU720923:TKU720926 TKU720930:TKU720931 TKU720933:TKU720934 TKU720938 TKU786459:TKU786462 TKU786466:TKU786467 TKU786469:TKU786470 TKU786474 TKU851995:TKU851998 TKU852002:TKU852003 TKU852005:TKU852006 TKU852010 TKU917531:TKU917534 TKU917538:TKU917539 TKU917541:TKU917542 TKU917546 TKU983067:TKU983070 TKU983074:TKU983075 TKU983077:TKU983078 TKU983082 TKV41 TKV65576 TKV131112 TKV196648 TKV262184 TKV327720 TKV393256 TKV458792 TKV524328 TKV589864 TKV655400 TKV720936 TKV786472 TKV852008 TKV917544 TKV983080 TLP38 TLP65573 TLP131109 TLP196645 TLP262181 TLP327717 TLP393253 TLP458789 TLP524325 TLP589861 TLP655397 TLP720933 TLP786469 TLP852005 TLP917541 TLP983077 TLQ30:TLQ33 TLQ38:TLQ40 TLQ65563:TLQ65566 TLQ65573:TLQ65575 TLQ131099:TLQ131102 TLQ131109:TLQ131111 TLQ196635:TLQ196638 TLQ196645:TLQ196647 TLQ262171:TLQ262174 TLQ262181:TLQ262183 TLQ327707:TLQ327710 TLQ327717:TLQ327719 TLQ393243:TLQ393246 TLQ393253:TLQ393255 TLQ458779:TLQ458782 TLQ458789:TLQ458791 TLQ524315:TLQ524318 TLQ524325:TLQ524327 TLQ589851:TLQ589854 TLQ589861:TLQ589863 TLQ655387:TLQ655390 TLQ655397:TLQ655399 TLQ720923:TLQ720926 TLQ720933:TLQ720935 TLQ786459:TLQ786462 TLQ786469:TLQ786471 TLQ851995:TLQ851998 TLQ852005:TLQ852007 TLQ917531:TLQ917534 TLQ917541:TLQ917543 TLQ983067:TLQ983070 TLQ983077:TLQ983079 TUQ30:TUQ33 TUQ35:TUQ36 TUQ38:TUQ39 TUQ43 TUQ65563:TUQ65566 TUQ65570:TUQ65571 TUQ65573:TUQ65574 TUQ65578 TUQ131099:TUQ131102 TUQ131106:TUQ131107 TUQ131109:TUQ131110 TUQ131114 TUQ196635:TUQ196638 TUQ196642:TUQ196643 TUQ196645:TUQ196646 TUQ196650 TUQ262171:TUQ262174 TUQ262178:TUQ262179 TUQ262181:TUQ262182 TUQ262186 TUQ327707:TUQ327710 TUQ327714:TUQ327715 TUQ327717:TUQ327718 TUQ327722 TUQ393243:TUQ393246 TUQ393250:TUQ393251 TUQ393253:TUQ393254 TUQ393258 TUQ458779:TUQ458782 TUQ458786:TUQ458787 TUQ458789:TUQ458790 TUQ458794 TUQ524315:TUQ524318 TUQ524322:TUQ524323 TUQ524325:TUQ524326 TUQ524330 TUQ589851:TUQ589854 TUQ589858:TUQ589859 TUQ589861:TUQ589862 TUQ589866 TUQ655387:TUQ655390 TUQ655394:TUQ655395 TUQ655397:TUQ655398 TUQ655402 TUQ720923:TUQ720926 TUQ720930:TUQ720931 TUQ720933:TUQ720934 TUQ720938 TUQ786459:TUQ786462 TUQ786466:TUQ786467 TUQ786469:TUQ786470 TUQ786474 TUQ851995:TUQ851998 TUQ852002:TUQ852003 TUQ852005:TUQ852006 TUQ852010 TUQ917531:TUQ917534 TUQ917538:TUQ917539 TUQ917541:TUQ917542 TUQ917546 TUQ983067:TUQ983070 TUQ983074:TUQ983075 TUQ983077:TUQ983078 TUQ983082 TUR41 TUR65576 TUR131112 TUR196648 TUR262184 TUR327720 TUR393256 TUR458792 TUR524328 TUR589864 TUR655400 TUR720936 TUR786472 TUR852008 TUR917544 TUR983080 TVL38 TVL65573 TVL131109 TVL196645 TVL262181 TVL327717 TVL393253 TVL458789 TVL524325 TVL589861 TVL655397 TVL720933 TVL786469 TVL852005 TVL917541 TVL983077 TVM30:TVM33 TVM38:TVM40 TVM65563:TVM65566 TVM65573:TVM65575 TVM131099:TVM131102 TVM131109:TVM131111 TVM196635:TVM196638 TVM196645:TVM196647 TVM262171:TVM262174 TVM262181:TVM262183 TVM327707:TVM327710 TVM327717:TVM327719 TVM393243:TVM393246 TVM393253:TVM393255 TVM458779:TVM458782 TVM458789:TVM458791 TVM524315:TVM524318 TVM524325:TVM524327 TVM589851:TVM589854 TVM589861:TVM589863 TVM655387:TVM655390 TVM655397:TVM655399 TVM720923:TVM720926 TVM720933:TVM720935 TVM786459:TVM786462 TVM786469:TVM786471 TVM851995:TVM851998 TVM852005:TVM852007 TVM917531:TVM917534 TVM917541:TVM917543 TVM983067:TVM983070 TVM983077:TVM983079 UEM30:UEM33 UEM35:UEM36 UEM38:UEM39 UEM43 UEM65563:UEM65566 UEM65570:UEM65571 UEM65573:UEM65574 UEM65578 UEM131099:UEM131102 UEM131106:UEM131107 UEM131109:UEM131110 UEM131114 UEM196635:UEM196638 UEM196642:UEM196643 UEM196645:UEM196646 UEM196650 UEM262171:UEM262174 UEM262178:UEM262179 UEM262181:UEM262182 UEM262186 UEM327707:UEM327710 UEM327714:UEM327715 UEM327717:UEM327718 UEM327722 UEM393243:UEM393246 UEM393250:UEM393251 UEM393253:UEM393254 UEM393258 UEM458779:UEM458782 UEM458786:UEM458787 UEM458789:UEM458790 UEM458794 UEM524315:UEM524318 UEM524322:UEM524323 UEM524325:UEM524326 UEM524330 UEM589851:UEM589854 UEM589858:UEM589859 UEM589861:UEM589862 UEM589866 UEM655387:UEM655390 UEM655394:UEM655395 UEM655397:UEM655398 UEM655402 UEM720923:UEM720926 UEM720930:UEM720931 UEM720933:UEM720934 UEM720938 UEM786459:UEM786462 UEM786466:UEM786467 UEM786469:UEM786470 UEM786474 UEM851995:UEM851998 UEM852002:UEM852003 UEM852005:UEM852006 UEM852010 UEM917531:UEM917534 UEM917538:UEM917539 UEM917541:UEM917542 UEM917546 UEM983067:UEM983070 UEM983074:UEM983075 UEM983077:UEM983078 UEM983082 UEN41 UEN65576 UEN131112 UEN196648 UEN262184 UEN327720 UEN393256 UEN458792 UEN524328 UEN589864 UEN655400 UEN720936 UEN786472 UEN852008 UEN917544 UEN983080 UFH38 UFH65573 UFH131109 UFH196645 UFH262181 UFH327717 UFH393253 UFH458789 UFH524325 UFH589861 UFH655397 UFH720933 UFH786469 UFH852005 UFH917541 UFH983077 UFI30:UFI33 UFI38:UFI40 UFI65563:UFI65566 UFI65573:UFI65575 UFI131099:UFI131102 UFI131109:UFI131111 UFI196635:UFI196638 UFI196645:UFI196647 UFI262171:UFI262174 UFI262181:UFI262183 UFI327707:UFI327710 UFI327717:UFI327719 UFI393243:UFI393246 UFI393253:UFI393255 UFI458779:UFI458782 UFI458789:UFI458791 UFI524315:UFI524318 UFI524325:UFI524327 UFI589851:UFI589854 UFI589861:UFI589863 UFI655387:UFI655390 UFI655397:UFI655399 UFI720923:UFI720926 UFI720933:UFI720935 UFI786459:UFI786462 UFI786469:UFI786471 UFI851995:UFI851998 UFI852005:UFI852007 UFI917531:UFI917534 UFI917541:UFI917543 UFI983067:UFI983070 UFI983077:UFI983079 UOI30:UOI33 UOI35:UOI36 UOI38:UOI39 UOI43 UOI65563:UOI65566 UOI65570:UOI65571 UOI65573:UOI65574 UOI65578 UOI131099:UOI131102 UOI131106:UOI131107 UOI131109:UOI131110 UOI131114 UOI196635:UOI196638 UOI196642:UOI196643 UOI196645:UOI196646 UOI196650 UOI262171:UOI262174 UOI262178:UOI262179 UOI262181:UOI262182 UOI262186 UOI327707:UOI327710 UOI327714:UOI327715 UOI327717:UOI327718 UOI327722 UOI393243:UOI393246 UOI393250:UOI393251 UOI393253:UOI393254 UOI393258 UOI458779:UOI458782 UOI458786:UOI458787 UOI458789:UOI458790 UOI458794 UOI524315:UOI524318 UOI524322:UOI524323 UOI524325:UOI524326 UOI524330 UOI589851:UOI589854 UOI589858:UOI589859 UOI589861:UOI589862 UOI589866 UOI655387:UOI655390 UOI655394:UOI655395 UOI655397:UOI655398 UOI655402 UOI720923:UOI720926 UOI720930:UOI720931 UOI720933:UOI720934 UOI720938 UOI786459:UOI786462 UOI786466:UOI786467 UOI786469:UOI786470 UOI786474 UOI851995:UOI851998 UOI852002:UOI852003 UOI852005:UOI852006 UOI852010 UOI917531:UOI917534 UOI917538:UOI917539 UOI917541:UOI917542 UOI917546 UOI983067:UOI983070 UOI983074:UOI983075 UOI983077:UOI983078 UOI983082 UOJ41 UOJ65576 UOJ131112 UOJ196648 UOJ262184 UOJ327720 UOJ393256 UOJ458792 UOJ524328 UOJ589864 UOJ655400 UOJ720936 UOJ786472 UOJ852008 UOJ917544 UOJ983080 UPD38 UPD65573 UPD131109 UPD196645 UPD262181 UPD327717 UPD393253 UPD458789 UPD524325 UPD589861 UPD655397 UPD720933 UPD786469 UPD852005 UPD917541 UPD983077 UPE30:UPE33 UPE38:UPE40 UPE65563:UPE65566 UPE65573:UPE65575 UPE131099:UPE131102 UPE131109:UPE131111 UPE196635:UPE196638 UPE196645:UPE196647 UPE262171:UPE262174 UPE262181:UPE262183 UPE327707:UPE327710 UPE327717:UPE327719 UPE393243:UPE393246 UPE393253:UPE393255 UPE458779:UPE458782 UPE458789:UPE458791 UPE524315:UPE524318 UPE524325:UPE524327 UPE589851:UPE589854 UPE589861:UPE589863 UPE655387:UPE655390 UPE655397:UPE655399 UPE720923:UPE720926 UPE720933:UPE720935 UPE786459:UPE786462 UPE786469:UPE786471 UPE851995:UPE851998 UPE852005:UPE852007 UPE917531:UPE917534 UPE917541:UPE917543 UPE983067:UPE983070 UPE983077:UPE983079 UYE30:UYE33 UYE35:UYE36 UYE38:UYE39 UYE43 UYE65563:UYE65566 UYE65570:UYE65571 UYE65573:UYE65574 UYE65578 UYE131099:UYE131102 UYE131106:UYE131107 UYE131109:UYE131110 UYE131114 UYE196635:UYE196638 UYE196642:UYE196643 UYE196645:UYE196646 UYE196650 UYE262171:UYE262174 UYE262178:UYE262179 UYE262181:UYE262182 UYE262186 UYE327707:UYE327710 UYE327714:UYE327715 UYE327717:UYE327718 UYE327722 UYE393243:UYE393246 UYE393250:UYE393251 UYE393253:UYE393254 UYE393258 UYE458779:UYE458782 UYE458786:UYE458787 UYE458789:UYE458790 UYE458794 UYE524315:UYE524318 UYE524322:UYE524323 UYE524325:UYE524326 UYE524330 UYE589851:UYE589854 UYE589858:UYE589859 UYE589861:UYE589862 UYE589866 UYE655387:UYE655390 UYE655394:UYE655395 UYE655397:UYE655398 UYE655402 UYE720923:UYE720926 UYE720930:UYE720931 UYE720933:UYE720934 UYE720938 UYE786459:UYE786462 UYE786466:UYE786467 UYE786469:UYE786470 UYE786474 UYE851995:UYE851998 UYE852002:UYE852003 UYE852005:UYE852006 UYE852010 UYE917531:UYE917534 UYE917538:UYE917539 UYE917541:UYE917542 UYE917546 UYE983067:UYE983070 UYE983074:UYE983075 UYE983077:UYE983078 UYE983082 UYF41 UYF65576 UYF131112 UYF196648 UYF262184 UYF327720 UYF393256 UYF458792 UYF524328 UYF589864 UYF655400 UYF720936 UYF786472 UYF852008 UYF917544 UYF983080 UYZ38 UYZ65573 UYZ131109 UYZ196645 UYZ262181 UYZ327717 UYZ393253 UYZ458789 UYZ524325 UYZ589861 UYZ655397 UYZ720933 UYZ786469 UYZ852005 UYZ917541 UYZ983077 UZA30:UZA33 UZA38:UZA40 UZA65563:UZA65566 UZA65573:UZA65575 UZA131099:UZA131102 UZA131109:UZA131111 UZA196635:UZA196638 UZA196645:UZA196647 UZA262171:UZA262174 UZA262181:UZA262183 UZA327707:UZA327710 UZA327717:UZA327719 UZA393243:UZA393246 UZA393253:UZA393255 UZA458779:UZA458782 UZA458789:UZA458791 UZA524315:UZA524318 UZA524325:UZA524327 UZA589851:UZA589854 UZA589861:UZA589863 UZA655387:UZA655390 UZA655397:UZA655399 UZA720923:UZA720926 UZA720933:UZA720935 UZA786459:UZA786462 UZA786469:UZA786471 UZA851995:UZA851998 UZA852005:UZA852007 UZA917531:UZA917534 UZA917541:UZA917543 UZA983067:UZA983070 UZA983077:UZA983079 VIA30:VIA33 VIA35:VIA36 VIA38:VIA39 VIA43 VIA65563:VIA65566 VIA65570:VIA65571 VIA65573:VIA65574 VIA65578 VIA131099:VIA131102 VIA131106:VIA131107 VIA131109:VIA131110 VIA131114 VIA196635:VIA196638 VIA196642:VIA196643 VIA196645:VIA196646 VIA196650 VIA262171:VIA262174 VIA262178:VIA262179 VIA262181:VIA262182 VIA262186 VIA327707:VIA327710 VIA327714:VIA327715 VIA327717:VIA327718 VIA327722 VIA393243:VIA393246 VIA393250:VIA393251 VIA393253:VIA393254 VIA393258 VIA458779:VIA458782 VIA458786:VIA458787 VIA458789:VIA458790 VIA458794 VIA524315:VIA524318 VIA524322:VIA524323 VIA524325:VIA524326 VIA524330 VIA589851:VIA589854 VIA589858:VIA589859 VIA589861:VIA589862 VIA589866 VIA655387:VIA655390 VIA655394:VIA655395 VIA655397:VIA655398 VIA655402 VIA720923:VIA720926 VIA720930:VIA720931 VIA720933:VIA720934 VIA720938 VIA786459:VIA786462 VIA786466:VIA786467 VIA786469:VIA786470 VIA786474 VIA851995:VIA851998 VIA852002:VIA852003 VIA852005:VIA852006 VIA852010 VIA917531:VIA917534 VIA917538:VIA917539 VIA917541:VIA917542 VIA917546 VIA983067:VIA983070 VIA983074:VIA983075 VIA983077:VIA983078 VIA983082 VIB41 VIB65576 VIB131112 VIB196648 VIB262184 VIB327720 VIB393256 VIB458792 VIB524328 VIB589864 VIB655400 VIB720936 VIB786472 VIB852008 VIB917544 VIB983080 VIV38 VIV65573 VIV131109 VIV196645 VIV262181 VIV327717 VIV393253 VIV458789 VIV524325 VIV589861 VIV655397 VIV720933 VIV786469 VIV852005 VIV917541 VIV983077 VIW30:VIW33 VIW38:VIW40 VIW65563:VIW65566 VIW65573:VIW65575 VIW131099:VIW131102 VIW131109:VIW131111 VIW196635:VIW196638 VIW196645:VIW196647 VIW262171:VIW262174 VIW262181:VIW262183 VIW327707:VIW327710 VIW327717:VIW327719 VIW393243:VIW393246 VIW393253:VIW393255 VIW458779:VIW458782 VIW458789:VIW458791 VIW524315:VIW524318 VIW524325:VIW524327 VIW589851:VIW589854 VIW589861:VIW589863 VIW655387:VIW655390 VIW655397:VIW655399 VIW720923:VIW720926 VIW720933:VIW720935 VIW786459:VIW786462 VIW786469:VIW786471 VIW851995:VIW851998 VIW852005:VIW852007 VIW917531:VIW917534 VIW917541:VIW917543 VIW983067:VIW983070 VIW983077:VIW983079 VRW30:VRW33 VRW35:VRW36 VRW38:VRW39 VRW43 VRW65563:VRW65566 VRW65570:VRW65571 VRW65573:VRW65574 VRW65578 VRW131099:VRW131102 VRW131106:VRW131107 VRW131109:VRW131110 VRW131114 VRW196635:VRW196638 VRW196642:VRW196643 VRW196645:VRW196646 VRW196650 VRW262171:VRW262174 VRW262178:VRW262179 VRW262181:VRW262182 VRW262186 VRW327707:VRW327710 VRW327714:VRW327715 VRW327717:VRW327718 VRW327722 VRW393243:VRW393246 VRW393250:VRW393251 VRW393253:VRW393254 VRW393258 VRW458779:VRW458782 VRW458786:VRW458787 VRW458789:VRW458790 VRW458794 VRW524315:VRW524318 VRW524322:VRW524323 VRW524325:VRW524326 VRW524330 VRW589851:VRW589854 VRW589858:VRW589859 VRW589861:VRW589862 VRW589866 VRW655387:VRW655390 VRW655394:VRW655395 VRW655397:VRW655398 VRW655402 VRW720923:VRW720926 VRW720930:VRW720931 VRW720933:VRW720934 VRW720938 VRW786459:VRW786462 VRW786466:VRW786467 VRW786469:VRW786470 VRW786474 VRW851995:VRW851998 VRW852002:VRW852003 VRW852005:VRW852006 VRW852010 VRW917531:VRW917534 VRW917538:VRW917539 VRW917541:VRW917542 VRW917546 VRW983067:VRW983070 VRW983074:VRW983075 VRW983077:VRW983078 VRW983082 VRX41 VRX65576 VRX131112 VRX196648 VRX262184 VRX327720 VRX393256 VRX458792 VRX524328 VRX589864 VRX655400 VRX720936 VRX786472 VRX852008 VRX917544 VRX983080 VSR38 VSR65573 VSR131109 VSR196645 VSR262181 VSR327717 VSR393253 VSR458789 VSR524325 VSR589861 VSR655397 VSR720933 VSR786469 VSR852005 VSR917541 VSR983077 VSS30:VSS33 VSS38:VSS40 VSS65563:VSS65566 VSS65573:VSS65575 VSS131099:VSS131102 VSS131109:VSS131111 VSS196635:VSS196638 VSS196645:VSS196647 VSS262171:VSS262174 VSS262181:VSS262183 VSS327707:VSS327710 VSS327717:VSS327719 VSS393243:VSS393246 VSS393253:VSS393255 VSS458779:VSS458782 VSS458789:VSS458791 VSS524315:VSS524318 VSS524325:VSS524327 VSS589851:VSS589854 VSS589861:VSS589863 VSS655387:VSS655390 VSS655397:VSS655399 VSS720923:VSS720926 VSS720933:VSS720935 VSS786459:VSS786462 VSS786469:VSS786471 VSS851995:VSS851998 VSS852005:VSS852007 VSS917531:VSS917534 VSS917541:VSS917543 VSS983067:VSS983070 VSS983077:VSS983079 WBS30:WBS33 WBS35:WBS36 WBS38:WBS39 WBS43 WBS65563:WBS65566 WBS65570:WBS65571 WBS65573:WBS65574 WBS65578 WBS131099:WBS131102 WBS131106:WBS131107 WBS131109:WBS131110 WBS131114 WBS196635:WBS196638 WBS196642:WBS196643 WBS196645:WBS196646 WBS196650 WBS262171:WBS262174 WBS262178:WBS262179 WBS262181:WBS262182 WBS262186 WBS327707:WBS327710 WBS327714:WBS327715 WBS327717:WBS327718 WBS327722 WBS393243:WBS393246 WBS393250:WBS393251 WBS393253:WBS393254 WBS393258 WBS458779:WBS458782 WBS458786:WBS458787 WBS458789:WBS458790 WBS458794 WBS524315:WBS524318 WBS524322:WBS524323 WBS524325:WBS524326 WBS524330 WBS589851:WBS589854 WBS589858:WBS589859 WBS589861:WBS589862 WBS589866 WBS655387:WBS655390 WBS655394:WBS655395 WBS655397:WBS655398 WBS655402 WBS720923:WBS720926 WBS720930:WBS720931 WBS720933:WBS720934 WBS720938 WBS786459:WBS786462 WBS786466:WBS786467 WBS786469:WBS786470 WBS786474 WBS851995:WBS851998 WBS852002:WBS852003 WBS852005:WBS852006 WBS852010 WBS917531:WBS917534 WBS917538:WBS917539 WBS917541:WBS917542 WBS917546 WBS983067:WBS983070 WBS983074:WBS983075 WBS983077:WBS983078 WBS983082 WBT41 WBT65576 WBT131112 WBT196648 WBT262184 WBT327720 WBT393256 WBT458792 WBT524328 WBT589864 WBT655400 WBT720936 WBT786472 WBT852008 WBT917544 WBT983080 WCN38 WCN65573 WCN131109 WCN196645 WCN262181 WCN327717 WCN393253 WCN458789 WCN524325 WCN589861 WCN655397 WCN720933 WCN786469 WCN852005 WCN917541 WCN983077 WCO30:WCO33 WCO38:WCO40 WCO65563:WCO65566 WCO65573:WCO65575 WCO131099:WCO131102 WCO131109:WCO131111 WCO196635:WCO196638 WCO196645:WCO196647 WCO262171:WCO262174 WCO262181:WCO262183 WCO327707:WCO327710 WCO327717:WCO327719 WCO393243:WCO393246 WCO393253:WCO393255 WCO458779:WCO458782 WCO458789:WCO458791 WCO524315:WCO524318 WCO524325:WCO524327 WCO589851:WCO589854 WCO589861:WCO589863 WCO655387:WCO655390 WCO655397:WCO655399 WCO720923:WCO720926 WCO720933:WCO720935 WCO786459:WCO786462 WCO786469:WCO786471 WCO851995:WCO851998 WCO852005:WCO852007 WCO917531:WCO917534 WCO917541:WCO917543 WCO983067:WCO983070 WCO983077:WCO983079 WLO30:WLO33 WLO35:WLO36 WLO38:WLO39 WLO43 WLO65563:WLO65566 WLO65570:WLO65571 WLO65573:WLO65574 WLO65578 WLO131099:WLO131102 WLO131106:WLO131107 WLO131109:WLO131110 WLO131114 WLO196635:WLO196638 WLO196642:WLO196643 WLO196645:WLO196646 WLO196650 WLO262171:WLO262174 WLO262178:WLO262179 WLO262181:WLO262182 WLO262186 WLO327707:WLO327710 WLO327714:WLO327715 WLO327717:WLO327718 WLO327722 WLO393243:WLO393246 WLO393250:WLO393251 WLO393253:WLO393254 WLO393258 WLO458779:WLO458782 WLO458786:WLO458787 WLO458789:WLO458790 WLO458794 WLO524315:WLO524318 WLO524322:WLO524323 WLO524325:WLO524326 WLO524330 WLO589851:WLO589854 WLO589858:WLO589859 WLO589861:WLO589862 WLO589866 WLO655387:WLO655390 WLO655394:WLO655395 WLO655397:WLO655398 WLO655402 WLO720923:WLO720926 WLO720930:WLO720931 WLO720933:WLO720934 WLO720938 WLO786459:WLO786462 WLO786466:WLO786467 WLO786469:WLO786470 WLO786474 WLO851995:WLO851998 WLO852002:WLO852003 WLO852005:WLO852006 WLO852010 WLO917531:WLO917534 WLO917538:WLO917539 WLO917541:WLO917542 WLO917546 WLO983067:WLO983070 WLO983074:WLO983075 WLO983077:WLO983078 WLO983082 WLP41 WLP65576 WLP131112 WLP196648 WLP262184 WLP327720 WLP393256 WLP458792 WLP524328 WLP589864 WLP655400 WLP720936 WLP786472 WLP852008 WLP917544 WLP983080 WMJ38 WMJ65573 WMJ131109 WMJ196645 WMJ262181 WMJ327717 WMJ393253 WMJ458789 WMJ524325 WMJ589861 WMJ655397 WMJ720933 WMJ786469 WMJ852005 WMJ917541 WMJ983077 WMK30:WMK33 WMK38:WMK40 WMK65563:WMK65566 WMK65573:WMK65575 WMK131099:WMK131102 WMK131109:WMK131111 WMK196635:WMK196638 WMK196645:WMK196647 WMK262171:WMK262174 WMK262181:WMK262183 WMK327707:WMK327710 WMK327717:WMK327719 WMK393243:WMK393246 WMK393253:WMK393255 WMK458779:WMK458782 WMK458789:WMK458791 WMK524315:WMK524318 WMK524325:WMK524327 WMK589851:WMK589854 WMK589861:WMK589863 WMK655387:WMK655390 WMK655397:WMK655399 WMK720923:WMK720926 WMK720933:WMK720935 WMK786459:WMK786462 WMK786469:WMK786471 WMK851995:WMK851998 WMK852005:WMK852007 WMK917531:WMK917534 WMK917541:WMK917543 WMK983067:WMK983070 WMK983077:WMK983079 WVK30:WVK33 WVK35:WVK36 WVK38:WVK39 WVK43 WVK65563:WVK65566 WVK65570:WVK65571 WVK65573:WVK65574 WVK65578 WVK131099:WVK131102 WVK131106:WVK131107 WVK131109:WVK131110 WVK131114 WVK196635:WVK196638 WVK196642:WVK196643 WVK196645:WVK196646 WVK196650 WVK262171:WVK262174 WVK262178:WVK262179 WVK262181:WVK262182 WVK262186 WVK327707:WVK327710 WVK327714:WVK327715 WVK327717:WVK327718 WVK327722 WVK393243:WVK393246 WVK393250:WVK393251 WVK393253:WVK393254 WVK393258 WVK458779:WVK458782 WVK458786:WVK458787 WVK458789:WVK458790 WVK458794 WVK524315:WVK524318 WVK524322:WVK524323 WVK524325:WVK524326 WVK524330 WVK589851:WVK589854 WVK589858:WVK589859 WVK589861:WVK589862 WVK589866 WVK655387:WVK655390 WVK655394:WVK655395 WVK655397:WVK655398 WVK655402 WVK720923:WVK720926 WVK720930:WVK720931 WVK720933:WVK720934 WVK720938 WVK786459:WVK786462 WVK786466:WVK786467 WVK786469:WVK786470 WVK786474 WVK851995:WVK851998 WVK852002:WVK852003 WVK852005:WVK852006 WVK852010 WVK917531:WVK917534 WVK917538:WVK917539 WVK917541:WVK917542 WVK917546 WVK983067:WVK983070 WVK983074:WVK983075 WVK983077:WVK983078 WVK983082 WVL41 WVL65576 WVL131112 WVL196648 WVL262184 WVL327720 WVL393256 WVL458792 WVL524328 WVL589864 WVL655400 WVL720936 WVL786472 WVL852008 WVL917544 WVL983080 WWF38 WWF65573 WWF131109 WWF196645 WWF262181 WWF327717 WWF393253 WWF458789 WWF524325 WWF589861 WWF655397 WWF720933 WWF786469 WWF852005 WWF917541 WWF983077 WWG30:WWG33 WWG38:WWG40 WWG65563:WWG65566 WWG65573:WWG65575 WWG131099:WWG131102 WWG131109:WWG131111 WWG196635:WWG196638 WWG196645:WWG196647 WWG262171:WWG262174 WWG262181:WWG262183 WWG327707:WWG327710 WWG327717:WWG327719 WWG393243:WWG393246 WWG393253:WWG393255 WWG458779:WWG458782 WWG458789:WWG458791 WWG524315:WWG524318 WWG524325:WWG524327 WWG589851:WWG589854 WWG589861:WWG589863 WWG655387:WWG655390 WWG655397:WWG655399 WWG720923:WWG720926 WWG720933:WWG720935 WWG786459:WWG786462 WWG786469:WWG786471 WWG851995:WWG851998 WWG852005:WWG852007 WWG917531:WWG917534 WWG917541:WWG917543 WWG983067:WWG983070 WWG983077:WWG983079" xr:uid="{00000000-0002-0000-2F00-000000000000}">
      <formula1>"□,■"</formula1>
    </dataValidation>
    <dataValidation type="list" allowBlank="1" showInputMessage="1" showErrorMessage="1" sqref="N9:P9" xr:uid="{00000000-0002-0000-2F00-000001000000}">
      <formula1>"建築主,提出者,申請者"</formula1>
    </dataValidation>
    <dataValidation type="list" allowBlank="1" showInputMessage="1" showErrorMessage="1" sqref="N65544:P65544 N131080:P131080 N196616:P196616 N262152:P262152 N327688:P327688 N393224:P393224 N458760:P458760 N524296:P524296 N589832:P589832 N655368:P655368 N720904:P720904 N786440:P786440 N851976:P851976 N917512:P917512 N983048:P983048 JJ9:JL9 JJ65544:JL65544 JJ131080:JL131080 JJ196616:JL196616 JJ262152:JL262152 JJ327688:JL327688 JJ393224:JL393224 JJ458760:JL458760 JJ524296:JL524296 JJ589832:JL589832 JJ655368:JL655368 JJ720904:JL720904 JJ786440:JL786440 JJ851976:JL851976 JJ917512:JL917512 JJ983048:JL983048 TF9:TH9 TF65544:TH65544 TF131080:TH131080 TF196616:TH196616 TF262152:TH262152 TF327688:TH327688 TF393224:TH393224 TF458760:TH458760 TF524296:TH524296 TF589832:TH589832 TF655368:TH655368 TF720904:TH720904 TF786440:TH786440 TF851976:TH851976 TF917512:TH917512 TF983048:TH983048 ADB9:ADD9 ADB65544:ADD65544 ADB131080:ADD131080 ADB196616:ADD196616 ADB262152:ADD262152 ADB327688:ADD327688 ADB393224:ADD393224 ADB458760:ADD458760 ADB524296:ADD524296 ADB589832:ADD589832 ADB655368:ADD655368 ADB720904:ADD720904 ADB786440:ADD786440 ADB851976:ADD851976 ADB917512:ADD917512 ADB983048:ADD983048 AMX9:AMZ9 AMX65544:AMZ65544 AMX131080:AMZ131080 AMX196616:AMZ196616 AMX262152:AMZ262152 AMX327688:AMZ327688 AMX393224:AMZ393224 AMX458760:AMZ458760 AMX524296:AMZ524296 AMX589832:AMZ589832 AMX655368:AMZ655368 AMX720904:AMZ720904 AMX786440:AMZ786440 AMX851976:AMZ851976 AMX917512:AMZ917512 AMX983048:AMZ983048 AWT9:AWV9 AWT65544:AWV65544 AWT131080:AWV131080 AWT196616:AWV196616 AWT262152:AWV262152 AWT327688:AWV327688 AWT393224:AWV393224 AWT458760:AWV458760 AWT524296:AWV524296 AWT589832:AWV589832 AWT655368:AWV655368 AWT720904:AWV720904 AWT786440:AWV786440 AWT851976:AWV851976 AWT917512:AWV917512 AWT983048:AWV983048 BGP9:BGR9 BGP65544:BGR65544 BGP131080:BGR131080 BGP196616:BGR196616 BGP262152:BGR262152 BGP327688:BGR327688 BGP393224:BGR393224 BGP458760:BGR458760 BGP524296:BGR524296 BGP589832:BGR589832 BGP655368:BGR655368 BGP720904:BGR720904 BGP786440:BGR786440 BGP851976:BGR851976 BGP917512:BGR917512 BGP983048:BGR983048 BQL9:BQN9 BQL65544:BQN65544 BQL131080:BQN131080 BQL196616:BQN196616 BQL262152:BQN262152 BQL327688:BQN327688 BQL393224:BQN393224 BQL458760:BQN458760 BQL524296:BQN524296 BQL589832:BQN589832 BQL655368:BQN655368 BQL720904:BQN720904 BQL786440:BQN786440 BQL851976:BQN851976 BQL917512:BQN917512 BQL983048:BQN983048 CAH9:CAJ9 CAH65544:CAJ65544 CAH131080:CAJ131080 CAH196616:CAJ196616 CAH262152:CAJ262152 CAH327688:CAJ327688 CAH393224:CAJ393224 CAH458760:CAJ458760 CAH524296:CAJ524296 CAH589832:CAJ589832 CAH655368:CAJ655368 CAH720904:CAJ720904 CAH786440:CAJ786440 CAH851976:CAJ851976 CAH917512:CAJ917512 CAH983048:CAJ983048 CKD9:CKF9 CKD65544:CKF65544 CKD131080:CKF131080 CKD196616:CKF196616 CKD262152:CKF262152 CKD327688:CKF327688 CKD393224:CKF393224 CKD458760:CKF458760 CKD524296:CKF524296 CKD589832:CKF589832 CKD655368:CKF655368 CKD720904:CKF720904 CKD786440:CKF786440 CKD851976:CKF851976 CKD917512:CKF917512 CKD983048:CKF983048 CTZ9:CUB9 CTZ65544:CUB65544 CTZ131080:CUB131080 CTZ196616:CUB196616 CTZ262152:CUB262152 CTZ327688:CUB327688 CTZ393224:CUB393224 CTZ458760:CUB458760 CTZ524296:CUB524296 CTZ589832:CUB589832 CTZ655368:CUB655368 CTZ720904:CUB720904 CTZ786440:CUB786440 CTZ851976:CUB851976 CTZ917512:CUB917512 CTZ983048:CUB983048 DDV9:DDX9 DDV65544:DDX65544 DDV131080:DDX131080 DDV196616:DDX196616 DDV262152:DDX262152 DDV327688:DDX327688 DDV393224:DDX393224 DDV458760:DDX458760 DDV524296:DDX524296 DDV589832:DDX589832 DDV655368:DDX655368 DDV720904:DDX720904 DDV786440:DDX786440 DDV851976:DDX851976 DDV917512:DDX917512 DDV983048:DDX983048 DNR9:DNT9 DNR65544:DNT65544 DNR131080:DNT131080 DNR196616:DNT196616 DNR262152:DNT262152 DNR327688:DNT327688 DNR393224:DNT393224 DNR458760:DNT458760 DNR524296:DNT524296 DNR589832:DNT589832 DNR655368:DNT655368 DNR720904:DNT720904 DNR786440:DNT786440 DNR851976:DNT851976 DNR917512:DNT917512 DNR983048:DNT983048 DXN9:DXP9 DXN65544:DXP65544 DXN131080:DXP131080 DXN196616:DXP196616 DXN262152:DXP262152 DXN327688:DXP327688 DXN393224:DXP393224 DXN458760:DXP458760 DXN524296:DXP524296 DXN589832:DXP589832 DXN655368:DXP655368 DXN720904:DXP720904 DXN786440:DXP786440 DXN851976:DXP851976 DXN917512:DXP917512 DXN983048:DXP983048 EHJ9:EHL9 EHJ65544:EHL65544 EHJ131080:EHL131080 EHJ196616:EHL196616 EHJ262152:EHL262152 EHJ327688:EHL327688 EHJ393224:EHL393224 EHJ458760:EHL458760 EHJ524296:EHL524296 EHJ589832:EHL589832 EHJ655368:EHL655368 EHJ720904:EHL720904 EHJ786440:EHL786440 EHJ851976:EHL851976 EHJ917512:EHL917512 EHJ983048:EHL983048 ERF9:ERH9 ERF65544:ERH65544 ERF131080:ERH131080 ERF196616:ERH196616 ERF262152:ERH262152 ERF327688:ERH327688 ERF393224:ERH393224 ERF458760:ERH458760 ERF524296:ERH524296 ERF589832:ERH589832 ERF655368:ERH655368 ERF720904:ERH720904 ERF786440:ERH786440 ERF851976:ERH851976 ERF917512:ERH917512 ERF983048:ERH983048 FBB9:FBD9 FBB65544:FBD65544 FBB131080:FBD131080 FBB196616:FBD196616 FBB262152:FBD262152 FBB327688:FBD327688 FBB393224:FBD393224 FBB458760:FBD458760 FBB524296:FBD524296 FBB589832:FBD589832 FBB655368:FBD655368 FBB720904:FBD720904 FBB786440:FBD786440 FBB851976:FBD851976 FBB917512:FBD917512 FBB983048:FBD983048 FKX9:FKZ9 FKX65544:FKZ65544 FKX131080:FKZ131080 FKX196616:FKZ196616 FKX262152:FKZ262152 FKX327688:FKZ327688 FKX393224:FKZ393224 FKX458760:FKZ458760 FKX524296:FKZ524296 FKX589832:FKZ589832 FKX655368:FKZ655368 FKX720904:FKZ720904 FKX786440:FKZ786440 FKX851976:FKZ851976 FKX917512:FKZ917512 FKX983048:FKZ983048 FUT9:FUV9 FUT65544:FUV65544 FUT131080:FUV131080 FUT196616:FUV196616 FUT262152:FUV262152 FUT327688:FUV327688 FUT393224:FUV393224 FUT458760:FUV458760 FUT524296:FUV524296 FUT589832:FUV589832 FUT655368:FUV655368 FUT720904:FUV720904 FUT786440:FUV786440 FUT851976:FUV851976 FUT917512:FUV917512 FUT983048:FUV983048 GEP9:GER9 GEP65544:GER65544 GEP131080:GER131080 GEP196616:GER196616 GEP262152:GER262152 GEP327688:GER327688 GEP393224:GER393224 GEP458760:GER458760 GEP524296:GER524296 GEP589832:GER589832 GEP655368:GER655368 GEP720904:GER720904 GEP786440:GER786440 GEP851976:GER851976 GEP917512:GER917512 GEP983048:GER983048 GOL9:GON9 GOL65544:GON65544 GOL131080:GON131080 GOL196616:GON196616 GOL262152:GON262152 GOL327688:GON327688 GOL393224:GON393224 GOL458760:GON458760 GOL524296:GON524296 GOL589832:GON589832 GOL655368:GON655368 GOL720904:GON720904 GOL786440:GON786440 GOL851976:GON851976 GOL917512:GON917512 GOL983048:GON983048 GYH9:GYJ9 GYH65544:GYJ65544 GYH131080:GYJ131080 GYH196616:GYJ196616 GYH262152:GYJ262152 GYH327688:GYJ327688 GYH393224:GYJ393224 GYH458760:GYJ458760 GYH524296:GYJ524296 GYH589832:GYJ589832 GYH655368:GYJ655368 GYH720904:GYJ720904 GYH786440:GYJ786440 GYH851976:GYJ851976 GYH917512:GYJ917512 GYH983048:GYJ983048 HID9:HIF9 HID65544:HIF65544 HID131080:HIF131080 HID196616:HIF196616 HID262152:HIF262152 HID327688:HIF327688 HID393224:HIF393224 HID458760:HIF458760 HID524296:HIF524296 HID589832:HIF589832 HID655368:HIF655368 HID720904:HIF720904 HID786440:HIF786440 HID851976:HIF851976 HID917512:HIF917512 HID983048:HIF983048 HRZ9:HSB9 HRZ65544:HSB65544 HRZ131080:HSB131080 HRZ196616:HSB196616 HRZ262152:HSB262152 HRZ327688:HSB327688 HRZ393224:HSB393224 HRZ458760:HSB458760 HRZ524296:HSB524296 HRZ589832:HSB589832 HRZ655368:HSB655368 HRZ720904:HSB720904 HRZ786440:HSB786440 HRZ851976:HSB851976 HRZ917512:HSB917512 HRZ983048:HSB983048 IBV9:IBX9 IBV65544:IBX65544 IBV131080:IBX131080 IBV196616:IBX196616 IBV262152:IBX262152 IBV327688:IBX327688 IBV393224:IBX393224 IBV458760:IBX458760 IBV524296:IBX524296 IBV589832:IBX589832 IBV655368:IBX655368 IBV720904:IBX720904 IBV786440:IBX786440 IBV851976:IBX851976 IBV917512:IBX917512 IBV983048:IBX983048 ILR9:ILT9 ILR65544:ILT65544 ILR131080:ILT131080 ILR196616:ILT196616 ILR262152:ILT262152 ILR327688:ILT327688 ILR393224:ILT393224 ILR458760:ILT458760 ILR524296:ILT524296 ILR589832:ILT589832 ILR655368:ILT655368 ILR720904:ILT720904 ILR786440:ILT786440 ILR851976:ILT851976 ILR917512:ILT917512 ILR983048:ILT983048 IVN9:IVP9 IVN65544:IVP65544 IVN131080:IVP131080 IVN196616:IVP196616 IVN262152:IVP262152 IVN327688:IVP327688 IVN393224:IVP393224 IVN458760:IVP458760 IVN524296:IVP524296 IVN589832:IVP589832 IVN655368:IVP655368 IVN720904:IVP720904 IVN786440:IVP786440 IVN851976:IVP851976 IVN917512:IVP917512 IVN983048:IVP983048 JFJ9:JFL9 JFJ65544:JFL65544 JFJ131080:JFL131080 JFJ196616:JFL196616 JFJ262152:JFL262152 JFJ327688:JFL327688 JFJ393224:JFL393224 JFJ458760:JFL458760 JFJ524296:JFL524296 JFJ589832:JFL589832 JFJ655368:JFL655368 JFJ720904:JFL720904 JFJ786440:JFL786440 JFJ851976:JFL851976 JFJ917512:JFL917512 JFJ983048:JFL983048 JPF9:JPH9 JPF65544:JPH65544 JPF131080:JPH131080 JPF196616:JPH196616 JPF262152:JPH262152 JPF327688:JPH327688 JPF393224:JPH393224 JPF458760:JPH458760 JPF524296:JPH524296 JPF589832:JPH589832 JPF655368:JPH655368 JPF720904:JPH720904 JPF786440:JPH786440 JPF851976:JPH851976 JPF917512:JPH917512 JPF983048:JPH983048 JZB9:JZD9 JZB65544:JZD65544 JZB131080:JZD131080 JZB196616:JZD196616 JZB262152:JZD262152 JZB327688:JZD327688 JZB393224:JZD393224 JZB458760:JZD458760 JZB524296:JZD524296 JZB589832:JZD589832 JZB655368:JZD655368 JZB720904:JZD720904 JZB786440:JZD786440 JZB851976:JZD851976 JZB917512:JZD917512 JZB983048:JZD983048 KIX9:KIZ9 KIX65544:KIZ65544 KIX131080:KIZ131080 KIX196616:KIZ196616 KIX262152:KIZ262152 KIX327688:KIZ327688 KIX393224:KIZ393224 KIX458760:KIZ458760 KIX524296:KIZ524296 KIX589832:KIZ589832 KIX655368:KIZ655368 KIX720904:KIZ720904 KIX786440:KIZ786440 KIX851976:KIZ851976 KIX917512:KIZ917512 KIX983048:KIZ983048 KST9:KSV9 KST65544:KSV65544 KST131080:KSV131080 KST196616:KSV196616 KST262152:KSV262152 KST327688:KSV327688 KST393224:KSV393224 KST458760:KSV458760 KST524296:KSV524296 KST589832:KSV589832 KST655368:KSV655368 KST720904:KSV720904 KST786440:KSV786440 KST851976:KSV851976 KST917512:KSV917512 KST983048:KSV983048 LCP9:LCR9 LCP65544:LCR65544 LCP131080:LCR131080 LCP196616:LCR196616 LCP262152:LCR262152 LCP327688:LCR327688 LCP393224:LCR393224 LCP458760:LCR458760 LCP524296:LCR524296 LCP589832:LCR589832 LCP655368:LCR655368 LCP720904:LCR720904 LCP786440:LCR786440 LCP851976:LCR851976 LCP917512:LCR917512 LCP983048:LCR983048 LML9:LMN9 LML65544:LMN65544 LML131080:LMN131080 LML196616:LMN196616 LML262152:LMN262152 LML327688:LMN327688 LML393224:LMN393224 LML458760:LMN458760 LML524296:LMN524296 LML589832:LMN589832 LML655368:LMN655368 LML720904:LMN720904 LML786440:LMN786440 LML851976:LMN851976 LML917512:LMN917512 LML983048:LMN983048 LWH9:LWJ9 LWH65544:LWJ65544 LWH131080:LWJ131080 LWH196616:LWJ196616 LWH262152:LWJ262152 LWH327688:LWJ327688 LWH393224:LWJ393224 LWH458760:LWJ458760 LWH524296:LWJ524296 LWH589832:LWJ589832 LWH655368:LWJ655368 LWH720904:LWJ720904 LWH786440:LWJ786440 LWH851976:LWJ851976 LWH917512:LWJ917512 LWH983048:LWJ983048 MGD9:MGF9 MGD65544:MGF65544 MGD131080:MGF131080 MGD196616:MGF196616 MGD262152:MGF262152 MGD327688:MGF327688 MGD393224:MGF393224 MGD458760:MGF458760 MGD524296:MGF524296 MGD589832:MGF589832 MGD655368:MGF655368 MGD720904:MGF720904 MGD786440:MGF786440 MGD851976:MGF851976 MGD917512:MGF917512 MGD983048:MGF983048 MPZ9:MQB9 MPZ65544:MQB65544 MPZ131080:MQB131080 MPZ196616:MQB196616 MPZ262152:MQB262152 MPZ327688:MQB327688 MPZ393224:MQB393224 MPZ458760:MQB458760 MPZ524296:MQB524296 MPZ589832:MQB589832 MPZ655368:MQB655368 MPZ720904:MQB720904 MPZ786440:MQB786440 MPZ851976:MQB851976 MPZ917512:MQB917512 MPZ983048:MQB983048 MZV9:MZX9 MZV65544:MZX65544 MZV131080:MZX131080 MZV196616:MZX196616 MZV262152:MZX262152 MZV327688:MZX327688 MZV393224:MZX393224 MZV458760:MZX458760 MZV524296:MZX524296 MZV589832:MZX589832 MZV655368:MZX655368 MZV720904:MZX720904 MZV786440:MZX786440 MZV851976:MZX851976 MZV917512:MZX917512 MZV983048:MZX983048 NJR9:NJT9 NJR65544:NJT65544 NJR131080:NJT131080 NJR196616:NJT196616 NJR262152:NJT262152 NJR327688:NJT327688 NJR393224:NJT393224 NJR458760:NJT458760 NJR524296:NJT524296 NJR589832:NJT589832 NJR655368:NJT655368 NJR720904:NJT720904 NJR786440:NJT786440 NJR851976:NJT851976 NJR917512:NJT917512 NJR983048:NJT983048 NTN9:NTP9 NTN65544:NTP65544 NTN131080:NTP131080 NTN196616:NTP196616 NTN262152:NTP262152 NTN327688:NTP327688 NTN393224:NTP393224 NTN458760:NTP458760 NTN524296:NTP524296 NTN589832:NTP589832 NTN655368:NTP655368 NTN720904:NTP720904 NTN786440:NTP786440 NTN851976:NTP851976 NTN917512:NTP917512 NTN983048:NTP983048 ODJ9:ODL9 ODJ65544:ODL65544 ODJ131080:ODL131080 ODJ196616:ODL196616 ODJ262152:ODL262152 ODJ327688:ODL327688 ODJ393224:ODL393224 ODJ458760:ODL458760 ODJ524296:ODL524296 ODJ589832:ODL589832 ODJ655368:ODL655368 ODJ720904:ODL720904 ODJ786440:ODL786440 ODJ851976:ODL851976 ODJ917512:ODL917512 ODJ983048:ODL983048 ONF9:ONH9 ONF65544:ONH65544 ONF131080:ONH131080 ONF196616:ONH196616 ONF262152:ONH262152 ONF327688:ONH327688 ONF393224:ONH393224 ONF458760:ONH458760 ONF524296:ONH524296 ONF589832:ONH589832 ONF655368:ONH655368 ONF720904:ONH720904 ONF786440:ONH786440 ONF851976:ONH851976 ONF917512:ONH917512 ONF983048:ONH983048 OXB9:OXD9 OXB65544:OXD65544 OXB131080:OXD131080 OXB196616:OXD196616 OXB262152:OXD262152 OXB327688:OXD327688 OXB393224:OXD393224 OXB458760:OXD458760 OXB524296:OXD524296 OXB589832:OXD589832 OXB655368:OXD655368 OXB720904:OXD720904 OXB786440:OXD786440 OXB851976:OXD851976 OXB917512:OXD917512 OXB983048:OXD983048 PGX9:PGZ9 PGX65544:PGZ65544 PGX131080:PGZ131080 PGX196616:PGZ196616 PGX262152:PGZ262152 PGX327688:PGZ327688 PGX393224:PGZ393224 PGX458760:PGZ458760 PGX524296:PGZ524296 PGX589832:PGZ589832 PGX655368:PGZ655368 PGX720904:PGZ720904 PGX786440:PGZ786440 PGX851976:PGZ851976 PGX917512:PGZ917512 PGX983048:PGZ983048 PQT9:PQV9 PQT65544:PQV65544 PQT131080:PQV131080 PQT196616:PQV196616 PQT262152:PQV262152 PQT327688:PQV327688 PQT393224:PQV393224 PQT458760:PQV458760 PQT524296:PQV524296 PQT589832:PQV589832 PQT655368:PQV655368 PQT720904:PQV720904 PQT786440:PQV786440 PQT851976:PQV851976 PQT917512:PQV917512 PQT983048:PQV983048 QAP9:QAR9 QAP65544:QAR65544 QAP131080:QAR131080 QAP196616:QAR196616 QAP262152:QAR262152 QAP327688:QAR327688 QAP393224:QAR393224 QAP458760:QAR458760 QAP524296:QAR524296 QAP589832:QAR589832 QAP655368:QAR655368 QAP720904:QAR720904 QAP786440:QAR786440 QAP851976:QAR851976 QAP917512:QAR917512 QAP983048:QAR983048 QKL9:QKN9 QKL65544:QKN65544 QKL131080:QKN131080 QKL196616:QKN196616 QKL262152:QKN262152 QKL327688:QKN327688 QKL393224:QKN393224 QKL458760:QKN458760 QKL524296:QKN524296 QKL589832:QKN589832 QKL655368:QKN655368 QKL720904:QKN720904 QKL786440:QKN786440 QKL851976:QKN851976 QKL917512:QKN917512 QKL983048:QKN983048 QUH9:QUJ9 QUH65544:QUJ65544 QUH131080:QUJ131080 QUH196616:QUJ196616 QUH262152:QUJ262152 QUH327688:QUJ327688 QUH393224:QUJ393224 QUH458760:QUJ458760 QUH524296:QUJ524296 QUH589832:QUJ589832 QUH655368:QUJ655368 QUH720904:QUJ720904 QUH786440:QUJ786440 QUH851976:QUJ851976 QUH917512:QUJ917512 QUH983048:QUJ983048 RED9:REF9 RED65544:REF65544 RED131080:REF131080 RED196616:REF196616 RED262152:REF262152 RED327688:REF327688 RED393224:REF393224 RED458760:REF458760 RED524296:REF524296 RED589832:REF589832 RED655368:REF655368 RED720904:REF720904 RED786440:REF786440 RED851976:REF851976 RED917512:REF917512 RED983048:REF983048 RNZ9:ROB9 RNZ65544:ROB65544 RNZ131080:ROB131080 RNZ196616:ROB196616 RNZ262152:ROB262152 RNZ327688:ROB327688 RNZ393224:ROB393224 RNZ458760:ROB458760 RNZ524296:ROB524296 RNZ589832:ROB589832 RNZ655368:ROB655368 RNZ720904:ROB720904 RNZ786440:ROB786440 RNZ851976:ROB851976 RNZ917512:ROB917512 RNZ983048:ROB983048 RXV9:RXX9 RXV65544:RXX65544 RXV131080:RXX131080 RXV196616:RXX196616 RXV262152:RXX262152 RXV327688:RXX327688 RXV393224:RXX393224 RXV458760:RXX458760 RXV524296:RXX524296 RXV589832:RXX589832 RXV655368:RXX655368 RXV720904:RXX720904 RXV786440:RXX786440 RXV851976:RXX851976 RXV917512:RXX917512 RXV983048:RXX983048 SHR9:SHT9 SHR65544:SHT65544 SHR131080:SHT131080 SHR196616:SHT196616 SHR262152:SHT262152 SHR327688:SHT327688 SHR393224:SHT393224 SHR458760:SHT458760 SHR524296:SHT524296 SHR589832:SHT589832 SHR655368:SHT655368 SHR720904:SHT720904 SHR786440:SHT786440 SHR851976:SHT851976 SHR917512:SHT917512 SHR983048:SHT983048 SRN9:SRP9 SRN65544:SRP65544 SRN131080:SRP131080 SRN196616:SRP196616 SRN262152:SRP262152 SRN327688:SRP327688 SRN393224:SRP393224 SRN458760:SRP458760 SRN524296:SRP524296 SRN589832:SRP589832 SRN655368:SRP655368 SRN720904:SRP720904 SRN786440:SRP786440 SRN851976:SRP851976 SRN917512:SRP917512 SRN983048:SRP983048 TBJ9:TBL9 TBJ65544:TBL65544 TBJ131080:TBL131080 TBJ196616:TBL196616 TBJ262152:TBL262152 TBJ327688:TBL327688 TBJ393224:TBL393224 TBJ458760:TBL458760 TBJ524296:TBL524296 TBJ589832:TBL589832 TBJ655368:TBL655368 TBJ720904:TBL720904 TBJ786440:TBL786440 TBJ851976:TBL851976 TBJ917512:TBL917512 TBJ983048:TBL983048 TLF9:TLH9 TLF65544:TLH65544 TLF131080:TLH131080 TLF196616:TLH196616 TLF262152:TLH262152 TLF327688:TLH327688 TLF393224:TLH393224 TLF458760:TLH458760 TLF524296:TLH524296 TLF589832:TLH589832 TLF655368:TLH655368 TLF720904:TLH720904 TLF786440:TLH786440 TLF851976:TLH851976 TLF917512:TLH917512 TLF983048:TLH983048 TVB9:TVD9 TVB65544:TVD65544 TVB131080:TVD131080 TVB196616:TVD196616 TVB262152:TVD262152 TVB327688:TVD327688 TVB393224:TVD393224 TVB458760:TVD458760 TVB524296:TVD524296 TVB589832:TVD589832 TVB655368:TVD655368 TVB720904:TVD720904 TVB786440:TVD786440 TVB851976:TVD851976 TVB917512:TVD917512 TVB983048:TVD983048 UEX9:UEZ9 UEX65544:UEZ65544 UEX131080:UEZ131080 UEX196616:UEZ196616 UEX262152:UEZ262152 UEX327688:UEZ327688 UEX393224:UEZ393224 UEX458760:UEZ458760 UEX524296:UEZ524296 UEX589832:UEZ589832 UEX655368:UEZ655368 UEX720904:UEZ720904 UEX786440:UEZ786440 UEX851976:UEZ851976 UEX917512:UEZ917512 UEX983048:UEZ983048 UOT9:UOV9 UOT65544:UOV65544 UOT131080:UOV131080 UOT196616:UOV196616 UOT262152:UOV262152 UOT327688:UOV327688 UOT393224:UOV393224 UOT458760:UOV458760 UOT524296:UOV524296 UOT589832:UOV589832 UOT655368:UOV655368 UOT720904:UOV720904 UOT786440:UOV786440 UOT851976:UOV851976 UOT917512:UOV917512 UOT983048:UOV983048 UYP9:UYR9 UYP65544:UYR65544 UYP131080:UYR131080 UYP196616:UYR196616 UYP262152:UYR262152 UYP327688:UYR327688 UYP393224:UYR393224 UYP458760:UYR458760 UYP524296:UYR524296 UYP589832:UYR589832 UYP655368:UYR655368 UYP720904:UYR720904 UYP786440:UYR786440 UYP851976:UYR851976 UYP917512:UYR917512 UYP983048:UYR983048 VIL9:VIN9 VIL65544:VIN65544 VIL131080:VIN131080 VIL196616:VIN196616 VIL262152:VIN262152 VIL327688:VIN327688 VIL393224:VIN393224 VIL458760:VIN458760 VIL524296:VIN524296 VIL589832:VIN589832 VIL655368:VIN655368 VIL720904:VIN720904 VIL786440:VIN786440 VIL851976:VIN851976 VIL917512:VIN917512 VIL983048:VIN983048 VSH9:VSJ9 VSH65544:VSJ65544 VSH131080:VSJ131080 VSH196616:VSJ196616 VSH262152:VSJ262152 VSH327688:VSJ327688 VSH393224:VSJ393224 VSH458760:VSJ458760 VSH524296:VSJ524296 VSH589832:VSJ589832 VSH655368:VSJ655368 VSH720904:VSJ720904 VSH786440:VSJ786440 VSH851976:VSJ851976 VSH917512:VSJ917512 VSH983048:VSJ983048 WCD9:WCF9 WCD65544:WCF65544 WCD131080:WCF131080 WCD196616:WCF196616 WCD262152:WCF262152 WCD327688:WCF327688 WCD393224:WCF393224 WCD458760:WCF458760 WCD524296:WCF524296 WCD589832:WCF589832 WCD655368:WCF655368 WCD720904:WCF720904 WCD786440:WCF786440 WCD851976:WCF851976 WCD917512:WCF917512 WCD983048:WCF983048 WLZ9:WMB9 WLZ65544:WMB65544 WLZ131080:WMB131080 WLZ196616:WMB196616 WLZ262152:WMB262152 WLZ327688:WMB327688 WLZ393224:WMB393224 WLZ458760:WMB458760 WLZ524296:WMB524296 WLZ589832:WMB589832 WLZ655368:WMB655368 WLZ720904:WMB720904 WLZ786440:WMB786440 WLZ851976:WMB851976 WLZ917512:WMB917512 WLZ983048:WMB983048 WVV9:WVX9 WVV65544:WVX65544 WVV131080:WVX131080 WVV196616:WVX196616 WVV262152:WVX262152 WVV327688:WVX327688 WVV393224:WVX393224 WVV458760:WVX458760 WVV524296:WVX524296 WVV589832:WVX589832 WVV655368:WVX655368 WVV720904:WVX720904 WVV786440:WVX786440 WVV851976:WVX851976 WVV917512:WVX917512 WVV983048:WVX983048" xr:uid="{00000000-0002-0000-2F00-000002000000}">
      <formula1>"建築主,築造主,設置者"</formula1>
    </dataValidation>
    <dataValidation type="whole" allowBlank="1" showInputMessage="1" showErrorMessage="1" sqref="AG65537:AH65537 AG131073:AH131073 AG196609:AH196609 AG262145:AH262145 AG327681:AH327681 AG393217:AH393217 AG458753:AH458753 AG524289:AH524289 AG589825:AH589825 AG655361:AH655361 AG720897:AH720897 AG786433:AH786433 AG851969:AH851969 AG917505:AH917505 AG983041:AH983041 KC2:KD2 KC65537:KD65537 KC131073:KD131073 KC196609:KD196609 KC262145:KD262145 KC327681:KD327681 KC393217:KD393217 KC458753:KD458753 KC524289:KD524289 KC589825:KD589825 KC655361:KD655361 KC720897:KD720897 KC786433:KD786433 KC851969:KD851969 KC917505:KD917505 KC983041:KD983041 TY2:TZ2 TY65537:TZ65537 TY131073:TZ131073 TY196609:TZ196609 TY262145:TZ262145 TY327681:TZ327681 TY393217:TZ393217 TY458753:TZ458753 TY524289:TZ524289 TY589825:TZ589825 TY655361:TZ655361 TY720897:TZ720897 TY786433:TZ786433 TY851969:TZ851969 TY917505:TZ917505 TY983041:TZ983041 ADU2:ADV2 ADU65537:ADV65537 ADU131073:ADV131073 ADU196609:ADV196609 ADU262145:ADV262145 ADU327681:ADV327681 ADU393217:ADV393217 ADU458753:ADV458753 ADU524289:ADV524289 ADU589825:ADV589825 ADU655361:ADV655361 ADU720897:ADV720897 ADU786433:ADV786433 ADU851969:ADV851969 ADU917505:ADV917505 ADU983041:ADV983041 ANQ2:ANR2 ANQ65537:ANR65537 ANQ131073:ANR131073 ANQ196609:ANR196609 ANQ262145:ANR262145 ANQ327681:ANR327681 ANQ393217:ANR393217 ANQ458753:ANR458753 ANQ524289:ANR524289 ANQ589825:ANR589825 ANQ655361:ANR655361 ANQ720897:ANR720897 ANQ786433:ANR786433 ANQ851969:ANR851969 ANQ917505:ANR917505 ANQ983041:ANR983041 AXM2:AXN2 AXM65537:AXN65537 AXM131073:AXN131073 AXM196609:AXN196609 AXM262145:AXN262145 AXM327681:AXN327681 AXM393217:AXN393217 AXM458753:AXN458753 AXM524289:AXN524289 AXM589825:AXN589825 AXM655361:AXN655361 AXM720897:AXN720897 AXM786433:AXN786433 AXM851969:AXN851969 AXM917505:AXN917505 AXM983041:AXN983041 BHI2:BHJ2 BHI65537:BHJ65537 BHI131073:BHJ131073 BHI196609:BHJ196609 BHI262145:BHJ262145 BHI327681:BHJ327681 BHI393217:BHJ393217 BHI458753:BHJ458753 BHI524289:BHJ524289 BHI589825:BHJ589825 BHI655361:BHJ655361 BHI720897:BHJ720897 BHI786433:BHJ786433 BHI851969:BHJ851969 BHI917505:BHJ917505 BHI983041:BHJ983041 BRE2:BRF2 BRE65537:BRF65537 BRE131073:BRF131073 BRE196609:BRF196609 BRE262145:BRF262145 BRE327681:BRF327681 BRE393217:BRF393217 BRE458753:BRF458753 BRE524289:BRF524289 BRE589825:BRF589825 BRE655361:BRF655361 BRE720897:BRF720897 BRE786433:BRF786433 BRE851969:BRF851969 BRE917505:BRF917505 BRE983041:BRF983041 CBA2:CBB2 CBA65537:CBB65537 CBA131073:CBB131073 CBA196609:CBB196609 CBA262145:CBB262145 CBA327681:CBB327681 CBA393217:CBB393217 CBA458753:CBB458753 CBA524289:CBB524289 CBA589825:CBB589825 CBA655361:CBB655361 CBA720897:CBB720897 CBA786433:CBB786433 CBA851969:CBB851969 CBA917505:CBB917505 CBA983041:CBB983041 CKW2:CKX2 CKW65537:CKX65537 CKW131073:CKX131073 CKW196609:CKX196609 CKW262145:CKX262145 CKW327681:CKX327681 CKW393217:CKX393217 CKW458753:CKX458753 CKW524289:CKX524289 CKW589825:CKX589825 CKW655361:CKX655361 CKW720897:CKX720897 CKW786433:CKX786433 CKW851969:CKX851969 CKW917505:CKX917505 CKW983041:CKX983041 CUS2:CUT2 CUS65537:CUT65537 CUS131073:CUT131073 CUS196609:CUT196609 CUS262145:CUT262145 CUS327681:CUT327681 CUS393217:CUT393217 CUS458753:CUT458753 CUS524289:CUT524289 CUS589825:CUT589825 CUS655361:CUT655361 CUS720897:CUT720897 CUS786433:CUT786433 CUS851969:CUT851969 CUS917505:CUT917505 CUS983041:CUT983041 DEO2:DEP2 DEO65537:DEP65537 DEO131073:DEP131073 DEO196609:DEP196609 DEO262145:DEP262145 DEO327681:DEP327681 DEO393217:DEP393217 DEO458753:DEP458753 DEO524289:DEP524289 DEO589825:DEP589825 DEO655361:DEP655361 DEO720897:DEP720897 DEO786433:DEP786433 DEO851969:DEP851969 DEO917505:DEP917505 DEO983041:DEP983041 DOK2:DOL2 DOK65537:DOL65537 DOK131073:DOL131073 DOK196609:DOL196609 DOK262145:DOL262145 DOK327681:DOL327681 DOK393217:DOL393217 DOK458753:DOL458753 DOK524289:DOL524289 DOK589825:DOL589825 DOK655361:DOL655361 DOK720897:DOL720897 DOK786433:DOL786433 DOK851969:DOL851969 DOK917505:DOL917505 DOK983041:DOL983041 DYG2:DYH2 DYG65537:DYH65537 DYG131073:DYH131073 DYG196609:DYH196609 DYG262145:DYH262145 DYG327681:DYH327681 DYG393217:DYH393217 DYG458753:DYH458753 DYG524289:DYH524289 DYG589825:DYH589825 DYG655361:DYH655361 DYG720897:DYH720897 DYG786433:DYH786433 DYG851969:DYH851969 DYG917505:DYH917505 DYG983041:DYH983041 EIC2:EID2 EIC65537:EID65537 EIC131073:EID131073 EIC196609:EID196609 EIC262145:EID262145 EIC327681:EID327681 EIC393217:EID393217 EIC458753:EID458753 EIC524289:EID524289 EIC589825:EID589825 EIC655361:EID655361 EIC720897:EID720897 EIC786433:EID786433 EIC851969:EID851969 EIC917505:EID917505 EIC983041:EID983041 ERY2:ERZ2 ERY65537:ERZ65537 ERY131073:ERZ131073 ERY196609:ERZ196609 ERY262145:ERZ262145 ERY327681:ERZ327681 ERY393217:ERZ393217 ERY458753:ERZ458753 ERY524289:ERZ524289 ERY589825:ERZ589825 ERY655361:ERZ655361 ERY720897:ERZ720897 ERY786433:ERZ786433 ERY851969:ERZ851969 ERY917505:ERZ917505 ERY983041:ERZ983041 FBU2:FBV2 FBU65537:FBV65537 FBU131073:FBV131073 FBU196609:FBV196609 FBU262145:FBV262145 FBU327681:FBV327681 FBU393217:FBV393217 FBU458753:FBV458753 FBU524289:FBV524289 FBU589825:FBV589825 FBU655361:FBV655361 FBU720897:FBV720897 FBU786433:FBV786433 FBU851969:FBV851969 FBU917505:FBV917505 FBU983041:FBV983041 FLQ2:FLR2 FLQ65537:FLR65537 FLQ131073:FLR131073 FLQ196609:FLR196609 FLQ262145:FLR262145 FLQ327681:FLR327681 FLQ393217:FLR393217 FLQ458753:FLR458753 FLQ524289:FLR524289 FLQ589825:FLR589825 FLQ655361:FLR655361 FLQ720897:FLR720897 FLQ786433:FLR786433 FLQ851969:FLR851969 FLQ917505:FLR917505 FLQ983041:FLR983041 FVM2:FVN2 FVM65537:FVN65537 FVM131073:FVN131073 FVM196609:FVN196609 FVM262145:FVN262145 FVM327681:FVN327681 FVM393217:FVN393217 FVM458753:FVN458753 FVM524289:FVN524289 FVM589825:FVN589825 FVM655361:FVN655361 FVM720897:FVN720897 FVM786433:FVN786433 FVM851969:FVN851969 FVM917505:FVN917505 FVM983041:FVN983041 GFI2:GFJ2 GFI65537:GFJ65537 GFI131073:GFJ131073 GFI196609:GFJ196609 GFI262145:GFJ262145 GFI327681:GFJ327681 GFI393217:GFJ393217 GFI458753:GFJ458753 GFI524289:GFJ524289 GFI589825:GFJ589825 GFI655361:GFJ655361 GFI720897:GFJ720897 GFI786433:GFJ786433 GFI851969:GFJ851969 GFI917505:GFJ917505 GFI983041:GFJ983041 GPE2:GPF2 GPE65537:GPF65537 GPE131073:GPF131073 GPE196609:GPF196609 GPE262145:GPF262145 GPE327681:GPF327681 GPE393217:GPF393217 GPE458753:GPF458753 GPE524289:GPF524289 GPE589825:GPF589825 GPE655361:GPF655361 GPE720897:GPF720897 GPE786433:GPF786433 GPE851969:GPF851969 GPE917505:GPF917505 GPE983041:GPF983041 GZA2:GZB2 GZA65537:GZB65537 GZA131073:GZB131073 GZA196609:GZB196609 GZA262145:GZB262145 GZA327681:GZB327681 GZA393217:GZB393217 GZA458753:GZB458753 GZA524289:GZB524289 GZA589825:GZB589825 GZA655361:GZB655361 GZA720897:GZB720897 GZA786433:GZB786433 GZA851969:GZB851969 GZA917505:GZB917505 GZA983041:GZB983041 HIW2:HIX2 HIW65537:HIX65537 HIW131073:HIX131073 HIW196609:HIX196609 HIW262145:HIX262145 HIW327681:HIX327681 HIW393217:HIX393217 HIW458753:HIX458753 HIW524289:HIX524289 HIW589825:HIX589825 HIW655361:HIX655361 HIW720897:HIX720897 HIW786433:HIX786433 HIW851969:HIX851969 HIW917505:HIX917505 HIW983041:HIX983041 HSS2:HST2 HSS65537:HST65537 HSS131073:HST131073 HSS196609:HST196609 HSS262145:HST262145 HSS327681:HST327681 HSS393217:HST393217 HSS458753:HST458753 HSS524289:HST524289 HSS589825:HST589825 HSS655361:HST655361 HSS720897:HST720897 HSS786433:HST786433 HSS851969:HST851969 HSS917505:HST917505 HSS983041:HST983041 ICO2:ICP2 ICO65537:ICP65537 ICO131073:ICP131073 ICO196609:ICP196609 ICO262145:ICP262145 ICO327681:ICP327681 ICO393217:ICP393217 ICO458753:ICP458753 ICO524289:ICP524289 ICO589825:ICP589825 ICO655361:ICP655361 ICO720897:ICP720897 ICO786433:ICP786433 ICO851969:ICP851969 ICO917505:ICP917505 ICO983041:ICP983041 IMK2:IML2 IMK65537:IML65537 IMK131073:IML131073 IMK196609:IML196609 IMK262145:IML262145 IMK327681:IML327681 IMK393217:IML393217 IMK458753:IML458753 IMK524289:IML524289 IMK589825:IML589825 IMK655361:IML655361 IMK720897:IML720897 IMK786433:IML786433 IMK851969:IML851969 IMK917505:IML917505 IMK983041:IML983041 IWG2:IWH2 IWG65537:IWH65537 IWG131073:IWH131073 IWG196609:IWH196609 IWG262145:IWH262145 IWG327681:IWH327681 IWG393217:IWH393217 IWG458753:IWH458753 IWG524289:IWH524289 IWG589825:IWH589825 IWG655361:IWH655361 IWG720897:IWH720897 IWG786433:IWH786433 IWG851969:IWH851969 IWG917505:IWH917505 IWG983041:IWH983041 JGC2:JGD2 JGC65537:JGD65537 JGC131073:JGD131073 JGC196609:JGD196609 JGC262145:JGD262145 JGC327681:JGD327681 JGC393217:JGD393217 JGC458753:JGD458753 JGC524289:JGD524289 JGC589825:JGD589825 JGC655361:JGD655361 JGC720897:JGD720897 JGC786433:JGD786433 JGC851969:JGD851969 JGC917505:JGD917505 JGC983041:JGD983041 JPY2:JPZ2 JPY65537:JPZ65537 JPY131073:JPZ131073 JPY196609:JPZ196609 JPY262145:JPZ262145 JPY327681:JPZ327681 JPY393217:JPZ393217 JPY458753:JPZ458753 JPY524289:JPZ524289 JPY589825:JPZ589825 JPY655361:JPZ655361 JPY720897:JPZ720897 JPY786433:JPZ786433 JPY851969:JPZ851969 JPY917505:JPZ917505 JPY983041:JPZ983041 JZU2:JZV2 JZU65537:JZV65537 JZU131073:JZV131073 JZU196609:JZV196609 JZU262145:JZV262145 JZU327681:JZV327681 JZU393217:JZV393217 JZU458753:JZV458753 JZU524289:JZV524289 JZU589825:JZV589825 JZU655361:JZV655361 JZU720897:JZV720897 JZU786433:JZV786433 JZU851969:JZV851969 JZU917505:JZV917505 JZU983041:JZV983041 KJQ2:KJR2 KJQ65537:KJR65537 KJQ131073:KJR131073 KJQ196609:KJR196609 KJQ262145:KJR262145 KJQ327681:KJR327681 KJQ393217:KJR393217 KJQ458753:KJR458753 KJQ524289:KJR524289 KJQ589825:KJR589825 KJQ655361:KJR655361 KJQ720897:KJR720897 KJQ786433:KJR786433 KJQ851969:KJR851969 KJQ917505:KJR917505 KJQ983041:KJR983041 KTM2:KTN2 KTM65537:KTN65537 KTM131073:KTN131073 KTM196609:KTN196609 KTM262145:KTN262145 KTM327681:KTN327681 KTM393217:KTN393217 KTM458753:KTN458753 KTM524289:KTN524289 KTM589825:KTN589825 KTM655361:KTN655361 KTM720897:KTN720897 KTM786433:KTN786433 KTM851969:KTN851969 KTM917505:KTN917505 KTM983041:KTN983041 LDI2:LDJ2 LDI65537:LDJ65537 LDI131073:LDJ131073 LDI196609:LDJ196609 LDI262145:LDJ262145 LDI327681:LDJ327681 LDI393217:LDJ393217 LDI458753:LDJ458753 LDI524289:LDJ524289 LDI589825:LDJ589825 LDI655361:LDJ655361 LDI720897:LDJ720897 LDI786433:LDJ786433 LDI851969:LDJ851969 LDI917505:LDJ917505 LDI983041:LDJ983041 LNE2:LNF2 LNE65537:LNF65537 LNE131073:LNF131073 LNE196609:LNF196609 LNE262145:LNF262145 LNE327681:LNF327681 LNE393217:LNF393217 LNE458753:LNF458753 LNE524289:LNF524289 LNE589825:LNF589825 LNE655361:LNF655361 LNE720897:LNF720897 LNE786433:LNF786433 LNE851969:LNF851969 LNE917505:LNF917505 LNE983041:LNF983041 LXA2:LXB2 LXA65537:LXB65537 LXA131073:LXB131073 LXA196609:LXB196609 LXA262145:LXB262145 LXA327681:LXB327681 LXA393217:LXB393217 LXA458753:LXB458753 LXA524289:LXB524289 LXA589825:LXB589825 LXA655361:LXB655361 LXA720897:LXB720897 LXA786433:LXB786433 LXA851969:LXB851969 LXA917505:LXB917505 LXA983041:LXB983041 MGW2:MGX2 MGW65537:MGX65537 MGW131073:MGX131073 MGW196609:MGX196609 MGW262145:MGX262145 MGW327681:MGX327681 MGW393217:MGX393217 MGW458753:MGX458753 MGW524289:MGX524289 MGW589825:MGX589825 MGW655361:MGX655361 MGW720897:MGX720897 MGW786433:MGX786433 MGW851969:MGX851969 MGW917505:MGX917505 MGW983041:MGX983041 MQS2:MQT2 MQS65537:MQT65537 MQS131073:MQT131073 MQS196609:MQT196609 MQS262145:MQT262145 MQS327681:MQT327681 MQS393217:MQT393217 MQS458753:MQT458753 MQS524289:MQT524289 MQS589825:MQT589825 MQS655361:MQT655361 MQS720897:MQT720897 MQS786433:MQT786433 MQS851969:MQT851969 MQS917505:MQT917505 MQS983041:MQT983041 NAO2:NAP2 NAO65537:NAP65537 NAO131073:NAP131073 NAO196609:NAP196609 NAO262145:NAP262145 NAO327681:NAP327681 NAO393217:NAP393217 NAO458753:NAP458753 NAO524289:NAP524289 NAO589825:NAP589825 NAO655361:NAP655361 NAO720897:NAP720897 NAO786433:NAP786433 NAO851969:NAP851969 NAO917505:NAP917505 NAO983041:NAP983041 NKK2:NKL2 NKK65537:NKL65537 NKK131073:NKL131073 NKK196609:NKL196609 NKK262145:NKL262145 NKK327681:NKL327681 NKK393217:NKL393217 NKK458753:NKL458753 NKK524289:NKL524289 NKK589825:NKL589825 NKK655361:NKL655361 NKK720897:NKL720897 NKK786433:NKL786433 NKK851969:NKL851969 NKK917505:NKL917505 NKK983041:NKL983041 NUG2:NUH2 NUG65537:NUH65537 NUG131073:NUH131073 NUG196609:NUH196609 NUG262145:NUH262145 NUG327681:NUH327681 NUG393217:NUH393217 NUG458753:NUH458753 NUG524289:NUH524289 NUG589825:NUH589825 NUG655361:NUH655361 NUG720897:NUH720897 NUG786433:NUH786433 NUG851969:NUH851969 NUG917505:NUH917505 NUG983041:NUH983041 OEC2:OED2 OEC65537:OED65537 OEC131073:OED131073 OEC196609:OED196609 OEC262145:OED262145 OEC327681:OED327681 OEC393217:OED393217 OEC458753:OED458753 OEC524289:OED524289 OEC589825:OED589825 OEC655361:OED655361 OEC720897:OED720897 OEC786433:OED786433 OEC851969:OED851969 OEC917505:OED917505 OEC983041:OED983041 ONY2:ONZ2 ONY65537:ONZ65537 ONY131073:ONZ131073 ONY196609:ONZ196609 ONY262145:ONZ262145 ONY327681:ONZ327681 ONY393217:ONZ393217 ONY458753:ONZ458753 ONY524289:ONZ524289 ONY589825:ONZ589825 ONY655361:ONZ655361 ONY720897:ONZ720897 ONY786433:ONZ786433 ONY851969:ONZ851969 ONY917505:ONZ917505 ONY983041:ONZ983041 OXU2:OXV2 OXU65537:OXV65537 OXU131073:OXV131073 OXU196609:OXV196609 OXU262145:OXV262145 OXU327681:OXV327681 OXU393217:OXV393217 OXU458753:OXV458753 OXU524289:OXV524289 OXU589825:OXV589825 OXU655361:OXV655361 OXU720897:OXV720897 OXU786433:OXV786433 OXU851969:OXV851969 OXU917505:OXV917505 OXU983041:OXV983041 PHQ2:PHR2 PHQ65537:PHR65537 PHQ131073:PHR131073 PHQ196609:PHR196609 PHQ262145:PHR262145 PHQ327681:PHR327681 PHQ393217:PHR393217 PHQ458753:PHR458753 PHQ524289:PHR524289 PHQ589825:PHR589825 PHQ655361:PHR655361 PHQ720897:PHR720897 PHQ786433:PHR786433 PHQ851969:PHR851969 PHQ917505:PHR917505 PHQ983041:PHR983041 PRM2:PRN2 PRM65537:PRN65537 PRM131073:PRN131073 PRM196609:PRN196609 PRM262145:PRN262145 PRM327681:PRN327681 PRM393217:PRN393217 PRM458753:PRN458753 PRM524289:PRN524289 PRM589825:PRN589825 PRM655361:PRN655361 PRM720897:PRN720897 PRM786433:PRN786433 PRM851969:PRN851969 PRM917505:PRN917505 PRM983041:PRN983041 QBI2:QBJ2 QBI65537:QBJ65537 QBI131073:QBJ131073 QBI196609:QBJ196609 QBI262145:QBJ262145 QBI327681:QBJ327681 QBI393217:QBJ393217 QBI458753:QBJ458753 QBI524289:QBJ524289 QBI589825:QBJ589825 QBI655361:QBJ655361 QBI720897:QBJ720897 QBI786433:QBJ786433 QBI851969:QBJ851969 QBI917505:QBJ917505 QBI983041:QBJ983041 QLE2:QLF2 QLE65537:QLF65537 QLE131073:QLF131073 QLE196609:QLF196609 QLE262145:QLF262145 QLE327681:QLF327681 QLE393217:QLF393217 QLE458753:QLF458753 QLE524289:QLF524289 QLE589825:QLF589825 QLE655361:QLF655361 QLE720897:QLF720897 QLE786433:QLF786433 QLE851969:QLF851969 QLE917505:QLF917505 QLE983041:QLF983041 QVA2:QVB2 QVA65537:QVB65537 QVA131073:QVB131073 QVA196609:QVB196609 QVA262145:QVB262145 QVA327681:QVB327681 QVA393217:QVB393217 QVA458753:QVB458753 QVA524289:QVB524289 QVA589825:QVB589825 QVA655361:QVB655361 QVA720897:QVB720897 QVA786433:QVB786433 QVA851969:QVB851969 QVA917505:QVB917505 QVA983041:QVB983041 REW2:REX2 REW65537:REX65537 REW131073:REX131073 REW196609:REX196609 REW262145:REX262145 REW327681:REX327681 REW393217:REX393217 REW458753:REX458753 REW524289:REX524289 REW589825:REX589825 REW655361:REX655361 REW720897:REX720897 REW786433:REX786433 REW851969:REX851969 REW917505:REX917505 REW983041:REX983041 ROS2:ROT2 ROS65537:ROT65537 ROS131073:ROT131073 ROS196609:ROT196609 ROS262145:ROT262145 ROS327681:ROT327681 ROS393217:ROT393217 ROS458753:ROT458753 ROS524289:ROT524289 ROS589825:ROT589825 ROS655361:ROT655361 ROS720897:ROT720897 ROS786433:ROT786433 ROS851969:ROT851969 ROS917505:ROT917505 ROS983041:ROT983041 RYO2:RYP2 RYO65537:RYP65537 RYO131073:RYP131073 RYO196609:RYP196609 RYO262145:RYP262145 RYO327681:RYP327681 RYO393217:RYP393217 RYO458753:RYP458753 RYO524289:RYP524289 RYO589825:RYP589825 RYO655361:RYP655361 RYO720897:RYP720897 RYO786433:RYP786433 RYO851969:RYP851969 RYO917505:RYP917505 RYO983041:RYP983041 SIK2:SIL2 SIK65537:SIL65537 SIK131073:SIL131073 SIK196609:SIL196609 SIK262145:SIL262145 SIK327681:SIL327681 SIK393217:SIL393217 SIK458753:SIL458753 SIK524289:SIL524289 SIK589825:SIL589825 SIK655361:SIL655361 SIK720897:SIL720897 SIK786433:SIL786433 SIK851969:SIL851969 SIK917505:SIL917505 SIK983041:SIL983041 SSG2:SSH2 SSG65537:SSH65537 SSG131073:SSH131073 SSG196609:SSH196609 SSG262145:SSH262145 SSG327681:SSH327681 SSG393217:SSH393217 SSG458753:SSH458753 SSG524289:SSH524289 SSG589825:SSH589825 SSG655361:SSH655361 SSG720897:SSH720897 SSG786433:SSH786433 SSG851969:SSH851969 SSG917505:SSH917505 SSG983041:SSH983041 TCC2:TCD2 TCC65537:TCD65537 TCC131073:TCD131073 TCC196609:TCD196609 TCC262145:TCD262145 TCC327681:TCD327681 TCC393217:TCD393217 TCC458753:TCD458753 TCC524289:TCD524289 TCC589825:TCD589825 TCC655361:TCD655361 TCC720897:TCD720897 TCC786433:TCD786433 TCC851969:TCD851969 TCC917505:TCD917505 TCC983041:TCD983041 TLY2:TLZ2 TLY65537:TLZ65537 TLY131073:TLZ131073 TLY196609:TLZ196609 TLY262145:TLZ262145 TLY327681:TLZ327681 TLY393217:TLZ393217 TLY458753:TLZ458753 TLY524289:TLZ524289 TLY589825:TLZ589825 TLY655361:TLZ655361 TLY720897:TLZ720897 TLY786433:TLZ786433 TLY851969:TLZ851969 TLY917505:TLZ917505 TLY983041:TLZ983041 TVU2:TVV2 TVU65537:TVV65537 TVU131073:TVV131073 TVU196609:TVV196609 TVU262145:TVV262145 TVU327681:TVV327681 TVU393217:TVV393217 TVU458753:TVV458753 TVU524289:TVV524289 TVU589825:TVV589825 TVU655361:TVV655361 TVU720897:TVV720897 TVU786433:TVV786433 TVU851969:TVV851969 TVU917505:TVV917505 TVU983041:TVV983041 UFQ2:UFR2 UFQ65537:UFR65537 UFQ131073:UFR131073 UFQ196609:UFR196609 UFQ262145:UFR262145 UFQ327681:UFR327681 UFQ393217:UFR393217 UFQ458753:UFR458753 UFQ524289:UFR524289 UFQ589825:UFR589825 UFQ655361:UFR655361 UFQ720897:UFR720897 UFQ786433:UFR786433 UFQ851969:UFR851969 UFQ917505:UFR917505 UFQ983041:UFR983041 UPM2:UPN2 UPM65537:UPN65537 UPM131073:UPN131073 UPM196609:UPN196609 UPM262145:UPN262145 UPM327681:UPN327681 UPM393217:UPN393217 UPM458753:UPN458753 UPM524289:UPN524289 UPM589825:UPN589825 UPM655361:UPN655361 UPM720897:UPN720897 UPM786433:UPN786433 UPM851969:UPN851969 UPM917505:UPN917505 UPM983041:UPN983041 UZI2:UZJ2 UZI65537:UZJ65537 UZI131073:UZJ131073 UZI196609:UZJ196609 UZI262145:UZJ262145 UZI327681:UZJ327681 UZI393217:UZJ393217 UZI458753:UZJ458753 UZI524289:UZJ524289 UZI589825:UZJ589825 UZI655361:UZJ655361 UZI720897:UZJ720897 UZI786433:UZJ786433 UZI851969:UZJ851969 UZI917505:UZJ917505 UZI983041:UZJ983041 VJE2:VJF2 VJE65537:VJF65537 VJE131073:VJF131073 VJE196609:VJF196609 VJE262145:VJF262145 VJE327681:VJF327681 VJE393217:VJF393217 VJE458753:VJF458753 VJE524289:VJF524289 VJE589825:VJF589825 VJE655361:VJF655361 VJE720897:VJF720897 VJE786433:VJF786433 VJE851969:VJF851969 VJE917505:VJF917505 VJE983041:VJF983041 VTA2:VTB2 VTA65537:VTB65537 VTA131073:VTB131073 VTA196609:VTB196609 VTA262145:VTB262145 VTA327681:VTB327681 VTA393217:VTB393217 VTA458753:VTB458753 VTA524289:VTB524289 VTA589825:VTB589825 VTA655361:VTB655361 VTA720897:VTB720897 VTA786433:VTB786433 VTA851969:VTB851969 VTA917505:VTB917505 VTA983041:VTB983041 WCW2:WCX2 WCW65537:WCX65537 WCW131073:WCX131073 WCW196609:WCX196609 WCW262145:WCX262145 WCW327681:WCX327681 WCW393217:WCX393217 WCW458753:WCX458753 WCW524289:WCX524289 WCW589825:WCX589825 WCW655361:WCX655361 WCW720897:WCX720897 WCW786433:WCX786433 WCW851969:WCX851969 WCW917505:WCX917505 WCW983041:WCX983041 WMS2:WMT2 WMS65537:WMT65537 WMS131073:WMT131073 WMS196609:WMT196609 WMS262145:WMT262145 WMS327681:WMT327681 WMS393217:WMT393217 WMS458753:WMT458753 WMS524289:WMT524289 WMS589825:WMT589825 WMS655361:WMT655361 WMS720897:WMT720897 WMS786433:WMT786433 WMS851969:WMT851969 WMS917505:WMT917505 WMS983041:WMT983041 WWO2:WWP2 WWO65537:WWP65537 WWO131073:WWP131073 WWO196609:WWP196609 WWO262145:WWP262145 WWO327681:WWP327681 WWO393217:WWP393217 WWO458753:WWP458753 WWO524289:WWP524289 WWO589825:WWP589825 WWO655361:WWP655361 WWO720897:WWP720897 WWO786433:WWP786433 WWO851969:WWP851969 WWO917505:WWP917505 WWO983041:WWP983041" xr:uid="{00000000-0002-0000-2F00-000003000000}">
      <formula1>1</formula1>
      <formula2>31</formula2>
    </dataValidation>
    <dataValidation type="whole" allowBlank="1" showInputMessage="1" showErrorMessage="1" sqref="AD65537:AE65537 AD131073:AE131073 AD196609:AE196609 AD262145:AE262145 AD327681:AE327681 AD393217:AE393217 AD458753:AE458753 AD524289:AE524289 AD589825:AE589825 AD655361:AE655361 AD720897:AE720897 AD786433:AE786433 AD851969:AE851969 AD917505:AE917505 AD983041:AE983041 JZ2:KA2 JZ65537:KA65537 JZ131073:KA131073 JZ196609:KA196609 JZ262145:KA262145 JZ327681:KA327681 JZ393217:KA393217 JZ458753:KA458753 JZ524289:KA524289 JZ589825:KA589825 JZ655361:KA655361 JZ720897:KA720897 JZ786433:KA786433 JZ851969:KA851969 JZ917505:KA917505 JZ983041:KA983041 TV2:TW2 TV65537:TW65537 TV131073:TW131073 TV196609:TW196609 TV262145:TW262145 TV327681:TW327681 TV393217:TW393217 TV458753:TW458753 TV524289:TW524289 TV589825:TW589825 TV655361:TW655361 TV720897:TW720897 TV786433:TW786433 TV851969:TW851969 TV917505:TW917505 TV983041:TW983041 ADR2:ADS2 ADR65537:ADS65537 ADR131073:ADS131073 ADR196609:ADS196609 ADR262145:ADS262145 ADR327681:ADS327681 ADR393217:ADS393217 ADR458753:ADS458753 ADR524289:ADS524289 ADR589825:ADS589825 ADR655361:ADS655361 ADR720897:ADS720897 ADR786433:ADS786433 ADR851969:ADS851969 ADR917505:ADS917505 ADR983041:ADS983041 ANN2:ANO2 ANN65537:ANO65537 ANN131073:ANO131073 ANN196609:ANO196609 ANN262145:ANO262145 ANN327681:ANO327681 ANN393217:ANO393217 ANN458753:ANO458753 ANN524289:ANO524289 ANN589825:ANO589825 ANN655361:ANO655361 ANN720897:ANO720897 ANN786433:ANO786433 ANN851969:ANO851969 ANN917505:ANO917505 ANN983041:ANO983041 AXJ2:AXK2 AXJ65537:AXK65537 AXJ131073:AXK131073 AXJ196609:AXK196609 AXJ262145:AXK262145 AXJ327681:AXK327681 AXJ393217:AXK393217 AXJ458753:AXK458753 AXJ524289:AXK524289 AXJ589825:AXK589825 AXJ655361:AXK655361 AXJ720897:AXK720897 AXJ786433:AXK786433 AXJ851969:AXK851969 AXJ917505:AXK917505 AXJ983041:AXK983041 BHF2:BHG2 BHF65537:BHG65537 BHF131073:BHG131073 BHF196609:BHG196609 BHF262145:BHG262145 BHF327681:BHG327681 BHF393217:BHG393217 BHF458753:BHG458753 BHF524289:BHG524289 BHF589825:BHG589825 BHF655361:BHG655361 BHF720897:BHG720897 BHF786433:BHG786433 BHF851969:BHG851969 BHF917505:BHG917505 BHF983041:BHG983041 BRB2:BRC2 BRB65537:BRC65537 BRB131073:BRC131073 BRB196609:BRC196609 BRB262145:BRC262145 BRB327681:BRC327681 BRB393217:BRC393217 BRB458753:BRC458753 BRB524289:BRC524289 BRB589825:BRC589825 BRB655361:BRC655361 BRB720897:BRC720897 BRB786433:BRC786433 BRB851969:BRC851969 BRB917505:BRC917505 BRB983041:BRC983041 CAX2:CAY2 CAX65537:CAY65537 CAX131073:CAY131073 CAX196609:CAY196609 CAX262145:CAY262145 CAX327681:CAY327681 CAX393217:CAY393217 CAX458753:CAY458753 CAX524289:CAY524289 CAX589825:CAY589825 CAX655361:CAY655361 CAX720897:CAY720897 CAX786433:CAY786433 CAX851969:CAY851969 CAX917505:CAY917505 CAX983041:CAY983041 CKT2:CKU2 CKT65537:CKU65537 CKT131073:CKU131073 CKT196609:CKU196609 CKT262145:CKU262145 CKT327681:CKU327681 CKT393217:CKU393217 CKT458753:CKU458753 CKT524289:CKU524289 CKT589825:CKU589825 CKT655361:CKU655361 CKT720897:CKU720897 CKT786433:CKU786433 CKT851969:CKU851969 CKT917505:CKU917505 CKT983041:CKU983041 CUP2:CUQ2 CUP65537:CUQ65537 CUP131073:CUQ131073 CUP196609:CUQ196609 CUP262145:CUQ262145 CUP327681:CUQ327681 CUP393217:CUQ393217 CUP458753:CUQ458753 CUP524289:CUQ524289 CUP589825:CUQ589825 CUP655361:CUQ655361 CUP720897:CUQ720897 CUP786433:CUQ786433 CUP851969:CUQ851969 CUP917505:CUQ917505 CUP983041:CUQ983041 DEL2:DEM2 DEL65537:DEM65537 DEL131073:DEM131073 DEL196609:DEM196609 DEL262145:DEM262145 DEL327681:DEM327681 DEL393217:DEM393217 DEL458753:DEM458753 DEL524289:DEM524289 DEL589825:DEM589825 DEL655361:DEM655361 DEL720897:DEM720897 DEL786433:DEM786433 DEL851969:DEM851969 DEL917505:DEM917505 DEL983041:DEM983041 DOH2:DOI2 DOH65537:DOI65537 DOH131073:DOI131073 DOH196609:DOI196609 DOH262145:DOI262145 DOH327681:DOI327681 DOH393217:DOI393217 DOH458753:DOI458753 DOH524289:DOI524289 DOH589825:DOI589825 DOH655361:DOI655361 DOH720897:DOI720897 DOH786433:DOI786433 DOH851969:DOI851969 DOH917505:DOI917505 DOH983041:DOI983041 DYD2:DYE2 DYD65537:DYE65537 DYD131073:DYE131073 DYD196609:DYE196609 DYD262145:DYE262145 DYD327681:DYE327681 DYD393217:DYE393217 DYD458753:DYE458753 DYD524289:DYE524289 DYD589825:DYE589825 DYD655361:DYE655361 DYD720897:DYE720897 DYD786433:DYE786433 DYD851969:DYE851969 DYD917505:DYE917505 DYD983041:DYE983041 EHZ2:EIA2 EHZ65537:EIA65537 EHZ131073:EIA131073 EHZ196609:EIA196609 EHZ262145:EIA262145 EHZ327681:EIA327681 EHZ393217:EIA393217 EHZ458753:EIA458753 EHZ524289:EIA524289 EHZ589825:EIA589825 EHZ655361:EIA655361 EHZ720897:EIA720897 EHZ786433:EIA786433 EHZ851969:EIA851969 EHZ917505:EIA917505 EHZ983041:EIA983041 ERV2:ERW2 ERV65537:ERW65537 ERV131073:ERW131073 ERV196609:ERW196609 ERV262145:ERW262145 ERV327681:ERW327681 ERV393217:ERW393217 ERV458753:ERW458753 ERV524289:ERW524289 ERV589825:ERW589825 ERV655361:ERW655361 ERV720897:ERW720897 ERV786433:ERW786433 ERV851969:ERW851969 ERV917505:ERW917505 ERV983041:ERW983041 FBR2:FBS2 FBR65537:FBS65537 FBR131073:FBS131073 FBR196609:FBS196609 FBR262145:FBS262145 FBR327681:FBS327681 FBR393217:FBS393217 FBR458753:FBS458753 FBR524289:FBS524289 FBR589825:FBS589825 FBR655361:FBS655361 FBR720897:FBS720897 FBR786433:FBS786433 FBR851969:FBS851969 FBR917505:FBS917505 FBR983041:FBS983041 FLN2:FLO2 FLN65537:FLO65537 FLN131073:FLO131073 FLN196609:FLO196609 FLN262145:FLO262145 FLN327681:FLO327681 FLN393217:FLO393217 FLN458753:FLO458753 FLN524289:FLO524289 FLN589825:FLO589825 FLN655361:FLO655361 FLN720897:FLO720897 FLN786433:FLO786433 FLN851969:FLO851969 FLN917505:FLO917505 FLN983041:FLO983041 FVJ2:FVK2 FVJ65537:FVK65537 FVJ131073:FVK131073 FVJ196609:FVK196609 FVJ262145:FVK262145 FVJ327681:FVK327681 FVJ393217:FVK393217 FVJ458753:FVK458753 FVJ524289:FVK524289 FVJ589825:FVK589825 FVJ655361:FVK655361 FVJ720897:FVK720897 FVJ786433:FVK786433 FVJ851969:FVK851969 FVJ917505:FVK917505 FVJ983041:FVK983041 GFF2:GFG2 GFF65537:GFG65537 GFF131073:GFG131073 GFF196609:GFG196609 GFF262145:GFG262145 GFF327681:GFG327681 GFF393217:GFG393217 GFF458753:GFG458753 GFF524289:GFG524289 GFF589825:GFG589825 GFF655361:GFG655361 GFF720897:GFG720897 GFF786433:GFG786433 GFF851969:GFG851969 GFF917505:GFG917505 GFF983041:GFG983041 GPB2:GPC2 GPB65537:GPC65537 GPB131073:GPC131073 GPB196609:GPC196609 GPB262145:GPC262145 GPB327681:GPC327681 GPB393217:GPC393217 GPB458753:GPC458753 GPB524289:GPC524289 GPB589825:GPC589825 GPB655361:GPC655361 GPB720897:GPC720897 GPB786433:GPC786433 GPB851969:GPC851969 GPB917505:GPC917505 GPB983041:GPC983041 GYX2:GYY2 GYX65537:GYY65537 GYX131073:GYY131073 GYX196609:GYY196609 GYX262145:GYY262145 GYX327681:GYY327681 GYX393217:GYY393217 GYX458753:GYY458753 GYX524289:GYY524289 GYX589825:GYY589825 GYX655361:GYY655361 GYX720897:GYY720897 GYX786433:GYY786433 GYX851969:GYY851969 GYX917505:GYY917505 GYX983041:GYY983041 HIT2:HIU2 HIT65537:HIU65537 HIT131073:HIU131073 HIT196609:HIU196609 HIT262145:HIU262145 HIT327681:HIU327681 HIT393217:HIU393217 HIT458753:HIU458753 HIT524289:HIU524289 HIT589825:HIU589825 HIT655361:HIU655361 HIT720897:HIU720897 HIT786433:HIU786433 HIT851969:HIU851969 HIT917505:HIU917505 HIT983041:HIU983041 HSP2:HSQ2 HSP65537:HSQ65537 HSP131073:HSQ131073 HSP196609:HSQ196609 HSP262145:HSQ262145 HSP327681:HSQ327681 HSP393217:HSQ393217 HSP458753:HSQ458753 HSP524289:HSQ524289 HSP589825:HSQ589825 HSP655361:HSQ655361 HSP720897:HSQ720897 HSP786433:HSQ786433 HSP851969:HSQ851969 HSP917505:HSQ917505 HSP983041:HSQ983041 ICL2:ICM2 ICL65537:ICM65537 ICL131073:ICM131073 ICL196609:ICM196609 ICL262145:ICM262145 ICL327681:ICM327681 ICL393217:ICM393217 ICL458753:ICM458753 ICL524289:ICM524289 ICL589825:ICM589825 ICL655361:ICM655361 ICL720897:ICM720897 ICL786433:ICM786433 ICL851969:ICM851969 ICL917505:ICM917505 ICL983041:ICM983041 IMH2:IMI2 IMH65537:IMI65537 IMH131073:IMI131073 IMH196609:IMI196609 IMH262145:IMI262145 IMH327681:IMI327681 IMH393217:IMI393217 IMH458753:IMI458753 IMH524289:IMI524289 IMH589825:IMI589825 IMH655361:IMI655361 IMH720897:IMI720897 IMH786433:IMI786433 IMH851969:IMI851969 IMH917505:IMI917505 IMH983041:IMI983041 IWD2:IWE2 IWD65537:IWE65537 IWD131073:IWE131073 IWD196609:IWE196609 IWD262145:IWE262145 IWD327681:IWE327681 IWD393217:IWE393217 IWD458753:IWE458753 IWD524289:IWE524289 IWD589825:IWE589825 IWD655361:IWE655361 IWD720897:IWE720897 IWD786433:IWE786433 IWD851969:IWE851969 IWD917505:IWE917505 IWD983041:IWE983041 JFZ2:JGA2 JFZ65537:JGA65537 JFZ131073:JGA131073 JFZ196609:JGA196609 JFZ262145:JGA262145 JFZ327681:JGA327681 JFZ393217:JGA393217 JFZ458753:JGA458753 JFZ524289:JGA524289 JFZ589825:JGA589825 JFZ655361:JGA655361 JFZ720897:JGA720897 JFZ786433:JGA786433 JFZ851969:JGA851969 JFZ917505:JGA917505 JFZ983041:JGA983041 JPV2:JPW2 JPV65537:JPW65537 JPV131073:JPW131073 JPV196609:JPW196609 JPV262145:JPW262145 JPV327681:JPW327681 JPV393217:JPW393217 JPV458753:JPW458753 JPV524289:JPW524289 JPV589825:JPW589825 JPV655361:JPW655361 JPV720897:JPW720897 JPV786433:JPW786433 JPV851969:JPW851969 JPV917505:JPW917505 JPV983041:JPW983041 JZR2:JZS2 JZR65537:JZS65537 JZR131073:JZS131073 JZR196609:JZS196609 JZR262145:JZS262145 JZR327681:JZS327681 JZR393217:JZS393217 JZR458753:JZS458753 JZR524289:JZS524289 JZR589825:JZS589825 JZR655361:JZS655361 JZR720897:JZS720897 JZR786433:JZS786433 JZR851969:JZS851969 JZR917505:JZS917505 JZR983041:JZS983041 KJN2:KJO2 KJN65537:KJO65537 KJN131073:KJO131073 KJN196609:KJO196609 KJN262145:KJO262145 KJN327681:KJO327681 KJN393217:KJO393217 KJN458753:KJO458753 KJN524289:KJO524289 KJN589825:KJO589825 KJN655361:KJO655361 KJN720897:KJO720897 KJN786433:KJO786433 KJN851969:KJO851969 KJN917505:KJO917505 KJN983041:KJO983041 KTJ2:KTK2 KTJ65537:KTK65537 KTJ131073:KTK131073 KTJ196609:KTK196609 KTJ262145:KTK262145 KTJ327681:KTK327681 KTJ393217:KTK393217 KTJ458753:KTK458753 KTJ524289:KTK524289 KTJ589825:KTK589825 KTJ655361:KTK655361 KTJ720897:KTK720897 KTJ786433:KTK786433 KTJ851969:KTK851969 KTJ917505:KTK917505 KTJ983041:KTK983041 LDF2:LDG2 LDF65537:LDG65537 LDF131073:LDG131073 LDF196609:LDG196609 LDF262145:LDG262145 LDF327681:LDG327681 LDF393217:LDG393217 LDF458753:LDG458753 LDF524289:LDG524289 LDF589825:LDG589825 LDF655361:LDG655361 LDF720897:LDG720897 LDF786433:LDG786433 LDF851969:LDG851969 LDF917505:LDG917505 LDF983041:LDG983041 LNB2:LNC2 LNB65537:LNC65537 LNB131073:LNC131073 LNB196609:LNC196609 LNB262145:LNC262145 LNB327681:LNC327681 LNB393217:LNC393217 LNB458753:LNC458753 LNB524289:LNC524289 LNB589825:LNC589825 LNB655361:LNC655361 LNB720897:LNC720897 LNB786433:LNC786433 LNB851969:LNC851969 LNB917505:LNC917505 LNB983041:LNC983041 LWX2:LWY2 LWX65537:LWY65537 LWX131073:LWY131073 LWX196609:LWY196609 LWX262145:LWY262145 LWX327681:LWY327681 LWX393217:LWY393217 LWX458753:LWY458753 LWX524289:LWY524289 LWX589825:LWY589825 LWX655361:LWY655361 LWX720897:LWY720897 LWX786433:LWY786433 LWX851969:LWY851969 LWX917505:LWY917505 LWX983041:LWY983041 MGT2:MGU2 MGT65537:MGU65537 MGT131073:MGU131073 MGT196609:MGU196609 MGT262145:MGU262145 MGT327681:MGU327681 MGT393217:MGU393217 MGT458753:MGU458753 MGT524289:MGU524289 MGT589825:MGU589825 MGT655361:MGU655361 MGT720897:MGU720897 MGT786433:MGU786433 MGT851969:MGU851969 MGT917505:MGU917505 MGT983041:MGU983041 MQP2:MQQ2 MQP65537:MQQ65537 MQP131073:MQQ131073 MQP196609:MQQ196609 MQP262145:MQQ262145 MQP327681:MQQ327681 MQP393217:MQQ393217 MQP458753:MQQ458753 MQP524289:MQQ524289 MQP589825:MQQ589825 MQP655361:MQQ655361 MQP720897:MQQ720897 MQP786433:MQQ786433 MQP851969:MQQ851969 MQP917505:MQQ917505 MQP983041:MQQ983041 NAL2:NAM2 NAL65537:NAM65537 NAL131073:NAM131073 NAL196609:NAM196609 NAL262145:NAM262145 NAL327681:NAM327681 NAL393217:NAM393217 NAL458753:NAM458753 NAL524289:NAM524289 NAL589825:NAM589825 NAL655361:NAM655361 NAL720897:NAM720897 NAL786433:NAM786433 NAL851969:NAM851969 NAL917505:NAM917505 NAL983041:NAM983041 NKH2:NKI2 NKH65537:NKI65537 NKH131073:NKI131073 NKH196609:NKI196609 NKH262145:NKI262145 NKH327681:NKI327681 NKH393217:NKI393217 NKH458753:NKI458753 NKH524289:NKI524289 NKH589825:NKI589825 NKH655361:NKI655361 NKH720897:NKI720897 NKH786433:NKI786433 NKH851969:NKI851969 NKH917505:NKI917505 NKH983041:NKI983041 NUD2:NUE2 NUD65537:NUE65537 NUD131073:NUE131073 NUD196609:NUE196609 NUD262145:NUE262145 NUD327681:NUE327681 NUD393217:NUE393217 NUD458753:NUE458753 NUD524289:NUE524289 NUD589825:NUE589825 NUD655361:NUE655361 NUD720897:NUE720897 NUD786433:NUE786433 NUD851969:NUE851969 NUD917505:NUE917505 NUD983041:NUE983041 ODZ2:OEA2 ODZ65537:OEA65537 ODZ131073:OEA131073 ODZ196609:OEA196609 ODZ262145:OEA262145 ODZ327681:OEA327681 ODZ393217:OEA393217 ODZ458753:OEA458753 ODZ524289:OEA524289 ODZ589825:OEA589825 ODZ655361:OEA655361 ODZ720897:OEA720897 ODZ786433:OEA786433 ODZ851969:OEA851969 ODZ917505:OEA917505 ODZ983041:OEA983041 ONV2:ONW2 ONV65537:ONW65537 ONV131073:ONW131073 ONV196609:ONW196609 ONV262145:ONW262145 ONV327681:ONW327681 ONV393217:ONW393217 ONV458753:ONW458753 ONV524289:ONW524289 ONV589825:ONW589825 ONV655361:ONW655361 ONV720897:ONW720897 ONV786433:ONW786433 ONV851969:ONW851969 ONV917505:ONW917505 ONV983041:ONW983041 OXR2:OXS2 OXR65537:OXS65537 OXR131073:OXS131073 OXR196609:OXS196609 OXR262145:OXS262145 OXR327681:OXS327681 OXR393217:OXS393217 OXR458753:OXS458753 OXR524289:OXS524289 OXR589825:OXS589825 OXR655361:OXS655361 OXR720897:OXS720897 OXR786433:OXS786433 OXR851969:OXS851969 OXR917505:OXS917505 OXR983041:OXS983041 PHN2:PHO2 PHN65537:PHO65537 PHN131073:PHO131073 PHN196609:PHO196609 PHN262145:PHO262145 PHN327681:PHO327681 PHN393217:PHO393217 PHN458753:PHO458753 PHN524289:PHO524289 PHN589825:PHO589825 PHN655361:PHO655361 PHN720897:PHO720897 PHN786433:PHO786433 PHN851969:PHO851969 PHN917505:PHO917505 PHN983041:PHO983041 PRJ2:PRK2 PRJ65537:PRK65537 PRJ131073:PRK131073 PRJ196609:PRK196609 PRJ262145:PRK262145 PRJ327681:PRK327681 PRJ393217:PRK393217 PRJ458753:PRK458753 PRJ524289:PRK524289 PRJ589825:PRK589825 PRJ655361:PRK655361 PRJ720897:PRK720897 PRJ786433:PRK786433 PRJ851969:PRK851969 PRJ917505:PRK917505 PRJ983041:PRK983041 QBF2:QBG2 QBF65537:QBG65537 QBF131073:QBG131073 QBF196609:QBG196609 QBF262145:QBG262145 QBF327681:QBG327681 QBF393217:QBG393217 QBF458753:QBG458753 QBF524289:QBG524289 QBF589825:QBG589825 QBF655361:QBG655361 QBF720897:QBG720897 QBF786433:QBG786433 QBF851969:QBG851969 QBF917505:QBG917505 QBF983041:QBG983041 QLB2:QLC2 QLB65537:QLC65537 QLB131073:QLC131073 QLB196609:QLC196609 QLB262145:QLC262145 QLB327681:QLC327681 QLB393217:QLC393217 QLB458753:QLC458753 QLB524289:QLC524289 QLB589825:QLC589825 QLB655361:QLC655361 QLB720897:QLC720897 QLB786433:QLC786433 QLB851969:QLC851969 QLB917505:QLC917505 QLB983041:QLC983041 QUX2:QUY2 QUX65537:QUY65537 QUX131073:QUY131073 QUX196609:QUY196609 QUX262145:QUY262145 QUX327681:QUY327681 QUX393217:QUY393217 QUX458753:QUY458753 QUX524289:QUY524289 QUX589825:QUY589825 QUX655361:QUY655361 QUX720897:QUY720897 QUX786433:QUY786433 QUX851969:QUY851969 QUX917505:QUY917505 QUX983041:QUY983041 RET2:REU2 RET65537:REU65537 RET131073:REU131073 RET196609:REU196609 RET262145:REU262145 RET327681:REU327681 RET393217:REU393217 RET458753:REU458753 RET524289:REU524289 RET589825:REU589825 RET655361:REU655361 RET720897:REU720897 RET786433:REU786433 RET851969:REU851969 RET917505:REU917505 RET983041:REU983041 ROP2:ROQ2 ROP65537:ROQ65537 ROP131073:ROQ131073 ROP196609:ROQ196609 ROP262145:ROQ262145 ROP327681:ROQ327681 ROP393217:ROQ393217 ROP458753:ROQ458753 ROP524289:ROQ524289 ROP589825:ROQ589825 ROP655361:ROQ655361 ROP720897:ROQ720897 ROP786433:ROQ786433 ROP851969:ROQ851969 ROP917505:ROQ917505 ROP983041:ROQ983041 RYL2:RYM2 RYL65537:RYM65537 RYL131073:RYM131073 RYL196609:RYM196609 RYL262145:RYM262145 RYL327681:RYM327681 RYL393217:RYM393217 RYL458753:RYM458753 RYL524289:RYM524289 RYL589825:RYM589825 RYL655361:RYM655361 RYL720897:RYM720897 RYL786433:RYM786433 RYL851969:RYM851969 RYL917505:RYM917505 RYL983041:RYM983041 SIH2:SII2 SIH65537:SII65537 SIH131073:SII131073 SIH196609:SII196609 SIH262145:SII262145 SIH327681:SII327681 SIH393217:SII393217 SIH458753:SII458753 SIH524289:SII524289 SIH589825:SII589825 SIH655361:SII655361 SIH720897:SII720897 SIH786433:SII786433 SIH851969:SII851969 SIH917505:SII917505 SIH983041:SII983041 SSD2:SSE2 SSD65537:SSE65537 SSD131073:SSE131073 SSD196609:SSE196609 SSD262145:SSE262145 SSD327681:SSE327681 SSD393217:SSE393217 SSD458753:SSE458753 SSD524289:SSE524289 SSD589825:SSE589825 SSD655361:SSE655361 SSD720897:SSE720897 SSD786433:SSE786433 SSD851969:SSE851969 SSD917505:SSE917505 SSD983041:SSE983041 TBZ2:TCA2 TBZ65537:TCA65537 TBZ131073:TCA131073 TBZ196609:TCA196609 TBZ262145:TCA262145 TBZ327681:TCA327681 TBZ393217:TCA393217 TBZ458753:TCA458753 TBZ524289:TCA524289 TBZ589825:TCA589825 TBZ655361:TCA655361 TBZ720897:TCA720897 TBZ786433:TCA786433 TBZ851969:TCA851969 TBZ917505:TCA917505 TBZ983041:TCA983041 TLV2:TLW2 TLV65537:TLW65537 TLV131073:TLW131073 TLV196609:TLW196609 TLV262145:TLW262145 TLV327681:TLW327681 TLV393217:TLW393217 TLV458753:TLW458753 TLV524289:TLW524289 TLV589825:TLW589825 TLV655361:TLW655361 TLV720897:TLW720897 TLV786433:TLW786433 TLV851969:TLW851969 TLV917505:TLW917505 TLV983041:TLW983041 TVR2:TVS2 TVR65537:TVS65537 TVR131073:TVS131073 TVR196609:TVS196609 TVR262145:TVS262145 TVR327681:TVS327681 TVR393217:TVS393217 TVR458753:TVS458753 TVR524289:TVS524289 TVR589825:TVS589825 TVR655361:TVS655361 TVR720897:TVS720897 TVR786433:TVS786433 TVR851969:TVS851969 TVR917505:TVS917505 TVR983041:TVS983041 UFN2:UFO2 UFN65537:UFO65537 UFN131073:UFO131073 UFN196609:UFO196609 UFN262145:UFO262145 UFN327681:UFO327681 UFN393217:UFO393217 UFN458753:UFO458753 UFN524289:UFO524289 UFN589825:UFO589825 UFN655361:UFO655361 UFN720897:UFO720897 UFN786433:UFO786433 UFN851969:UFO851969 UFN917505:UFO917505 UFN983041:UFO983041 UPJ2:UPK2 UPJ65537:UPK65537 UPJ131073:UPK131073 UPJ196609:UPK196609 UPJ262145:UPK262145 UPJ327681:UPK327681 UPJ393217:UPK393217 UPJ458753:UPK458753 UPJ524289:UPK524289 UPJ589825:UPK589825 UPJ655361:UPK655361 UPJ720897:UPK720897 UPJ786433:UPK786433 UPJ851969:UPK851969 UPJ917505:UPK917505 UPJ983041:UPK983041 UZF2:UZG2 UZF65537:UZG65537 UZF131073:UZG131073 UZF196609:UZG196609 UZF262145:UZG262145 UZF327681:UZG327681 UZF393217:UZG393217 UZF458753:UZG458753 UZF524289:UZG524289 UZF589825:UZG589825 UZF655361:UZG655361 UZF720897:UZG720897 UZF786433:UZG786433 UZF851969:UZG851969 UZF917505:UZG917505 UZF983041:UZG983041 VJB2:VJC2 VJB65537:VJC65537 VJB131073:VJC131073 VJB196609:VJC196609 VJB262145:VJC262145 VJB327681:VJC327681 VJB393217:VJC393217 VJB458753:VJC458753 VJB524289:VJC524289 VJB589825:VJC589825 VJB655361:VJC655361 VJB720897:VJC720897 VJB786433:VJC786433 VJB851969:VJC851969 VJB917505:VJC917505 VJB983041:VJC983041 VSX2:VSY2 VSX65537:VSY65537 VSX131073:VSY131073 VSX196609:VSY196609 VSX262145:VSY262145 VSX327681:VSY327681 VSX393217:VSY393217 VSX458753:VSY458753 VSX524289:VSY524289 VSX589825:VSY589825 VSX655361:VSY655361 VSX720897:VSY720897 VSX786433:VSY786433 VSX851969:VSY851969 VSX917505:VSY917505 VSX983041:VSY983041 WCT2:WCU2 WCT65537:WCU65537 WCT131073:WCU131073 WCT196609:WCU196609 WCT262145:WCU262145 WCT327681:WCU327681 WCT393217:WCU393217 WCT458753:WCU458753 WCT524289:WCU524289 WCT589825:WCU589825 WCT655361:WCU655361 WCT720897:WCU720897 WCT786433:WCU786433 WCT851969:WCU851969 WCT917505:WCU917505 WCT983041:WCU983041 WMP2:WMQ2 WMP65537:WMQ65537 WMP131073:WMQ131073 WMP196609:WMQ196609 WMP262145:WMQ262145 WMP327681:WMQ327681 WMP393217:WMQ393217 WMP458753:WMQ458753 WMP524289:WMQ524289 WMP589825:WMQ589825 WMP655361:WMQ655361 WMP720897:WMQ720897 WMP786433:WMQ786433 WMP851969:WMQ851969 WMP917505:WMQ917505 WMP983041:WMQ983041 WWL2:WWM2 WWL65537:WWM65537 WWL131073:WWM131073 WWL196609:WWM196609 WWL262145:WWM262145 WWL327681:WWM327681 WWL393217:WWM393217 WWL458753:WWM458753 WWL524289:WWM524289 WWL589825:WWM589825 WWL655361:WWM655361 WWL720897:WWM720897 WWL786433:WWM786433 WWL851969:WWM851969 WWL917505:WWM917505 WWL983041:WWM983041" xr:uid="{00000000-0002-0000-2F00-000004000000}">
      <formula1>1</formula1>
      <formula2>12</formula2>
    </dataValidation>
    <dataValidation type="whole" allowBlank="1" showInputMessage="1" showErrorMessage="1" sqref="AA65537:AB65537 AA131073:AB131073 AA196609:AB196609 AA262145:AB262145 AA327681:AB327681 AA393217:AB393217 AA458753:AB458753 AA524289:AB524289 AA589825:AB589825 AA655361:AB655361 AA720897:AB720897 AA786433:AB786433 AA851969:AB851969 AA917505:AB917505 AA983041:AB983041 JW2:JX2 JW65537:JX65537 JW131073:JX131073 JW196609:JX196609 JW262145:JX262145 JW327681:JX327681 JW393217:JX393217 JW458753:JX458753 JW524289:JX524289 JW589825:JX589825 JW655361:JX655361 JW720897:JX720897 JW786433:JX786433 JW851969:JX851969 JW917505:JX917505 JW983041:JX983041 TS2:TT2 TS65537:TT65537 TS131073:TT131073 TS196609:TT196609 TS262145:TT262145 TS327681:TT327681 TS393217:TT393217 TS458753:TT458753 TS524289:TT524289 TS589825:TT589825 TS655361:TT655361 TS720897:TT720897 TS786433:TT786433 TS851969:TT851969 TS917505:TT917505 TS983041:TT983041 ADO2:ADP2 ADO65537:ADP65537 ADO131073:ADP131073 ADO196609:ADP196609 ADO262145:ADP262145 ADO327681:ADP327681 ADO393217:ADP393217 ADO458753:ADP458753 ADO524289:ADP524289 ADO589825:ADP589825 ADO655361:ADP655361 ADO720897:ADP720897 ADO786433:ADP786433 ADO851969:ADP851969 ADO917505:ADP917505 ADO983041:ADP983041 ANK2:ANL2 ANK65537:ANL65537 ANK131073:ANL131073 ANK196609:ANL196609 ANK262145:ANL262145 ANK327681:ANL327681 ANK393217:ANL393217 ANK458753:ANL458753 ANK524289:ANL524289 ANK589825:ANL589825 ANK655361:ANL655361 ANK720897:ANL720897 ANK786433:ANL786433 ANK851969:ANL851969 ANK917505:ANL917505 ANK983041:ANL983041 AXG2:AXH2 AXG65537:AXH65537 AXG131073:AXH131073 AXG196609:AXH196609 AXG262145:AXH262145 AXG327681:AXH327681 AXG393217:AXH393217 AXG458753:AXH458753 AXG524289:AXH524289 AXG589825:AXH589825 AXG655361:AXH655361 AXG720897:AXH720897 AXG786433:AXH786433 AXG851969:AXH851969 AXG917505:AXH917505 AXG983041:AXH983041 BHC2:BHD2 BHC65537:BHD65537 BHC131073:BHD131073 BHC196609:BHD196609 BHC262145:BHD262145 BHC327681:BHD327681 BHC393217:BHD393217 BHC458753:BHD458753 BHC524289:BHD524289 BHC589825:BHD589825 BHC655361:BHD655361 BHC720897:BHD720897 BHC786433:BHD786433 BHC851969:BHD851969 BHC917505:BHD917505 BHC983041:BHD983041 BQY2:BQZ2 BQY65537:BQZ65537 BQY131073:BQZ131073 BQY196609:BQZ196609 BQY262145:BQZ262145 BQY327681:BQZ327681 BQY393217:BQZ393217 BQY458753:BQZ458753 BQY524289:BQZ524289 BQY589825:BQZ589825 BQY655361:BQZ655361 BQY720897:BQZ720897 BQY786433:BQZ786433 BQY851969:BQZ851969 BQY917505:BQZ917505 BQY983041:BQZ983041 CAU2:CAV2 CAU65537:CAV65537 CAU131073:CAV131073 CAU196609:CAV196609 CAU262145:CAV262145 CAU327681:CAV327681 CAU393217:CAV393217 CAU458753:CAV458753 CAU524289:CAV524289 CAU589825:CAV589825 CAU655361:CAV655361 CAU720897:CAV720897 CAU786433:CAV786433 CAU851969:CAV851969 CAU917505:CAV917505 CAU983041:CAV983041 CKQ2:CKR2 CKQ65537:CKR65537 CKQ131073:CKR131073 CKQ196609:CKR196609 CKQ262145:CKR262145 CKQ327681:CKR327681 CKQ393217:CKR393217 CKQ458753:CKR458753 CKQ524289:CKR524289 CKQ589825:CKR589825 CKQ655361:CKR655361 CKQ720897:CKR720897 CKQ786433:CKR786433 CKQ851969:CKR851969 CKQ917505:CKR917505 CKQ983041:CKR983041 CUM2:CUN2 CUM65537:CUN65537 CUM131073:CUN131073 CUM196609:CUN196609 CUM262145:CUN262145 CUM327681:CUN327681 CUM393217:CUN393217 CUM458753:CUN458753 CUM524289:CUN524289 CUM589825:CUN589825 CUM655361:CUN655361 CUM720897:CUN720897 CUM786433:CUN786433 CUM851969:CUN851969 CUM917505:CUN917505 CUM983041:CUN983041 DEI2:DEJ2 DEI65537:DEJ65537 DEI131073:DEJ131073 DEI196609:DEJ196609 DEI262145:DEJ262145 DEI327681:DEJ327681 DEI393217:DEJ393217 DEI458753:DEJ458753 DEI524289:DEJ524289 DEI589825:DEJ589825 DEI655361:DEJ655361 DEI720897:DEJ720897 DEI786433:DEJ786433 DEI851969:DEJ851969 DEI917505:DEJ917505 DEI983041:DEJ983041 DOE2:DOF2 DOE65537:DOF65537 DOE131073:DOF131073 DOE196609:DOF196609 DOE262145:DOF262145 DOE327681:DOF327681 DOE393217:DOF393217 DOE458753:DOF458753 DOE524289:DOF524289 DOE589825:DOF589825 DOE655361:DOF655361 DOE720897:DOF720897 DOE786433:DOF786433 DOE851969:DOF851969 DOE917505:DOF917505 DOE983041:DOF983041 DYA2:DYB2 DYA65537:DYB65537 DYA131073:DYB131073 DYA196609:DYB196609 DYA262145:DYB262145 DYA327681:DYB327681 DYA393217:DYB393217 DYA458753:DYB458753 DYA524289:DYB524289 DYA589825:DYB589825 DYA655361:DYB655361 DYA720897:DYB720897 DYA786433:DYB786433 DYA851969:DYB851969 DYA917505:DYB917505 DYA983041:DYB983041 EHW2:EHX2 EHW65537:EHX65537 EHW131073:EHX131073 EHW196609:EHX196609 EHW262145:EHX262145 EHW327681:EHX327681 EHW393217:EHX393217 EHW458753:EHX458753 EHW524289:EHX524289 EHW589825:EHX589825 EHW655361:EHX655361 EHW720897:EHX720897 EHW786433:EHX786433 EHW851969:EHX851969 EHW917505:EHX917505 EHW983041:EHX983041 ERS2:ERT2 ERS65537:ERT65537 ERS131073:ERT131073 ERS196609:ERT196609 ERS262145:ERT262145 ERS327681:ERT327681 ERS393217:ERT393217 ERS458753:ERT458753 ERS524289:ERT524289 ERS589825:ERT589825 ERS655361:ERT655361 ERS720897:ERT720897 ERS786433:ERT786433 ERS851969:ERT851969 ERS917505:ERT917505 ERS983041:ERT983041 FBO2:FBP2 FBO65537:FBP65537 FBO131073:FBP131073 FBO196609:FBP196609 FBO262145:FBP262145 FBO327681:FBP327681 FBO393217:FBP393217 FBO458753:FBP458753 FBO524289:FBP524289 FBO589825:FBP589825 FBO655361:FBP655361 FBO720897:FBP720897 FBO786433:FBP786433 FBO851969:FBP851969 FBO917505:FBP917505 FBO983041:FBP983041 FLK2:FLL2 FLK65537:FLL65537 FLK131073:FLL131073 FLK196609:FLL196609 FLK262145:FLL262145 FLK327681:FLL327681 FLK393217:FLL393217 FLK458753:FLL458753 FLK524289:FLL524289 FLK589825:FLL589825 FLK655361:FLL655361 FLK720897:FLL720897 FLK786433:FLL786433 FLK851969:FLL851969 FLK917505:FLL917505 FLK983041:FLL983041 FVG2:FVH2 FVG65537:FVH65537 FVG131073:FVH131073 FVG196609:FVH196609 FVG262145:FVH262145 FVG327681:FVH327681 FVG393217:FVH393217 FVG458753:FVH458753 FVG524289:FVH524289 FVG589825:FVH589825 FVG655361:FVH655361 FVG720897:FVH720897 FVG786433:FVH786433 FVG851969:FVH851969 FVG917505:FVH917505 FVG983041:FVH983041 GFC2:GFD2 GFC65537:GFD65537 GFC131073:GFD131073 GFC196609:GFD196609 GFC262145:GFD262145 GFC327681:GFD327681 GFC393217:GFD393217 GFC458753:GFD458753 GFC524289:GFD524289 GFC589825:GFD589825 GFC655361:GFD655361 GFC720897:GFD720897 GFC786433:GFD786433 GFC851969:GFD851969 GFC917505:GFD917505 GFC983041:GFD983041 GOY2:GOZ2 GOY65537:GOZ65537 GOY131073:GOZ131073 GOY196609:GOZ196609 GOY262145:GOZ262145 GOY327681:GOZ327681 GOY393217:GOZ393217 GOY458753:GOZ458753 GOY524289:GOZ524289 GOY589825:GOZ589825 GOY655361:GOZ655361 GOY720897:GOZ720897 GOY786433:GOZ786433 GOY851969:GOZ851969 GOY917505:GOZ917505 GOY983041:GOZ983041 GYU2:GYV2 GYU65537:GYV65537 GYU131073:GYV131073 GYU196609:GYV196609 GYU262145:GYV262145 GYU327681:GYV327681 GYU393217:GYV393217 GYU458753:GYV458753 GYU524289:GYV524289 GYU589825:GYV589825 GYU655361:GYV655361 GYU720897:GYV720897 GYU786433:GYV786433 GYU851969:GYV851969 GYU917505:GYV917505 GYU983041:GYV983041 HIQ2:HIR2 HIQ65537:HIR65537 HIQ131073:HIR131073 HIQ196609:HIR196609 HIQ262145:HIR262145 HIQ327681:HIR327681 HIQ393217:HIR393217 HIQ458753:HIR458753 HIQ524289:HIR524289 HIQ589825:HIR589825 HIQ655361:HIR655361 HIQ720897:HIR720897 HIQ786433:HIR786433 HIQ851969:HIR851969 HIQ917505:HIR917505 HIQ983041:HIR983041 HSM2:HSN2 HSM65537:HSN65537 HSM131073:HSN131073 HSM196609:HSN196609 HSM262145:HSN262145 HSM327681:HSN327681 HSM393217:HSN393217 HSM458753:HSN458753 HSM524289:HSN524289 HSM589825:HSN589825 HSM655361:HSN655361 HSM720897:HSN720897 HSM786433:HSN786433 HSM851969:HSN851969 HSM917505:HSN917505 HSM983041:HSN983041 ICI2:ICJ2 ICI65537:ICJ65537 ICI131073:ICJ131073 ICI196609:ICJ196609 ICI262145:ICJ262145 ICI327681:ICJ327681 ICI393217:ICJ393217 ICI458753:ICJ458753 ICI524289:ICJ524289 ICI589825:ICJ589825 ICI655361:ICJ655361 ICI720897:ICJ720897 ICI786433:ICJ786433 ICI851969:ICJ851969 ICI917505:ICJ917505 ICI983041:ICJ983041 IME2:IMF2 IME65537:IMF65537 IME131073:IMF131073 IME196609:IMF196609 IME262145:IMF262145 IME327681:IMF327681 IME393217:IMF393217 IME458753:IMF458753 IME524289:IMF524289 IME589825:IMF589825 IME655361:IMF655361 IME720897:IMF720897 IME786433:IMF786433 IME851969:IMF851969 IME917505:IMF917505 IME983041:IMF983041 IWA2:IWB2 IWA65537:IWB65537 IWA131073:IWB131073 IWA196609:IWB196609 IWA262145:IWB262145 IWA327681:IWB327681 IWA393217:IWB393217 IWA458753:IWB458753 IWA524289:IWB524289 IWA589825:IWB589825 IWA655361:IWB655361 IWA720897:IWB720897 IWA786433:IWB786433 IWA851969:IWB851969 IWA917505:IWB917505 IWA983041:IWB983041 JFW2:JFX2 JFW65537:JFX65537 JFW131073:JFX131073 JFW196609:JFX196609 JFW262145:JFX262145 JFW327681:JFX327681 JFW393217:JFX393217 JFW458753:JFX458753 JFW524289:JFX524289 JFW589825:JFX589825 JFW655361:JFX655361 JFW720897:JFX720897 JFW786433:JFX786433 JFW851969:JFX851969 JFW917505:JFX917505 JFW983041:JFX983041 JPS2:JPT2 JPS65537:JPT65537 JPS131073:JPT131073 JPS196609:JPT196609 JPS262145:JPT262145 JPS327681:JPT327681 JPS393217:JPT393217 JPS458753:JPT458753 JPS524289:JPT524289 JPS589825:JPT589825 JPS655361:JPT655361 JPS720897:JPT720897 JPS786433:JPT786433 JPS851969:JPT851969 JPS917505:JPT917505 JPS983041:JPT983041 JZO2:JZP2 JZO65537:JZP65537 JZO131073:JZP131073 JZO196609:JZP196609 JZO262145:JZP262145 JZO327681:JZP327681 JZO393217:JZP393217 JZO458753:JZP458753 JZO524289:JZP524289 JZO589825:JZP589825 JZO655361:JZP655361 JZO720897:JZP720897 JZO786433:JZP786433 JZO851969:JZP851969 JZO917505:JZP917505 JZO983041:JZP983041 KJK2:KJL2 KJK65537:KJL65537 KJK131073:KJL131073 KJK196609:KJL196609 KJK262145:KJL262145 KJK327681:KJL327681 KJK393217:KJL393217 KJK458753:KJL458753 KJK524289:KJL524289 KJK589825:KJL589825 KJK655361:KJL655361 KJK720897:KJL720897 KJK786433:KJL786433 KJK851969:KJL851969 KJK917505:KJL917505 KJK983041:KJL983041 KTG2:KTH2 KTG65537:KTH65537 KTG131073:KTH131073 KTG196609:KTH196609 KTG262145:KTH262145 KTG327681:KTH327681 KTG393217:KTH393217 KTG458753:KTH458753 KTG524289:KTH524289 KTG589825:KTH589825 KTG655361:KTH655361 KTG720897:KTH720897 KTG786433:KTH786433 KTG851969:KTH851969 KTG917505:KTH917505 KTG983041:KTH983041 LDC2:LDD2 LDC65537:LDD65537 LDC131073:LDD131073 LDC196609:LDD196609 LDC262145:LDD262145 LDC327681:LDD327681 LDC393217:LDD393217 LDC458753:LDD458753 LDC524289:LDD524289 LDC589825:LDD589825 LDC655361:LDD655361 LDC720897:LDD720897 LDC786433:LDD786433 LDC851969:LDD851969 LDC917505:LDD917505 LDC983041:LDD983041 LMY2:LMZ2 LMY65537:LMZ65537 LMY131073:LMZ131073 LMY196609:LMZ196609 LMY262145:LMZ262145 LMY327681:LMZ327681 LMY393217:LMZ393217 LMY458753:LMZ458753 LMY524289:LMZ524289 LMY589825:LMZ589825 LMY655361:LMZ655361 LMY720897:LMZ720897 LMY786433:LMZ786433 LMY851969:LMZ851969 LMY917505:LMZ917505 LMY983041:LMZ983041 LWU2:LWV2 LWU65537:LWV65537 LWU131073:LWV131073 LWU196609:LWV196609 LWU262145:LWV262145 LWU327681:LWV327681 LWU393217:LWV393217 LWU458753:LWV458753 LWU524289:LWV524289 LWU589825:LWV589825 LWU655361:LWV655361 LWU720897:LWV720897 LWU786433:LWV786433 LWU851969:LWV851969 LWU917505:LWV917505 LWU983041:LWV983041 MGQ2:MGR2 MGQ65537:MGR65537 MGQ131073:MGR131073 MGQ196609:MGR196609 MGQ262145:MGR262145 MGQ327681:MGR327681 MGQ393217:MGR393217 MGQ458753:MGR458753 MGQ524289:MGR524289 MGQ589825:MGR589825 MGQ655361:MGR655361 MGQ720897:MGR720897 MGQ786433:MGR786433 MGQ851969:MGR851969 MGQ917505:MGR917505 MGQ983041:MGR983041 MQM2:MQN2 MQM65537:MQN65537 MQM131073:MQN131073 MQM196609:MQN196609 MQM262145:MQN262145 MQM327681:MQN327681 MQM393217:MQN393217 MQM458753:MQN458753 MQM524289:MQN524289 MQM589825:MQN589825 MQM655361:MQN655361 MQM720897:MQN720897 MQM786433:MQN786433 MQM851969:MQN851969 MQM917505:MQN917505 MQM983041:MQN983041 NAI2:NAJ2 NAI65537:NAJ65537 NAI131073:NAJ131073 NAI196609:NAJ196609 NAI262145:NAJ262145 NAI327681:NAJ327681 NAI393217:NAJ393217 NAI458753:NAJ458753 NAI524289:NAJ524289 NAI589825:NAJ589825 NAI655361:NAJ655361 NAI720897:NAJ720897 NAI786433:NAJ786433 NAI851969:NAJ851969 NAI917505:NAJ917505 NAI983041:NAJ983041 NKE2:NKF2 NKE65537:NKF65537 NKE131073:NKF131073 NKE196609:NKF196609 NKE262145:NKF262145 NKE327681:NKF327681 NKE393217:NKF393217 NKE458753:NKF458753 NKE524289:NKF524289 NKE589825:NKF589825 NKE655361:NKF655361 NKE720897:NKF720897 NKE786433:NKF786433 NKE851969:NKF851969 NKE917505:NKF917505 NKE983041:NKF983041 NUA2:NUB2 NUA65537:NUB65537 NUA131073:NUB131073 NUA196609:NUB196609 NUA262145:NUB262145 NUA327681:NUB327681 NUA393217:NUB393217 NUA458753:NUB458753 NUA524289:NUB524289 NUA589825:NUB589825 NUA655361:NUB655361 NUA720897:NUB720897 NUA786433:NUB786433 NUA851969:NUB851969 NUA917505:NUB917505 NUA983041:NUB983041 ODW2:ODX2 ODW65537:ODX65537 ODW131073:ODX131073 ODW196609:ODX196609 ODW262145:ODX262145 ODW327681:ODX327681 ODW393217:ODX393217 ODW458753:ODX458753 ODW524289:ODX524289 ODW589825:ODX589825 ODW655361:ODX655361 ODW720897:ODX720897 ODW786433:ODX786433 ODW851969:ODX851969 ODW917505:ODX917505 ODW983041:ODX983041 ONS2:ONT2 ONS65537:ONT65537 ONS131073:ONT131073 ONS196609:ONT196609 ONS262145:ONT262145 ONS327681:ONT327681 ONS393217:ONT393217 ONS458753:ONT458753 ONS524289:ONT524289 ONS589825:ONT589825 ONS655361:ONT655361 ONS720897:ONT720897 ONS786433:ONT786433 ONS851969:ONT851969 ONS917505:ONT917505 ONS983041:ONT983041 OXO2:OXP2 OXO65537:OXP65537 OXO131073:OXP131073 OXO196609:OXP196609 OXO262145:OXP262145 OXO327681:OXP327681 OXO393217:OXP393217 OXO458753:OXP458753 OXO524289:OXP524289 OXO589825:OXP589825 OXO655361:OXP655361 OXO720897:OXP720897 OXO786433:OXP786433 OXO851969:OXP851969 OXO917505:OXP917505 OXO983041:OXP983041 PHK2:PHL2 PHK65537:PHL65537 PHK131073:PHL131073 PHK196609:PHL196609 PHK262145:PHL262145 PHK327681:PHL327681 PHK393217:PHL393217 PHK458753:PHL458753 PHK524289:PHL524289 PHK589825:PHL589825 PHK655361:PHL655361 PHK720897:PHL720897 PHK786433:PHL786433 PHK851969:PHL851969 PHK917505:PHL917505 PHK983041:PHL983041 PRG2:PRH2 PRG65537:PRH65537 PRG131073:PRH131073 PRG196609:PRH196609 PRG262145:PRH262145 PRG327681:PRH327681 PRG393217:PRH393217 PRG458753:PRH458753 PRG524289:PRH524289 PRG589825:PRH589825 PRG655361:PRH655361 PRG720897:PRH720897 PRG786433:PRH786433 PRG851969:PRH851969 PRG917505:PRH917505 PRG983041:PRH983041 QBC2:QBD2 QBC65537:QBD65537 QBC131073:QBD131073 QBC196609:QBD196609 QBC262145:QBD262145 QBC327681:QBD327681 QBC393217:QBD393217 QBC458753:QBD458753 QBC524289:QBD524289 QBC589825:QBD589825 QBC655361:QBD655361 QBC720897:QBD720897 QBC786433:QBD786433 QBC851969:QBD851969 QBC917505:QBD917505 QBC983041:QBD983041 QKY2:QKZ2 QKY65537:QKZ65537 QKY131073:QKZ131073 QKY196609:QKZ196609 QKY262145:QKZ262145 QKY327681:QKZ327681 QKY393217:QKZ393217 QKY458753:QKZ458753 QKY524289:QKZ524289 QKY589825:QKZ589825 QKY655361:QKZ655361 QKY720897:QKZ720897 QKY786433:QKZ786433 QKY851969:QKZ851969 QKY917505:QKZ917505 QKY983041:QKZ983041 QUU2:QUV2 QUU65537:QUV65537 QUU131073:QUV131073 QUU196609:QUV196609 QUU262145:QUV262145 QUU327681:QUV327681 QUU393217:QUV393217 QUU458753:QUV458753 QUU524289:QUV524289 QUU589825:QUV589825 QUU655361:QUV655361 QUU720897:QUV720897 QUU786433:QUV786433 QUU851969:QUV851969 QUU917505:QUV917505 QUU983041:QUV983041 REQ2:RER2 REQ65537:RER65537 REQ131073:RER131073 REQ196609:RER196609 REQ262145:RER262145 REQ327681:RER327681 REQ393217:RER393217 REQ458753:RER458753 REQ524289:RER524289 REQ589825:RER589825 REQ655361:RER655361 REQ720897:RER720897 REQ786433:RER786433 REQ851969:RER851969 REQ917505:RER917505 REQ983041:RER983041 ROM2:RON2 ROM65537:RON65537 ROM131073:RON131073 ROM196609:RON196609 ROM262145:RON262145 ROM327681:RON327681 ROM393217:RON393217 ROM458753:RON458753 ROM524289:RON524289 ROM589825:RON589825 ROM655361:RON655361 ROM720897:RON720897 ROM786433:RON786433 ROM851969:RON851969 ROM917505:RON917505 ROM983041:RON983041 RYI2:RYJ2 RYI65537:RYJ65537 RYI131073:RYJ131073 RYI196609:RYJ196609 RYI262145:RYJ262145 RYI327681:RYJ327681 RYI393217:RYJ393217 RYI458753:RYJ458753 RYI524289:RYJ524289 RYI589825:RYJ589825 RYI655361:RYJ655361 RYI720897:RYJ720897 RYI786433:RYJ786433 RYI851969:RYJ851969 RYI917505:RYJ917505 RYI983041:RYJ983041 SIE2:SIF2 SIE65537:SIF65537 SIE131073:SIF131073 SIE196609:SIF196609 SIE262145:SIF262145 SIE327681:SIF327681 SIE393217:SIF393217 SIE458753:SIF458753 SIE524289:SIF524289 SIE589825:SIF589825 SIE655361:SIF655361 SIE720897:SIF720897 SIE786433:SIF786433 SIE851969:SIF851969 SIE917505:SIF917505 SIE983041:SIF983041 SSA2:SSB2 SSA65537:SSB65537 SSA131073:SSB131073 SSA196609:SSB196609 SSA262145:SSB262145 SSA327681:SSB327681 SSA393217:SSB393217 SSA458753:SSB458753 SSA524289:SSB524289 SSA589825:SSB589825 SSA655361:SSB655361 SSA720897:SSB720897 SSA786433:SSB786433 SSA851969:SSB851969 SSA917505:SSB917505 SSA983041:SSB983041 TBW2:TBX2 TBW65537:TBX65537 TBW131073:TBX131073 TBW196609:TBX196609 TBW262145:TBX262145 TBW327681:TBX327681 TBW393217:TBX393217 TBW458753:TBX458753 TBW524289:TBX524289 TBW589825:TBX589825 TBW655361:TBX655361 TBW720897:TBX720897 TBW786433:TBX786433 TBW851969:TBX851969 TBW917505:TBX917505 TBW983041:TBX983041 TLS2:TLT2 TLS65537:TLT65537 TLS131073:TLT131073 TLS196609:TLT196609 TLS262145:TLT262145 TLS327681:TLT327681 TLS393217:TLT393217 TLS458753:TLT458753 TLS524289:TLT524289 TLS589825:TLT589825 TLS655361:TLT655361 TLS720897:TLT720897 TLS786433:TLT786433 TLS851969:TLT851969 TLS917505:TLT917505 TLS983041:TLT983041 TVO2:TVP2 TVO65537:TVP65537 TVO131073:TVP131073 TVO196609:TVP196609 TVO262145:TVP262145 TVO327681:TVP327681 TVO393217:TVP393217 TVO458753:TVP458753 TVO524289:TVP524289 TVO589825:TVP589825 TVO655361:TVP655361 TVO720897:TVP720897 TVO786433:TVP786433 TVO851969:TVP851969 TVO917505:TVP917505 TVO983041:TVP983041 UFK2:UFL2 UFK65537:UFL65537 UFK131073:UFL131073 UFK196609:UFL196609 UFK262145:UFL262145 UFK327681:UFL327681 UFK393217:UFL393217 UFK458753:UFL458753 UFK524289:UFL524289 UFK589825:UFL589825 UFK655361:UFL655361 UFK720897:UFL720897 UFK786433:UFL786433 UFK851969:UFL851969 UFK917505:UFL917505 UFK983041:UFL983041 UPG2:UPH2 UPG65537:UPH65537 UPG131073:UPH131073 UPG196609:UPH196609 UPG262145:UPH262145 UPG327681:UPH327681 UPG393217:UPH393217 UPG458753:UPH458753 UPG524289:UPH524289 UPG589825:UPH589825 UPG655361:UPH655361 UPG720897:UPH720897 UPG786433:UPH786433 UPG851969:UPH851969 UPG917505:UPH917505 UPG983041:UPH983041 UZC2:UZD2 UZC65537:UZD65537 UZC131073:UZD131073 UZC196609:UZD196609 UZC262145:UZD262145 UZC327681:UZD327681 UZC393217:UZD393217 UZC458753:UZD458753 UZC524289:UZD524289 UZC589825:UZD589825 UZC655361:UZD655361 UZC720897:UZD720897 UZC786433:UZD786433 UZC851969:UZD851969 UZC917505:UZD917505 UZC983041:UZD983041 VIY2:VIZ2 VIY65537:VIZ65537 VIY131073:VIZ131073 VIY196609:VIZ196609 VIY262145:VIZ262145 VIY327681:VIZ327681 VIY393217:VIZ393217 VIY458753:VIZ458753 VIY524289:VIZ524289 VIY589825:VIZ589825 VIY655361:VIZ655361 VIY720897:VIZ720897 VIY786433:VIZ786433 VIY851969:VIZ851969 VIY917505:VIZ917505 VIY983041:VIZ983041 VSU2:VSV2 VSU65537:VSV65537 VSU131073:VSV131073 VSU196609:VSV196609 VSU262145:VSV262145 VSU327681:VSV327681 VSU393217:VSV393217 VSU458753:VSV458753 VSU524289:VSV524289 VSU589825:VSV589825 VSU655361:VSV655361 VSU720897:VSV720897 VSU786433:VSV786433 VSU851969:VSV851969 VSU917505:VSV917505 VSU983041:VSV983041 WCQ2:WCR2 WCQ65537:WCR65537 WCQ131073:WCR131073 WCQ196609:WCR196609 WCQ262145:WCR262145 WCQ327681:WCR327681 WCQ393217:WCR393217 WCQ458753:WCR458753 WCQ524289:WCR524289 WCQ589825:WCR589825 WCQ655361:WCR655361 WCQ720897:WCR720897 WCQ786433:WCR786433 WCQ851969:WCR851969 WCQ917505:WCR917505 WCQ983041:WCR983041 WMM2:WMN2 WMM65537:WMN65537 WMM131073:WMN131073 WMM196609:WMN196609 WMM262145:WMN262145 WMM327681:WMN327681 WMM393217:WMN393217 WMM458753:WMN458753 WMM524289:WMN524289 WMM589825:WMN589825 WMM655361:WMN655361 WMM720897:WMN720897 WMM786433:WMN786433 WMM851969:WMN851969 WMM917505:WMN917505 WMM983041:WMN983041 WWI2:WWJ2 WWI65537:WWJ65537 WWI131073:WWJ131073 WWI196609:WWJ196609 WWI262145:WWJ262145 WWI327681:WWJ327681 WWI393217:WWJ393217 WWI458753:WWJ458753 WWI524289:WWJ524289 WWI589825:WWJ589825 WWI655361:WWJ655361 WWI720897:WWJ720897 WWI786433:WWJ786433 WWI851969:WWJ851969 WWI917505:WWJ917505 WWI983041:WWJ983041" xr:uid="{00000000-0002-0000-2F00-000005000000}">
      <formula1>1</formula1>
      <formula2>99</formula2>
    </dataValidation>
  </dataValidations>
  <pageMargins left="0.6692913385826772" right="0.39370078740157483" top="0.39370078740157483" bottom="0.39370078740157483" header="0.51181102362204722" footer="0.19685039370078741"/>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3189" r:id="rId4" name="Check Box 5">
              <controlPr defaultSize="0" autoFill="0" autoLine="0" autoPict="0" altText="">
                <anchor moveWithCells="1">
                  <from>
                    <xdr:col>1</xdr:col>
                    <xdr:colOff>137160</xdr:colOff>
                    <xdr:row>29</xdr:row>
                    <xdr:rowOff>22860</xdr:rowOff>
                  </from>
                  <to>
                    <xdr:col>3</xdr:col>
                    <xdr:colOff>22860</xdr:colOff>
                    <xdr:row>29</xdr:row>
                    <xdr:rowOff>220980</xdr:rowOff>
                  </to>
                </anchor>
              </controlPr>
            </control>
          </mc:Choice>
        </mc:AlternateContent>
        <mc:AlternateContent xmlns:mc="http://schemas.openxmlformats.org/markup-compatibility/2006">
          <mc:Choice Requires="x14">
            <control shapeId="93190" r:id="rId5" name="Check Box 6">
              <controlPr defaultSize="0" autoFill="0" autoLine="0" autoPict="0" altText="">
                <anchor moveWithCells="1">
                  <from>
                    <xdr:col>1</xdr:col>
                    <xdr:colOff>137160</xdr:colOff>
                    <xdr:row>30</xdr:row>
                    <xdr:rowOff>22860</xdr:rowOff>
                  </from>
                  <to>
                    <xdr:col>3</xdr:col>
                    <xdr:colOff>22860</xdr:colOff>
                    <xdr:row>30</xdr:row>
                    <xdr:rowOff>220980</xdr:rowOff>
                  </to>
                </anchor>
              </controlPr>
            </control>
          </mc:Choice>
        </mc:AlternateContent>
        <mc:AlternateContent xmlns:mc="http://schemas.openxmlformats.org/markup-compatibility/2006">
          <mc:Choice Requires="x14">
            <control shapeId="93191" r:id="rId6" name="Check Box 7">
              <controlPr defaultSize="0" autoFill="0" autoLine="0" autoPict="0" altText="">
                <anchor moveWithCells="1">
                  <from>
                    <xdr:col>1</xdr:col>
                    <xdr:colOff>137160</xdr:colOff>
                    <xdr:row>31</xdr:row>
                    <xdr:rowOff>22860</xdr:rowOff>
                  </from>
                  <to>
                    <xdr:col>3</xdr:col>
                    <xdr:colOff>22860</xdr:colOff>
                    <xdr:row>31</xdr:row>
                    <xdr:rowOff>220980</xdr:rowOff>
                  </to>
                </anchor>
              </controlPr>
            </control>
          </mc:Choice>
        </mc:AlternateContent>
        <mc:AlternateContent xmlns:mc="http://schemas.openxmlformats.org/markup-compatibility/2006">
          <mc:Choice Requires="x14">
            <control shapeId="93192" r:id="rId7" name="Check Box 8">
              <controlPr defaultSize="0" autoFill="0" autoLine="0" autoPict="0" altText="">
                <anchor moveWithCells="1">
                  <from>
                    <xdr:col>15</xdr:col>
                    <xdr:colOff>137160</xdr:colOff>
                    <xdr:row>29</xdr:row>
                    <xdr:rowOff>22860</xdr:rowOff>
                  </from>
                  <to>
                    <xdr:col>17</xdr:col>
                    <xdr:colOff>22860</xdr:colOff>
                    <xdr:row>29</xdr:row>
                    <xdr:rowOff>220980</xdr:rowOff>
                  </to>
                </anchor>
              </controlPr>
            </control>
          </mc:Choice>
        </mc:AlternateContent>
        <mc:AlternateContent xmlns:mc="http://schemas.openxmlformats.org/markup-compatibility/2006">
          <mc:Choice Requires="x14">
            <control shapeId="93193" r:id="rId8" name="Check Box 9">
              <controlPr defaultSize="0" autoFill="0" autoLine="0" autoPict="0" altText="">
                <anchor moveWithCells="1">
                  <from>
                    <xdr:col>15</xdr:col>
                    <xdr:colOff>137160</xdr:colOff>
                    <xdr:row>30</xdr:row>
                    <xdr:rowOff>22860</xdr:rowOff>
                  </from>
                  <to>
                    <xdr:col>17</xdr:col>
                    <xdr:colOff>22860</xdr:colOff>
                    <xdr:row>30</xdr:row>
                    <xdr:rowOff>220980</xdr:rowOff>
                  </to>
                </anchor>
              </controlPr>
            </control>
          </mc:Choice>
        </mc:AlternateContent>
        <mc:AlternateContent xmlns:mc="http://schemas.openxmlformats.org/markup-compatibility/2006">
          <mc:Choice Requires="x14">
            <control shapeId="93194" r:id="rId9" name="Check Box 10">
              <controlPr defaultSize="0" autoFill="0" autoLine="0" autoPict="0" altText="">
                <anchor moveWithCells="1">
                  <from>
                    <xdr:col>15</xdr:col>
                    <xdr:colOff>137160</xdr:colOff>
                    <xdr:row>31</xdr:row>
                    <xdr:rowOff>22860</xdr:rowOff>
                  </from>
                  <to>
                    <xdr:col>17</xdr:col>
                    <xdr:colOff>22860</xdr:colOff>
                    <xdr:row>31</xdr:row>
                    <xdr:rowOff>220980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AL43"/>
  <sheetViews>
    <sheetView zoomScaleNormal="100" zoomScaleSheetLayoutView="100" workbookViewId="0"/>
  </sheetViews>
  <sheetFormatPr defaultColWidth="2.33203125" defaultRowHeight="18.899999999999999" customHeight="1"/>
  <cols>
    <col min="1" max="14" width="2.33203125" style="594" customWidth="1"/>
    <col min="15" max="15" width="2.109375" style="594" customWidth="1"/>
    <col min="16" max="16" width="2.33203125" style="594" customWidth="1"/>
    <col min="17" max="16384" width="2.33203125" style="594"/>
  </cols>
  <sheetData>
    <row r="2" spans="1:37" ht="18.899999999999999" customHeight="1">
      <c r="Z2" s="2069" t="s">
        <v>3276</v>
      </c>
      <c r="AA2" s="2069"/>
      <c r="AB2" s="2069"/>
      <c r="AC2" s="2069"/>
      <c r="AD2" s="2069"/>
      <c r="AE2" s="2069"/>
      <c r="AF2" s="2069"/>
      <c r="AG2" s="2069"/>
      <c r="AH2" s="2069"/>
      <c r="AI2" s="2069"/>
      <c r="AJ2" s="2069"/>
    </row>
    <row r="4" spans="1:37" ht="18.899999999999999" customHeight="1">
      <c r="A4" s="2078" t="s">
        <v>3293</v>
      </c>
      <c r="B4" s="2078"/>
      <c r="C4" s="2078"/>
      <c r="D4" s="2078"/>
      <c r="E4" s="2078"/>
      <c r="F4" s="2078"/>
      <c r="G4" s="2078"/>
      <c r="H4" s="2078"/>
      <c r="I4" s="2078"/>
      <c r="J4" s="2078"/>
      <c r="K4" s="2078"/>
      <c r="L4" s="2078"/>
      <c r="M4" s="2078"/>
      <c r="N4" s="2078"/>
      <c r="O4" s="2078"/>
      <c r="P4" s="2078"/>
      <c r="Q4" s="2078"/>
      <c r="R4" s="2078"/>
      <c r="S4" s="2078"/>
      <c r="T4" s="2078"/>
      <c r="U4" s="2078"/>
      <c r="V4" s="2078"/>
      <c r="W4" s="2078"/>
      <c r="X4" s="2078"/>
      <c r="Y4" s="2078"/>
      <c r="Z4" s="2078"/>
      <c r="AA4" s="2078"/>
      <c r="AB4" s="2078"/>
      <c r="AC4" s="2078"/>
      <c r="AD4" s="2078"/>
      <c r="AE4" s="2078"/>
      <c r="AF4" s="2078"/>
      <c r="AG4" s="2078"/>
      <c r="AH4" s="2078"/>
      <c r="AI4" s="2078"/>
      <c r="AJ4" s="2078"/>
      <c r="AK4" s="2078"/>
    </row>
    <row r="6" spans="1:37" ht="18.899999999999999" customHeight="1">
      <c r="A6" s="594" t="s">
        <v>3292</v>
      </c>
    </row>
    <row r="8" spans="1:37" ht="18.899999999999999" customHeight="1">
      <c r="N8" s="2068"/>
      <c r="O8" s="2068"/>
      <c r="P8" s="2068"/>
    </row>
    <row r="9" spans="1:37" ht="18.899999999999999" customHeight="1">
      <c r="N9" s="2076"/>
      <c r="O9" s="2076"/>
      <c r="P9" s="2076"/>
      <c r="S9" s="598" t="s">
        <v>12</v>
      </c>
      <c r="T9" s="2077" t="str">
        <f>cst_wsecoteki_owner1__address</f>
        <v/>
      </c>
      <c r="U9" s="2077"/>
      <c r="V9" s="2077"/>
      <c r="W9" s="2077"/>
      <c r="X9" s="2077"/>
      <c r="Y9" s="2077"/>
      <c r="Z9" s="2077"/>
      <c r="AA9" s="2077"/>
      <c r="AB9" s="2077"/>
      <c r="AC9" s="2077"/>
      <c r="AD9" s="2077"/>
      <c r="AE9" s="2077"/>
      <c r="AF9" s="2077"/>
      <c r="AG9" s="2077"/>
      <c r="AH9" s="2077"/>
      <c r="AI9" s="2077"/>
    </row>
    <row r="10" spans="1:37" ht="18.899999999999999" customHeight="1">
      <c r="T10" s="2079" t="str">
        <f>cst_wsecoteki_owner1_NAME</f>
        <v/>
      </c>
      <c r="U10" s="2079"/>
      <c r="V10" s="2079"/>
      <c r="W10" s="2079"/>
      <c r="X10" s="2079"/>
      <c r="Y10" s="2079"/>
      <c r="Z10" s="2079"/>
      <c r="AA10" s="2079"/>
      <c r="AB10" s="2079"/>
      <c r="AC10" s="2079"/>
      <c r="AD10" s="2079"/>
      <c r="AE10" s="2079"/>
      <c r="AF10" s="2079"/>
      <c r="AG10" s="2079"/>
      <c r="AH10" s="2079"/>
      <c r="AI10" s="2079"/>
    </row>
    <row r="11" spans="1:37" ht="18.899999999999999" customHeight="1">
      <c r="N11" s="605"/>
      <c r="O11" s="605"/>
      <c r="P11" s="605"/>
      <c r="Q11" s="605"/>
      <c r="R11" s="605"/>
      <c r="S11" s="605"/>
      <c r="T11" s="2080"/>
      <c r="U11" s="2080"/>
      <c r="V11" s="2080"/>
      <c r="W11" s="2080"/>
      <c r="X11" s="2080"/>
      <c r="Y11" s="2080"/>
      <c r="Z11" s="2080"/>
      <c r="AA11" s="2080"/>
      <c r="AB11" s="2080"/>
      <c r="AC11" s="2080"/>
      <c r="AD11" s="2080"/>
      <c r="AE11" s="2080"/>
      <c r="AF11" s="2080"/>
      <c r="AG11" s="2080"/>
      <c r="AH11" s="2080"/>
      <c r="AI11" s="2080"/>
    </row>
    <row r="12" spans="1:37" ht="18.899999999999999" customHeight="1">
      <c r="S12" s="598" t="s">
        <v>7</v>
      </c>
      <c r="T12" s="2080"/>
      <c r="U12" s="2080"/>
      <c r="V12" s="2080"/>
      <c r="W12" s="2080"/>
      <c r="X12" s="2080"/>
      <c r="Y12" s="2080"/>
      <c r="Z12" s="2080"/>
      <c r="AA12" s="2080"/>
      <c r="AB12" s="2080"/>
      <c r="AC12" s="2080"/>
      <c r="AD12" s="2080"/>
      <c r="AE12" s="2080"/>
      <c r="AF12" s="2080"/>
      <c r="AG12" s="2080"/>
      <c r="AH12" s="2080"/>
      <c r="AI12" s="2080"/>
    </row>
    <row r="14" spans="1:37" ht="18.899999999999999" customHeight="1">
      <c r="A14" s="594" t="s">
        <v>3291</v>
      </c>
      <c r="D14" s="2066" t="str">
        <f>cst_wsecoteki_dairi1_JIMU_NAME</f>
        <v/>
      </c>
      <c r="E14" s="2081"/>
      <c r="F14" s="2081"/>
      <c r="G14" s="2081"/>
      <c r="H14" s="2081"/>
      <c r="I14" s="2081"/>
      <c r="J14" s="2081"/>
      <c r="K14" s="2081"/>
      <c r="L14" s="2081"/>
      <c r="M14" s="2081"/>
      <c r="N14" s="2081"/>
      <c r="O14" s="2081"/>
      <c r="P14" s="2081"/>
      <c r="Q14" s="2081"/>
      <c r="R14" s="2081"/>
      <c r="S14" s="2081"/>
      <c r="T14" s="2081"/>
      <c r="U14" s="2081"/>
      <c r="V14" s="2081"/>
      <c r="W14" s="2081"/>
      <c r="X14" s="2081"/>
      <c r="Y14" s="2081"/>
      <c r="Z14" s="2081"/>
      <c r="AA14" s="2081"/>
      <c r="AB14" s="2081"/>
      <c r="AC14" s="2081"/>
      <c r="AD14" s="2081"/>
      <c r="AE14" s="2081"/>
      <c r="AF14" s="2081"/>
      <c r="AG14" s="2081"/>
      <c r="AH14" s="2081"/>
      <c r="AI14" s="2081"/>
    </row>
    <row r="15" spans="1:37" ht="18.899999999999999" customHeight="1">
      <c r="D15" s="600"/>
      <c r="E15" s="600"/>
      <c r="F15" s="600"/>
      <c r="G15" s="600"/>
      <c r="H15" s="600"/>
      <c r="I15" s="600"/>
      <c r="J15" s="600"/>
      <c r="K15" s="600"/>
      <c r="L15" s="600"/>
      <c r="M15" s="600"/>
      <c r="N15" s="600"/>
      <c r="O15" s="600"/>
      <c r="P15" s="600"/>
      <c r="Q15" s="600"/>
      <c r="R15" s="604"/>
      <c r="S15" s="604"/>
    </row>
    <row r="16" spans="1:37" ht="18.75" customHeight="1">
      <c r="A16" s="2066" t="str">
        <f>cst_wsecoteki_dairi1_NAME</f>
        <v/>
      </c>
      <c r="B16" s="2066"/>
      <c r="C16" s="2066"/>
      <c r="D16" s="2066"/>
      <c r="E16" s="2066"/>
      <c r="F16" s="2066"/>
      <c r="G16" s="2066"/>
      <c r="H16" s="2066"/>
      <c r="I16" s="2066"/>
      <c r="J16" s="2066"/>
      <c r="K16" s="2066"/>
      <c r="L16" s="2066"/>
      <c r="M16" s="2066"/>
      <c r="N16" s="2085" t="s">
        <v>3290</v>
      </c>
      <c r="O16" s="2085"/>
      <c r="P16" s="2085"/>
      <c r="Q16" s="2085"/>
      <c r="R16" s="2085"/>
      <c r="S16" s="2085"/>
      <c r="T16" s="2085"/>
      <c r="U16" s="2085"/>
      <c r="V16" s="2085"/>
      <c r="W16" s="2085"/>
      <c r="X16" s="2085"/>
      <c r="Y16" s="2085"/>
      <c r="Z16" s="2085"/>
      <c r="AA16" s="2085"/>
      <c r="AB16" s="2085"/>
      <c r="AC16" s="2085"/>
      <c r="AD16" s="2085"/>
      <c r="AE16" s="2085"/>
      <c r="AF16" s="2085"/>
      <c r="AG16" s="2085"/>
      <c r="AH16" s="2085"/>
      <c r="AI16" s="2085"/>
      <c r="AJ16" s="2085"/>
      <c r="AK16" s="2085"/>
    </row>
    <row r="17" spans="1:38" ht="21" customHeight="1">
      <c r="A17" s="594" t="s">
        <v>3289</v>
      </c>
      <c r="D17" s="600"/>
      <c r="E17" s="600"/>
      <c r="F17" s="600"/>
      <c r="G17" s="600"/>
      <c r="H17" s="600"/>
      <c r="I17" s="600"/>
      <c r="J17" s="600"/>
      <c r="K17" s="600"/>
      <c r="L17" s="600"/>
      <c r="M17" s="600"/>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row>
    <row r="18" spans="1:38" ht="21" customHeight="1">
      <c r="D18" s="600"/>
      <c r="E18" s="600"/>
      <c r="F18" s="600"/>
      <c r="G18" s="600"/>
      <c r="H18" s="600"/>
      <c r="I18" s="600"/>
      <c r="J18" s="600"/>
      <c r="K18" s="600"/>
      <c r="L18" s="600"/>
      <c r="M18" s="600"/>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row>
    <row r="19" spans="1:38" ht="69.900000000000006" customHeight="1">
      <c r="A19" s="2086" t="s">
        <v>3288</v>
      </c>
      <c r="B19" s="2086"/>
      <c r="C19" s="2086"/>
      <c r="D19" s="2086"/>
      <c r="E19" s="2086"/>
      <c r="F19" s="2086"/>
      <c r="G19" s="2086"/>
      <c r="H19" s="2086"/>
      <c r="I19" s="2086"/>
      <c r="J19" s="2086"/>
      <c r="K19" s="2086"/>
      <c r="L19" s="2086"/>
      <c r="M19" s="2086"/>
      <c r="N19" s="2086"/>
      <c r="O19" s="2086"/>
      <c r="P19" s="2086"/>
      <c r="Q19" s="2086"/>
      <c r="R19" s="2086"/>
      <c r="S19" s="2086"/>
      <c r="T19" s="2086"/>
      <c r="U19" s="2086"/>
      <c r="V19" s="2086"/>
      <c r="W19" s="2086"/>
      <c r="X19" s="2086"/>
      <c r="Y19" s="2086"/>
      <c r="Z19" s="2086"/>
      <c r="AA19" s="2086"/>
      <c r="AB19" s="2086"/>
      <c r="AC19" s="2086"/>
      <c r="AD19" s="2086"/>
      <c r="AE19" s="2086"/>
      <c r="AF19" s="2086"/>
      <c r="AG19" s="2086"/>
      <c r="AH19" s="2086"/>
      <c r="AI19" s="2086"/>
      <c r="AJ19" s="2086"/>
      <c r="AK19" s="601"/>
      <c r="AL19" s="601"/>
    </row>
    <row r="20" spans="1:38" ht="18.899999999999999" customHeight="1">
      <c r="A20" s="602"/>
      <c r="B20" s="602"/>
      <c r="C20" s="602"/>
      <c r="D20" s="602"/>
      <c r="E20" s="602"/>
      <c r="F20" s="602"/>
      <c r="G20" s="602"/>
      <c r="H20" s="602"/>
      <c r="I20" s="602"/>
      <c r="J20" s="602"/>
      <c r="K20" s="602"/>
      <c r="L20" s="602"/>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1"/>
      <c r="AL20" s="601"/>
    </row>
    <row r="21" spans="1:38" ht="18.899999999999999" customHeight="1">
      <c r="A21" s="2084" t="s">
        <v>3287</v>
      </c>
      <c r="B21" s="2084"/>
      <c r="C21" s="2084"/>
      <c r="D21" s="2084"/>
      <c r="E21" s="2084"/>
      <c r="F21" s="2084"/>
      <c r="G21" s="2084"/>
      <c r="H21" s="2084"/>
      <c r="I21" s="2084"/>
      <c r="J21" s="2084"/>
      <c r="K21" s="2084"/>
      <c r="L21" s="2084"/>
      <c r="M21" s="2084"/>
      <c r="N21" s="2084"/>
      <c r="O21" s="2084"/>
      <c r="P21" s="2084"/>
      <c r="Q21" s="2084"/>
      <c r="R21" s="2084"/>
      <c r="S21" s="2084"/>
      <c r="T21" s="2084"/>
      <c r="U21" s="2084"/>
      <c r="V21" s="2084"/>
      <c r="W21" s="2084"/>
      <c r="X21" s="2084"/>
      <c r="Y21" s="2084"/>
      <c r="Z21" s="2084"/>
      <c r="AA21" s="2084"/>
      <c r="AB21" s="2084"/>
      <c r="AC21" s="2084"/>
      <c r="AD21" s="2084"/>
      <c r="AE21" s="2084"/>
      <c r="AF21" s="2084"/>
      <c r="AG21" s="2084"/>
      <c r="AH21" s="2084"/>
      <c r="AI21" s="2084"/>
      <c r="AJ21" s="2084"/>
      <c r="AK21" s="2084"/>
      <c r="AL21" s="601"/>
    </row>
    <row r="22" spans="1:38" ht="18.899999999999999" customHeight="1">
      <c r="D22" s="600"/>
      <c r="E22" s="600"/>
      <c r="F22" s="600"/>
      <c r="G22" s="600"/>
      <c r="H22" s="600"/>
      <c r="I22" s="600"/>
      <c r="J22" s="600"/>
      <c r="K22" s="600"/>
      <c r="L22" s="600"/>
      <c r="M22" s="600"/>
      <c r="N22" s="600"/>
      <c r="O22" s="600"/>
      <c r="P22" s="600"/>
      <c r="Q22" s="600"/>
      <c r="R22" s="599"/>
      <c r="S22" s="599"/>
      <c r="T22" s="599"/>
      <c r="U22" s="599"/>
      <c r="V22" s="599"/>
      <c r="W22" s="599"/>
      <c r="X22" s="599"/>
      <c r="Y22" s="599"/>
      <c r="Z22" s="599"/>
      <c r="AA22" s="599"/>
      <c r="AB22" s="599"/>
      <c r="AC22" s="599"/>
      <c r="AD22" s="599"/>
      <c r="AE22" s="599"/>
      <c r="AF22" s="599"/>
      <c r="AG22" s="599"/>
      <c r="AH22" s="599"/>
      <c r="AI22" s="599"/>
      <c r="AJ22" s="599"/>
      <c r="AK22" s="599"/>
      <c r="AL22" s="599"/>
    </row>
    <row r="23" spans="1:38" ht="18.899999999999999" customHeight="1">
      <c r="B23" s="594" t="s">
        <v>3286</v>
      </c>
    </row>
    <row r="24" spans="1:38" ht="18.899999999999999" customHeight="1">
      <c r="C24" s="2082" t="str">
        <f>cst_wsecoteki_BUILD__address</f>
        <v/>
      </c>
      <c r="D24" s="2082"/>
      <c r="E24" s="2082"/>
      <c r="F24" s="2082"/>
      <c r="G24" s="2082"/>
      <c r="H24" s="2082"/>
      <c r="I24" s="2082"/>
      <c r="J24" s="2082"/>
      <c r="K24" s="2082"/>
      <c r="L24" s="2082"/>
      <c r="M24" s="2082"/>
      <c r="N24" s="2082"/>
      <c r="O24" s="2082"/>
      <c r="P24" s="2082"/>
      <c r="Q24" s="2082"/>
      <c r="R24" s="2082"/>
      <c r="S24" s="2082"/>
      <c r="T24" s="2082"/>
      <c r="U24" s="2082"/>
      <c r="V24" s="2082"/>
      <c r="W24" s="2082"/>
      <c r="X24" s="2082"/>
      <c r="Y24" s="2082"/>
      <c r="Z24" s="2082"/>
      <c r="AA24" s="2082"/>
      <c r="AB24" s="2082"/>
      <c r="AC24" s="2082"/>
      <c r="AD24" s="2082"/>
      <c r="AE24" s="2082"/>
      <c r="AF24" s="2082"/>
      <c r="AG24" s="2082"/>
      <c r="AH24" s="2082"/>
      <c r="AI24" s="2082"/>
    </row>
    <row r="25" spans="1:38" ht="18.899999999999999" customHeight="1">
      <c r="C25" s="2082"/>
      <c r="D25" s="2082"/>
      <c r="E25" s="2082"/>
      <c r="F25" s="2082"/>
      <c r="G25" s="2082"/>
      <c r="H25" s="2082"/>
      <c r="I25" s="2082"/>
      <c r="J25" s="2082"/>
      <c r="K25" s="2082"/>
      <c r="L25" s="2082"/>
      <c r="M25" s="2082"/>
      <c r="N25" s="2082"/>
      <c r="O25" s="2082"/>
      <c r="P25" s="2082"/>
      <c r="Q25" s="2082"/>
      <c r="R25" s="2082"/>
      <c r="S25" s="2082"/>
      <c r="T25" s="2082"/>
      <c r="U25" s="2082"/>
      <c r="V25" s="2082"/>
      <c r="W25" s="2082"/>
      <c r="X25" s="2082"/>
      <c r="Y25" s="2082"/>
      <c r="Z25" s="2082"/>
      <c r="AA25" s="2082"/>
      <c r="AB25" s="2082"/>
      <c r="AC25" s="2082"/>
      <c r="AD25" s="2082"/>
      <c r="AE25" s="2082"/>
      <c r="AF25" s="2082"/>
      <c r="AG25" s="2082"/>
      <c r="AH25" s="2082"/>
      <c r="AI25" s="2082"/>
    </row>
    <row r="26" spans="1:38" ht="18.899999999999999" customHeight="1">
      <c r="B26" s="594" t="s">
        <v>3285</v>
      </c>
    </row>
    <row r="27" spans="1:38" ht="18.899999999999999" customHeight="1">
      <c r="C27" s="2082" t="str">
        <f>cst_wsecoteki_BUILD_NAME</f>
        <v/>
      </c>
      <c r="D27" s="2082"/>
      <c r="E27" s="2082"/>
      <c r="F27" s="2082"/>
      <c r="G27" s="2082"/>
      <c r="H27" s="2082"/>
      <c r="I27" s="2082"/>
      <c r="J27" s="2082"/>
      <c r="K27" s="2082"/>
      <c r="L27" s="2082"/>
      <c r="M27" s="2082"/>
      <c r="N27" s="2082"/>
      <c r="O27" s="2082"/>
      <c r="P27" s="2082"/>
      <c r="Q27" s="2082"/>
      <c r="R27" s="2082"/>
      <c r="S27" s="2082"/>
      <c r="T27" s="2082"/>
      <c r="U27" s="2082"/>
      <c r="V27" s="2082"/>
      <c r="W27" s="2082"/>
      <c r="X27" s="2082"/>
      <c r="Y27" s="2082"/>
      <c r="Z27" s="2082"/>
      <c r="AA27" s="2082"/>
      <c r="AB27" s="2082"/>
      <c r="AC27" s="2082"/>
      <c r="AD27" s="2082"/>
      <c r="AE27" s="2082"/>
      <c r="AF27" s="2082"/>
      <c r="AG27" s="2082"/>
      <c r="AH27" s="2082"/>
      <c r="AI27" s="2082"/>
    </row>
    <row r="28" spans="1:38" ht="18.899999999999999" customHeight="1">
      <c r="C28" s="2082"/>
      <c r="D28" s="2082"/>
      <c r="E28" s="2082"/>
      <c r="F28" s="2082"/>
      <c r="G28" s="2082"/>
      <c r="H28" s="2082"/>
      <c r="I28" s="2082"/>
      <c r="J28" s="2082"/>
      <c r="K28" s="2082"/>
      <c r="L28" s="2082"/>
      <c r="M28" s="2082"/>
      <c r="N28" s="2082"/>
      <c r="O28" s="2082"/>
      <c r="P28" s="2082"/>
      <c r="Q28" s="2082"/>
      <c r="R28" s="2082"/>
      <c r="S28" s="2082"/>
      <c r="T28" s="2082"/>
      <c r="U28" s="2082"/>
      <c r="V28" s="2082"/>
      <c r="W28" s="2082"/>
      <c r="X28" s="2082"/>
      <c r="Y28" s="2082"/>
      <c r="Z28" s="2082"/>
      <c r="AA28" s="2082"/>
      <c r="AB28" s="2082"/>
      <c r="AC28" s="2082"/>
      <c r="AD28" s="2082"/>
      <c r="AE28" s="2082"/>
      <c r="AF28" s="2082"/>
      <c r="AG28" s="2082"/>
      <c r="AH28" s="2082"/>
      <c r="AI28" s="2082"/>
    </row>
    <row r="29" spans="1:38" ht="18.899999999999999" customHeight="1">
      <c r="B29" s="594" t="s">
        <v>3284</v>
      </c>
    </row>
    <row r="30" spans="1:38" ht="18.899999999999999" customHeight="1">
      <c r="C30" s="753"/>
      <c r="D30" s="595" t="s">
        <v>3283</v>
      </c>
      <c r="E30" s="595"/>
      <c r="Q30" s="753"/>
      <c r="R30" s="595" t="s">
        <v>3282</v>
      </c>
      <c r="S30" s="595"/>
      <c r="T30" s="595"/>
      <c r="X30" s="596"/>
      <c r="Y30" s="597"/>
      <c r="Z30" s="597"/>
      <c r="AA30" s="596"/>
      <c r="AB30" s="596"/>
      <c r="AC30" s="596"/>
      <c r="AD30" s="596"/>
      <c r="AE30" s="596"/>
      <c r="AF30" s="596"/>
      <c r="AG30" s="596"/>
    </row>
    <row r="31" spans="1:38" ht="18.899999999999999" customHeight="1">
      <c r="C31" s="753"/>
      <c r="D31" s="595" t="s">
        <v>3281</v>
      </c>
      <c r="E31" s="595"/>
      <c r="Q31" s="753"/>
      <c r="R31" s="595" t="s">
        <v>3280</v>
      </c>
      <c r="S31" s="595"/>
      <c r="T31" s="595"/>
      <c r="X31" s="596"/>
      <c r="Y31" s="597"/>
      <c r="Z31" s="597"/>
      <c r="AA31" s="597"/>
      <c r="AB31" s="597"/>
      <c r="AC31" s="597"/>
      <c r="AD31" s="596"/>
      <c r="AE31" s="596"/>
      <c r="AF31" s="596"/>
      <c r="AG31" s="596"/>
    </row>
    <row r="32" spans="1:38" ht="18.899999999999999" customHeight="1">
      <c r="C32" s="753"/>
      <c r="D32" s="595" t="s">
        <v>3279</v>
      </c>
      <c r="E32" s="595"/>
      <c r="F32" s="595"/>
      <c r="Q32" s="753"/>
      <c r="R32" s="595" t="s">
        <v>3278</v>
      </c>
      <c r="S32" s="595"/>
      <c r="T32" s="595"/>
      <c r="V32" s="598"/>
      <c r="W32" s="596"/>
      <c r="X32" s="596"/>
      <c r="Y32" s="597"/>
      <c r="Z32" s="597"/>
      <c r="AA32" s="597"/>
      <c r="AB32" s="597"/>
      <c r="AC32" s="597"/>
      <c r="AD32" s="597"/>
      <c r="AE32" s="597"/>
      <c r="AF32" s="596"/>
      <c r="AG32" s="596"/>
    </row>
    <row r="33" spans="3:33" ht="18.899999999999999" customHeight="1">
      <c r="I33" s="595"/>
      <c r="J33" s="595"/>
      <c r="K33" s="595"/>
      <c r="L33" s="595"/>
      <c r="M33" s="595"/>
      <c r="N33" s="595"/>
      <c r="O33" s="595"/>
      <c r="P33" s="595"/>
      <c r="Q33" s="595"/>
      <c r="R33" s="595"/>
      <c r="S33" s="595"/>
      <c r="T33" s="595"/>
      <c r="V33" s="596"/>
      <c r="W33" s="596"/>
      <c r="X33" s="596"/>
      <c r="Y33" s="597"/>
      <c r="Z33" s="597"/>
      <c r="AA33" s="597"/>
      <c r="AB33" s="597"/>
      <c r="AC33" s="597"/>
      <c r="AD33" s="597"/>
      <c r="AE33" s="597"/>
      <c r="AF33" s="596"/>
      <c r="AG33" s="596"/>
    </row>
    <row r="34" spans="3:33" ht="18.899999999999999" customHeight="1">
      <c r="C34" s="595"/>
    </row>
    <row r="35" spans="3:33" ht="18.899999999999999" customHeight="1">
      <c r="C35" s="595"/>
      <c r="D35" s="595"/>
      <c r="E35" s="595"/>
    </row>
    <row r="36" spans="3:33" ht="18.899999999999999" customHeight="1">
      <c r="C36" s="595"/>
      <c r="D36" s="595"/>
      <c r="E36" s="595"/>
      <c r="F36" s="595"/>
      <c r="G36" s="595"/>
      <c r="H36" s="595"/>
    </row>
    <row r="38" spans="3:33" ht="18.899999999999999" customHeight="1">
      <c r="C38" s="595"/>
      <c r="D38" s="595"/>
      <c r="X38" s="595"/>
      <c r="Y38" s="595"/>
      <c r="Z38" s="595"/>
    </row>
    <row r="39" spans="3:33" ht="18.899999999999999" customHeight="1">
      <c r="C39" s="595"/>
      <c r="D39" s="595"/>
      <c r="Y39" s="595"/>
      <c r="Z39" s="595"/>
    </row>
    <row r="40" spans="3:33" ht="18.899999999999999" customHeight="1">
      <c r="Y40" s="595"/>
      <c r="Z40" s="595"/>
    </row>
    <row r="41" spans="3:33" ht="18.899999999999999" customHeight="1">
      <c r="D41" s="595"/>
    </row>
    <row r="42" spans="3:33" ht="18.899999999999999" customHeight="1">
      <c r="E42" s="595"/>
      <c r="F42" s="595"/>
      <c r="G42" s="595"/>
    </row>
    <row r="43" spans="3:33" ht="18.899999999999999" customHeight="1">
      <c r="C43" s="595"/>
      <c r="D43" s="595"/>
      <c r="E43" s="595"/>
      <c r="F43" s="595"/>
      <c r="G43" s="595"/>
      <c r="H43" s="595"/>
      <c r="I43" s="595"/>
      <c r="J43" s="595"/>
      <c r="K43" s="595"/>
      <c r="L43" s="595"/>
      <c r="M43" s="595"/>
      <c r="N43" s="595"/>
      <c r="O43" s="595"/>
      <c r="P43" s="595"/>
      <c r="Q43" s="595"/>
      <c r="R43" s="595"/>
      <c r="S43" s="595"/>
      <c r="T43" s="595"/>
    </row>
  </sheetData>
  <mergeCells count="13">
    <mergeCell ref="C27:AI28"/>
    <mergeCell ref="A21:AK21"/>
    <mergeCell ref="N8:P8"/>
    <mergeCell ref="N9:P9"/>
    <mergeCell ref="T9:AI9"/>
    <mergeCell ref="C24:AI25"/>
    <mergeCell ref="A4:AK4"/>
    <mergeCell ref="Z2:AJ2"/>
    <mergeCell ref="A19:AJ19"/>
    <mergeCell ref="N16:AK16"/>
    <mergeCell ref="D14:AI14"/>
    <mergeCell ref="A16:M16"/>
    <mergeCell ref="T10:AI12"/>
  </mergeCells>
  <phoneticPr fontId="122"/>
  <dataValidations disablePrompts="1" count="5">
    <dataValidation type="list" allowBlank="1" showInputMessage="1" showErrorMessage="1" sqref="C34:C36 C38:C39 C43 C65563:C65566 C65570:C65571 C65573:C65574 C65578 C131099:C131102 C131106:C131107 C131109:C131110 C131114 C196635:C196638 C196642:C196643 C196645:C196646 C196650 C262171:C262174 C262178:C262179 C262181:C262182 C262186 C327707:C327710 C327714:C327715 C327717:C327718 C327722 C393243:C393246 C393250:C393251 C393253:C393254 C393258 C458779:C458782 C458786:C458787 C458789:C458790 C458794 C524315:C524318 C524322:C524323 C524325:C524326 C524330 C589851:C589854 C589858:C589859 C589861:C589862 C589866 C655387:C655390 C655394:C655395 C655397:C655398 C655402 C720923:C720926 C720930:C720931 C720933:C720934 C720938 C786459:C786462 C786466:C786467 C786469:C786470 C786474 C851995:C851998 C852002:C852003 C852005:C852006 C852010 C917531:C917534 C917538:C917539 C917541:C917542 C917546 C983067:C983070 C983074:C983075 C983077:C983078 C983082 D41 D65576 D131112 D196648 D262184 D327720 D393256 D458792 D524328 D589864 D655400 D720936 D786472 D852008 D917544 D983080 X38 X65573 X131109 X196645 X262181 X327717 X393253 X458789 X524325 X589861 X655397 X720933 X786469 X852005 X917541 X983077 Y30:Y33 Y38:Y40 Y65563:Y65566 Y65573:Y65575 Y131099:Y131102 Y131109:Y131111 Y196635:Y196638 Y196645:Y196647 Y262171:Y262174 Y262181:Y262183 Y327707:Y327710 Y327717:Y327719 Y393243:Y393246 Y393253:Y393255 Y458779:Y458782 Y458789:Y458791 Y524315:Y524318 Y524325:Y524327 Y589851:Y589854 Y589861:Y589863 Y655387:Y655390 Y655397:Y655399 Y720923:Y720926 Y720933:Y720935 Y786459:Y786462 Y786469:Y786471 Y851995:Y851998 Y852005:Y852007 Y917531:Y917534 Y917541:Y917543 Y983067:Y983070 Y983077:Y983079 IY30:IY33 IY35:IY36 IY38:IY39 IY43 IY65563:IY65566 IY65570:IY65571 IY65573:IY65574 IY65578 IY131099:IY131102 IY131106:IY131107 IY131109:IY131110 IY131114 IY196635:IY196638 IY196642:IY196643 IY196645:IY196646 IY196650 IY262171:IY262174 IY262178:IY262179 IY262181:IY262182 IY262186 IY327707:IY327710 IY327714:IY327715 IY327717:IY327718 IY327722 IY393243:IY393246 IY393250:IY393251 IY393253:IY393254 IY393258 IY458779:IY458782 IY458786:IY458787 IY458789:IY458790 IY458794 IY524315:IY524318 IY524322:IY524323 IY524325:IY524326 IY524330 IY589851:IY589854 IY589858:IY589859 IY589861:IY589862 IY589866 IY655387:IY655390 IY655394:IY655395 IY655397:IY655398 IY655402 IY720923:IY720926 IY720930:IY720931 IY720933:IY720934 IY720938 IY786459:IY786462 IY786466:IY786467 IY786469:IY786470 IY786474 IY851995:IY851998 IY852002:IY852003 IY852005:IY852006 IY852010 IY917531:IY917534 IY917538:IY917539 IY917541:IY917542 IY917546 IY983067:IY983070 IY983074:IY983075 IY983077:IY983078 IY983082 IZ41 IZ65576 IZ131112 IZ196648 IZ262184 IZ327720 IZ393256 IZ458792 IZ524328 IZ589864 IZ655400 IZ720936 IZ786472 IZ852008 IZ917544 IZ983080 JT38 JT65573 JT131109 JT196645 JT262181 JT327717 JT393253 JT458789 JT524325 JT589861 JT655397 JT720933 JT786469 JT852005 JT917541 JT983077 JU30:JU33 JU38:JU40 JU65563:JU65566 JU65573:JU65575 JU131099:JU131102 JU131109:JU131111 JU196635:JU196638 JU196645:JU196647 JU262171:JU262174 JU262181:JU262183 JU327707:JU327710 JU327717:JU327719 JU393243:JU393246 JU393253:JU393255 JU458779:JU458782 JU458789:JU458791 JU524315:JU524318 JU524325:JU524327 JU589851:JU589854 JU589861:JU589863 JU655387:JU655390 JU655397:JU655399 JU720923:JU720926 JU720933:JU720935 JU786459:JU786462 JU786469:JU786471 JU851995:JU851998 JU852005:JU852007 JU917531:JU917534 JU917541:JU917543 JU983067:JU983070 JU983077:JU983079 SU30:SU33 SU35:SU36 SU38:SU39 SU43 SU65563:SU65566 SU65570:SU65571 SU65573:SU65574 SU65578 SU131099:SU131102 SU131106:SU131107 SU131109:SU131110 SU131114 SU196635:SU196638 SU196642:SU196643 SU196645:SU196646 SU196650 SU262171:SU262174 SU262178:SU262179 SU262181:SU262182 SU262186 SU327707:SU327710 SU327714:SU327715 SU327717:SU327718 SU327722 SU393243:SU393246 SU393250:SU393251 SU393253:SU393254 SU393258 SU458779:SU458782 SU458786:SU458787 SU458789:SU458790 SU458794 SU524315:SU524318 SU524322:SU524323 SU524325:SU524326 SU524330 SU589851:SU589854 SU589858:SU589859 SU589861:SU589862 SU589866 SU655387:SU655390 SU655394:SU655395 SU655397:SU655398 SU655402 SU720923:SU720926 SU720930:SU720931 SU720933:SU720934 SU720938 SU786459:SU786462 SU786466:SU786467 SU786469:SU786470 SU786474 SU851995:SU851998 SU852002:SU852003 SU852005:SU852006 SU852010 SU917531:SU917534 SU917538:SU917539 SU917541:SU917542 SU917546 SU983067:SU983070 SU983074:SU983075 SU983077:SU983078 SU983082 SV41 SV65576 SV131112 SV196648 SV262184 SV327720 SV393256 SV458792 SV524328 SV589864 SV655400 SV720936 SV786472 SV852008 SV917544 SV983080 TP38 TP65573 TP131109 TP196645 TP262181 TP327717 TP393253 TP458789 TP524325 TP589861 TP655397 TP720933 TP786469 TP852005 TP917541 TP983077 TQ30:TQ33 TQ38:TQ40 TQ65563:TQ65566 TQ65573:TQ65575 TQ131099:TQ131102 TQ131109:TQ131111 TQ196635:TQ196638 TQ196645:TQ196647 TQ262171:TQ262174 TQ262181:TQ262183 TQ327707:TQ327710 TQ327717:TQ327719 TQ393243:TQ393246 TQ393253:TQ393255 TQ458779:TQ458782 TQ458789:TQ458791 TQ524315:TQ524318 TQ524325:TQ524327 TQ589851:TQ589854 TQ589861:TQ589863 TQ655387:TQ655390 TQ655397:TQ655399 TQ720923:TQ720926 TQ720933:TQ720935 TQ786459:TQ786462 TQ786469:TQ786471 TQ851995:TQ851998 TQ852005:TQ852007 TQ917531:TQ917534 TQ917541:TQ917543 TQ983067:TQ983070 TQ983077:TQ983079 ACQ30:ACQ33 ACQ35:ACQ36 ACQ38:ACQ39 ACQ43 ACQ65563:ACQ65566 ACQ65570:ACQ65571 ACQ65573:ACQ65574 ACQ65578 ACQ131099:ACQ131102 ACQ131106:ACQ131107 ACQ131109:ACQ131110 ACQ131114 ACQ196635:ACQ196638 ACQ196642:ACQ196643 ACQ196645:ACQ196646 ACQ196650 ACQ262171:ACQ262174 ACQ262178:ACQ262179 ACQ262181:ACQ262182 ACQ262186 ACQ327707:ACQ327710 ACQ327714:ACQ327715 ACQ327717:ACQ327718 ACQ327722 ACQ393243:ACQ393246 ACQ393250:ACQ393251 ACQ393253:ACQ393254 ACQ393258 ACQ458779:ACQ458782 ACQ458786:ACQ458787 ACQ458789:ACQ458790 ACQ458794 ACQ524315:ACQ524318 ACQ524322:ACQ524323 ACQ524325:ACQ524326 ACQ524330 ACQ589851:ACQ589854 ACQ589858:ACQ589859 ACQ589861:ACQ589862 ACQ589866 ACQ655387:ACQ655390 ACQ655394:ACQ655395 ACQ655397:ACQ655398 ACQ655402 ACQ720923:ACQ720926 ACQ720930:ACQ720931 ACQ720933:ACQ720934 ACQ720938 ACQ786459:ACQ786462 ACQ786466:ACQ786467 ACQ786469:ACQ786470 ACQ786474 ACQ851995:ACQ851998 ACQ852002:ACQ852003 ACQ852005:ACQ852006 ACQ852010 ACQ917531:ACQ917534 ACQ917538:ACQ917539 ACQ917541:ACQ917542 ACQ917546 ACQ983067:ACQ983070 ACQ983074:ACQ983075 ACQ983077:ACQ983078 ACQ983082 ACR41 ACR65576 ACR131112 ACR196648 ACR262184 ACR327720 ACR393256 ACR458792 ACR524328 ACR589864 ACR655400 ACR720936 ACR786472 ACR852008 ACR917544 ACR983080 ADL38 ADL65573 ADL131109 ADL196645 ADL262181 ADL327717 ADL393253 ADL458789 ADL524325 ADL589861 ADL655397 ADL720933 ADL786469 ADL852005 ADL917541 ADL983077 ADM30:ADM33 ADM38:ADM40 ADM65563:ADM65566 ADM65573:ADM65575 ADM131099:ADM131102 ADM131109:ADM131111 ADM196635:ADM196638 ADM196645:ADM196647 ADM262171:ADM262174 ADM262181:ADM262183 ADM327707:ADM327710 ADM327717:ADM327719 ADM393243:ADM393246 ADM393253:ADM393255 ADM458779:ADM458782 ADM458789:ADM458791 ADM524315:ADM524318 ADM524325:ADM524327 ADM589851:ADM589854 ADM589861:ADM589863 ADM655387:ADM655390 ADM655397:ADM655399 ADM720923:ADM720926 ADM720933:ADM720935 ADM786459:ADM786462 ADM786469:ADM786471 ADM851995:ADM851998 ADM852005:ADM852007 ADM917531:ADM917534 ADM917541:ADM917543 ADM983067:ADM983070 ADM983077:ADM983079 AMM30:AMM33 AMM35:AMM36 AMM38:AMM39 AMM43 AMM65563:AMM65566 AMM65570:AMM65571 AMM65573:AMM65574 AMM65578 AMM131099:AMM131102 AMM131106:AMM131107 AMM131109:AMM131110 AMM131114 AMM196635:AMM196638 AMM196642:AMM196643 AMM196645:AMM196646 AMM196650 AMM262171:AMM262174 AMM262178:AMM262179 AMM262181:AMM262182 AMM262186 AMM327707:AMM327710 AMM327714:AMM327715 AMM327717:AMM327718 AMM327722 AMM393243:AMM393246 AMM393250:AMM393251 AMM393253:AMM393254 AMM393258 AMM458779:AMM458782 AMM458786:AMM458787 AMM458789:AMM458790 AMM458794 AMM524315:AMM524318 AMM524322:AMM524323 AMM524325:AMM524326 AMM524330 AMM589851:AMM589854 AMM589858:AMM589859 AMM589861:AMM589862 AMM589866 AMM655387:AMM655390 AMM655394:AMM655395 AMM655397:AMM655398 AMM655402 AMM720923:AMM720926 AMM720930:AMM720931 AMM720933:AMM720934 AMM720938 AMM786459:AMM786462 AMM786466:AMM786467 AMM786469:AMM786470 AMM786474 AMM851995:AMM851998 AMM852002:AMM852003 AMM852005:AMM852006 AMM852010 AMM917531:AMM917534 AMM917538:AMM917539 AMM917541:AMM917542 AMM917546 AMM983067:AMM983070 AMM983074:AMM983075 AMM983077:AMM983078 AMM983082 AMN41 AMN65576 AMN131112 AMN196648 AMN262184 AMN327720 AMN393256 AMN458792 AMN524328 AMN589864 AMN655400 AMN720936 AMN786472 AMN852008 AMN917544 AMN983080 ANH38 ANH65573 ANH131109 ANH196645 ANH262181 ANH327717 ANH393253 ANH458789 ANH524325 ANH589861 ANH655397 ANH720933 ANH786469 ANH852005 ANH917541 ANH983077 ANI30:ANI33 ANI38:ANI40 ANI65563:ANI65566 ANI65573:ANI65575 ANI131099:ANI131102 ANI131109:ANI131111 ANI196635:ANI196638 ANI196645:ANI196647 ANI262171:ANI262174 ANI262181:ANI262183 ANI327707:ANI327710 ANI327717:ANI327719 ANI393243:ANI393246 ANI393253:ANI393255 ANI458779:ANI458782 ANI458789:ANI458791 ANI524315:ANI524318 ANI524325:ANI524327 ANI589851:ANI589854 ANI589861:ANI589863 ANI655387:ANI655390 ANI655397:ANI655399 ANI720923:ANI720926 ANI720933:ANI720935 ANI786459:ANI786462 ANI786469:ANI786471 ANI851995:ANI851998 ANI852005:ANI852007 ANI917531:ANI917534 ANI917541:ANI917543 ANI983067:ANI983070 ANI983077:ANI983079 AWI30:AWI33 AWI35:AWI36 AWI38:AWI39 AWI43 AWI65563:AWI65566 AWI65570:AWI65571 AWI65573:AWI65574 AWI65578 AWI131099:AWI131102 AWI131106:AWI131107 AWI131109:AWI131110 AWI131114 AWI196635:AWI196638 AWI196642:AWI196643 AWI196645:AWI196646 AWI196650 AWI262171:AWI262174 AWI262178:AWI262179 AWI262181:AWI262182 AWI262186 AWI327707:AWI327710 AWI327714:AWI327715 AWI327717:AWI327718 AWI327722 AWI393243:AWI393246 AWI393250:AWI393251 AWI393253:AWI393254 AWI393258 AWI458779:AWI458782 AWI458786:AWI458787 AWI458789:AWI458790 AWI458794 AWI524315:AWI524318 AWI524322:AWI524323 AWI524325:AWI524326 AWI524330 AWI589851:AWI589854 AWI589858:AWI589859 AWI589861:AWI589862 AWI589866 AWI655387:AWI655390 AWI655394:AWI655395 AWI655397:AWI655398 AWI655402 AWI720923:AWI720926 AWI720930:AWI720931 AWI720933:AWI720934 AWI720938 AWI786459:AWI786462 AWI786466:AWI786467 AWI786469:AWI786470 AWI786474 AWI851995:AWI851998 AWI852002:AWI852003 AWI852005:AWI852006 AWI852010 AWI917531:AWI917534 AWI917538:AWI917539 AWI917541:AWI917542 AWI917546 AWI983067:AWI983070 AWI983074:AWI983075 AWI983077:AWI983078 AWI983082 AWJ41 AWJ65576 AWJ131112 AWJ196648 AWJ262184 AWJ327720 AWJ393256 AWJ458792 AWJ524328 AWJ589864 AWJ655400 AWJ720936 AWJ786472 AWJ852008 AWJ917544 AWJ983080 AXD38 AXD65573 AXD131109 AXD196645 AXD262181 AXD327717 AXD393253 AXD458789 AXD524325 AXD589861 AXD655397 AXD720933 AXD786469 AXD852005 AXD917541 AXD983077 AXE30:AXE33 AXE38:AXE40 AXE65563:AXE65566 AXE65573:AXE65575 AXE131099:AXE131102 AXE131109:AXE131111 AXE196635:AXE196638 AXE196645:AXE196647 AXE262171:AXE262174 AXE262181:AXE262183 AXE327707:AXE327710 AXE327717:AXE327719 AXE393243:AXE393246 AXE393253:AXE393255 AXE458779:AXE458782 AXE458789:AXE458791 AXE524315:AXE524318 AXE524325:AXE524327 AXE589851:AXE589854 AXE589861:AXE589863 AXE655387:AXE655390 AXE655397:AXE655399 AXE720923:AXE720926 AXE720933:AXE720935 AXE786459:AXE786462 AXE786469:AXE786471 AXE851995:AXE851998 AXE852005:AXE852007 AXE917531:AXE917534 AXE917541:AXE917543 AXE983067:AXE983070 AXE983077:AXE983079 BGE30:BGE33 BGE35:BGE36 BGE38:BGE39 BGE43 BGE65563:BGE65566 BGE65570:BGE65571 BGE65573:BGE65574 BGE65578 BGE131099:BGE131102 BGE131106:BGE131107 BGE131109:BGE131110 BGE131114 BGE196635:BGE196638 BGE196642:BGE196643 BGE196645:BGE196646 BGE196650 BGE262171:BGE262174 BGE262178:BGE262179 BGE262181:BGE262182 BGE262186 BGE327707:BGE327710 BGE327714:BGE327715 BGE327717:BGE327718 BGE327722 BGE393243:BGE393246 BGE393250:BGE393251 BGE393253:BGE393254 BGE393258 BGE458779:BGE458782 BGE458786:BGE458787 BGE458789:BGE458790 BGE458794 BGE524315:BGE524318 BGE524322:BGE524323 BGE524325:BGE524326 BGE524330 BGE589851:BGE589854 BGE589858:BGE589859 BGE589861:BGE589862 BGE589866 BGE655387:BGE655390 BGE655394:BGE655395 BGE655397:BGE655398 BGE655402 BGE720923:BGE720926 BGE720930:BGE720931 BGE720933:BGE720934 BGE720938 BGE786459:BGE786462 BGE786466:BGE786467 BGE786469:BGE786470 BGE786474 BGE851995:BGE851998 BGE852002:BGE852003 BGE852005:BGE852006 BGE852010 BGE917531:BGE917534 BGE917538:BGE917539 BGE917541:BGE917542 BGE917546 BGE983067:BGE983070 BGE983074:BGE983075 BGE983077:BGE983078 BGE983082 BGF41 BGF65576 BGF131112 BGF196648 BGF262184 BGF327720 BGF393256 BGF458792 BGF524328 BGF589864 BGF655400 BGF720936 BGF786472 BGF852008 BGF917544 BGF983080 BGZ38 BGZ65573 BGZ131109 BGZ196645 BGZ262181 BGZ327717 BGZ393253 BGZ458789 BGZ524325 BGZ589861 BGZ655397 BGZ720933 BGZ786469 BGZ852005 BGZ917541 BGZ983077 BHA30:BHA33 BHA38:BHA40 BHA65563:BHA65566 BHA65573:BHA65575 BHA131099:BHA131102 BHA131109:BHA131111 BHA196635:BHA196638 BHA196645:BHA196647 BHA262171:BHA262174 BHA262181:BHA262183 BHA327707:BHA327710 BHA327717:BHA327719 BHA393243:BHA393246 BHA393253:BHA393255 BHA458779:BHA458782 BHA458789:BHA458791 BHA524315:BHA524318 BHA524325:BHA524327 BHA589851:BHA589854 BHA589861:BHA589863 BHA655387:BHA655390 BHA655397:BHA655399 BHA720923:BHA720926 BHA720933:BHA720935 BHA786459:BHA786462 BHA786469:BHA786471 BHA851995:BHA851998 BHA852005:BHA852007 BHA917531:BHA917534 BHA917541:BHA917543 BHA983067:BHA983070 BHA983077:BHA983079 BQA30:BQA33 BQA35:BQA36 BQA38:BQA39 BQA43 BQA65563:BQA65566 BQA65570:BQA65571 BQA65573:BQA65574 BQA65578 BQA131099:BQA131102 BQA131106:BQA131107 BQA131109:BQA131110 BQA131114 BQA196635:BQA196638 BQA196642:BQA196643 BQA196645:BQA196646 BQA196650 BQA262171:BQA262174 BQA262178:BQA262179 BQA262181:BQA262182 BQA262186 BQA327707:BQA327710 BQA327714:BQA327715 BQA327717:BQA327718 BQA327722 BQA393243:BQA393246 BQA393250:BQA393251 BQA393253:BQA393254 BQA393258 BQA458779:BQA458782 BQA458786:BQA458787 BQA458789:BQA458790 BQA458794 BQA524315:BQA524318 BQA524322:BQA524323 BQA524325:BQA524326 BQA524330 BQA589851:BQA589854 BQA589858:BQA589859 BQA589861:BQA589862 BQA589866 BQA655387:BQA655390 BQA655394:BQA655395 BQA655397:BQA655398 BQA655402 BQA720923:BQA720926 BQA720930:BQA720931 BQA720933:BQA720934 BQA720938 BQA786459:BQA786462 BQA786466:BQA786467 BQA786469:BQA786470 BQA786474 BQA851995:BQA851998 BQA852002:BQA852003 BQA852005:BQA852006 BQA852010 BQA917531:BQA917534 BQA917538:BQA917539 BQA917541:BQA917542 BQA917546 BQA983067:BQA983070 BQA983074:BQA983075 BQA983077:BQA983078 BQA983082 BQB41 BQB65576 BQB131112 BQB196648 BQB262184 BQB327720 BQB393256 BQB458792 BQB524328 BQB589864 BQB655400 BQB720936 BQB786472 BQB852008 BQB917544 BQB983080 BQV38 BQV65573 BQV131109 BQV196645 BQV262181 BQV327717 BQV393253 BQV458789 BQV524325 BQV589861 BQV655397 BQV720933 BQV786469 BQV852005 BQV917541 BQV983077 BQW30:BQW33 BQW38:BQW40 BQW65563:BQW65566 BQW65573:BQW65575 BQW131099:BQW131102 BQW131109:BQW131111 BQW196635:BQW196638 BQW196645:BQW196647 BQW262171:BQW262174 BQW262181:BQW262183 BQW327707:BQW327710 BQW327717:BQW327719 BQW393243:BQW393246 BQW393253:BQW393255 BQW458779:BQW458782 BQW458789:BQW458791 BQW524315:BQW524318 BQW524325:BQW524327 BQW589851:BQW589854 BQW589861:BQW589863 BQW655387:BQW655390 BQW655397:BQW655399 BQW720923:BQW720926 BQW720933:BQW720935 BQW786459:BQW786462 BQW786469:BQW786471 BQW851995:BQW851998 BQW852005:BQW852007 BQW917531:BQW917534 BQW917541:BQW917543 BQW983067:BQW983070 BQW983077:BQW983079 BZW30:BZW33 BZW35:BZW36 BZW38:BZW39 BZW43 BZW65563:BZW65566 BZW65570:BZW65571 BZW65573:BZW65574 BZW65578 BZW131099:BZW131102 BZW131106:BZW131107 BZW131109:BZW131110 BZW131114 BZW196635:BZW196638 BZW196642:BZW196643 BZW196645:BZW196646 BZW196650 BZW262171:BZW262174 BZW262178:BZW262179 BZW262181:BZW262182 BZW262186 BZW327707:BZW327710 BZW327714:BZW327715 BZW327717:BZW327718 BZW327722 BZW393243:BZW393246 BZW393250:BZW393251 BZW393253:BZW393254 BZW393258 BZW458779:BZW458782 BZW458786:BZW458787 BZW458789:BZW458790 BZW458794 BZW524315:BZW524318 BZW524322:BZW524323 BZW524325:BZW524326 BZW524330 BZW589851:BZW589854 BZW589858:BZW589859 BZW589861:BZW589862 BZW589866 BZW655387:BZW655390 BZW655394:BZW655395 BZW655397:BZW655398 BZW655402 BZW720923:BZW720926 BZW720930:BZW720931 BZW720933:BZW720934 BZW720938 BZW786459:BZW786462 BZW786466:BZW786467 BZW786469:BZW786470 BZW786474 BZW851995:BZW851998 BZW852002:BZW852003 BZW852005:BZW852006 BZW852010 BZW917531:BZW917534 BZW917538:BZW917539 BZW917541:BZW917542 BZW917546 BZW983067:BZW983070 BZW983074:BZW983075 BZW983077:BZW983078 BZW983082 BZX41 BZX65576 BZX131112 BZX196648 BZX262184 BZX327720 BZX393256 BZX458792 BZX524328 BZX589864 BZX655400 BZX720936 BZX786472 BZX852008 BZX917544 BZX983080 CAR38 CAR65573 CAR131109 CAR196645 CAR262181 CAR327717 CAR393253 CAR458789 CAR524325 CAR589861 CAR655397 CAR720933 CAR786469 CAR852005 CAR917541 CAR983077 CAS30:CAS33 CAS38:CAS40 CAS65563:CAS65566 CAS65573:CAS65575 CAS131099:CAS131102 CAS131109:CAS131111 CAS196635:CAS196638 CAS196645:CAS196647 CAS262171:CAS262174 CAS262181:CAS262183 CAS327707:CAS327710 CAS327717:CAS327719 CAS393243:CAS393246 CAS393253:CAS393255 CAS458779:CAS458782 CAS458789:CAS458791 CAS524315:CAS524318 CAS524325:CAS524327 CAS589851:CAS589854 CAS589861:CAS589863 CAS655387:CAS655390 CAS655397:CAS655399 CAS720923:CAS720926 CAS720933:CAS720935 CAS786459:CAS786462 CAS786469:CAS786471 CAS851995:CAS851998 CAS852005:CAS852007 CAS917531:CAS917534 CAS917541:CAS917543 CAS983067:CAS983070 CAS983077:CAS983079 CJS30:CJS33 CJS35:CJS36 CJS38:CJS39 CJS43 CJS65563:CJS65566 CJS65570:CJS65571 CJS65573:CJS65574 CJS65578 CJS131099:CJS131102 CJS131106:CJS131107 CJS131109:CJS131110 CJS131114 CJS196635:CJS196638 CJS196642:CJS196643 CJS196645:CJS196646 CJS196650 CJS262171:CJS262174 CJS262178:CJS262179 CJS262181:CJS262182 CJS262186 CJS327707:CJS327710 CJS327714:CJS327715 CJS327717:CJS327718 CJS327722 CJS393243:CJS393246 CJS393250:CJS393251 CJS393253:CJS393254 CJS393258 CJS458779:CJS458782 CJS458786:CJS458787 CJS458789:CJS458790 CJS458794 CJS524315:CJS524318 CJS524322:CJS524323 CJS524325:CJS524326 CJS524330 CJS589851:CJS589854 CJS589858:CJS589859 CJS589861:CJS589862 CJS589866 CJS655387:CJS655390 CJS655394:CJS655395 CJS655397:CJS655398 CJS655402 CJS720923:CJS720926 CJS720930:CJS720931 CJS720933:CJS720934 CJS720938 CJS786459:CJS786462 CJS786466:CJS786467 CJS786469:CJS786470 CJS786474 CJS851995:CJS851998 CJS852002:CJS852003 CJS852005:CJS852006 CJS852010 CJS917531:CJS917534 CJS917538:CJS917539 CJS917541:CJS917542 CJS917546 CJS983067:CJS983070 CJS983074:CJS983075 CJS983077:CJS983078 CJS983082 CJT41 CJT65576 CJT131112 CJT196648 CJT262184 CJT327720 CJT393256 CJT458792 CJT524328 CJT589864 CJT655400 CJT720936 CJT786472 CJT852008 CJT917544 CJT983080 CKN38 CKN65573 CKN131109 CKN196645 CKN262181 CKN327717 CKN393253 CKN458789 CKN524325 CKN589861 CKN655397 CKN720933 CKN786469 CKN852005 CKN917541 CKN983077 CKO30:CKO33 CKO38:CKO40 CKO65563:CKO65566 CKO65573:CKO65575 CKO131099:CKO131102 CKO131109:CKO131111 CKO196635:CKO196638 CKO196645:CKO196647 CKO262171:CKO262174 CKO262181:CKO262183 CKO327707:CKO327710 CKO327717:CKO327719 CKO393243:CKO393246 CKO393253:CKO393255 CKO458779:CKO458782 CKO458789:CKO458791 CKO524315:CKO524318 CKO524325:CKO524327 CKO589851:CKO589854 CKO589861:CKO589863 CKO655387:CKO655390 CKO655397:CKO655399 CKO720923:CKO720926 CKO720933:CKO720935 CKO786459:CKO786462 CKO786469:CKO786471 CKO851995:CKO851998 CKO852005:CKO852007 CKO917531:CKO917534 CKO917541:CKO917543 CKO983067:CKO983070 CKO983077:CKO983079 CTO30:CTO33 CTO35:CTO36 CTO38:CTO39 CTO43 CTO65563:CTO65566 CTO65570:CTO65571 CTO65573:CTO65574 CTO65578 CTO131099:CTO131102 CTO131106:CTO131107 CTO131109:CTO131110 CTO131114 CTO196635:CTO196638 CTO196642:CTO196643 CTO196645:CTO196646 CTO196650 CTO262171:CTO262174 CTO262178:CTO262179 CTO262181:CTO262182 CTO262186 CTO327707:CTO327710 CTO327714:CTO327715 CTO327717:CTO327718 CTO327722 CTO393243:CTO393246 CTO393250:CTO393251 CTO393253:CTO393254 CTO393258 CTO458779:CTO458782 CTO458786:CTO458787 CTO458789:CTO458790 CTO458794 CTO524315:CTO524318 CTO524322:CTO524323 CTO524325:CTO524326 CTO524330 CTO589851:CTO589854 CTO589858:CTO589859 CTO589861:CTO589862 CTO589866 CTO655387:CTO655390 CTO655394:CTO655395 CTO655397:CTO655398 CTO655402 CTO720923:CTO720926 CTO720930:CTO720931 CTO720933:CTO720934 CTO720938 CTO786459:CTO786462 CTO786466:CTO786467 CTO786469:CTO786470 CTO786474 CTO851995:CTO851998 CTO852002:CTO852003 CTO852005:CTO852006 CTO852010 CTO917531:CTO917534 CTO917538:CTO917539 CTO917541:CTO917542 CTO917546 CTO983067:CTO983070 CTO983074:CTO983075 CTO983077:CTO983078 CTO983082 CTP41 CTP65576 CTP131112 CTP196648 CTP262184 CTP327720 CTP393256 CTP458792 CTP524328 CTP589864 CTP655400 CTP720936 CTP786472 CTP852008 CTP917544 CTP983080 CUJ38 CUJ65573 CUJ131109 CUJ196645 CUJ262181 CUJ327717 CUJ393253 CUJ458789 CUJ524325 CUJ589861 CUJ655397 CUJ720933 CUJ786469 CUJ852005 CUJ917541 CUJ983077 CUK30:CUK33 CUK38:CUK40 CUK65563:CUK65566 CUK65573:CUK65575 CUK131099:CUK131102 CUK131109:CUK131111 CUK196635:CUK196638 CUK196645:CUK196647 CUK262171:CUK262174 CUK262181:CUK262183 CUK327707:CUK327710 CUK327717:CUK327719 CUK393243:CUK393246 CUK393253:CUK393255 CUK458779:CUK458782 CUK458789:CUK458791 CUK524315:CUK524318 CUK524325:CUK524327 CUK589851:CUK589854 CUK589861:CUK589863 CUK655387:CUK655390 CUK655397:CUK655399 CUK720923:CUK720926 CUK720933:CUK720935 CUK786459:CUK786462 CUK786469:CUK786471 CUK851995:CUK851998 CUK852005:CUK852007 CUK917531:CUK917534 CUK917541:CUK917543 CUK983067:CUK983070 CUK983077:CUK983079 DDK30:DDK33 DDK35:DDK36 DDK38:DDK39 DDK43 DDK65563:DDK65566 DDK65570:DDK65571 DDK65573:DDK65574 DDK65578 DDK131099:DDK131102 DDK131106:DDK131107 DDK131109:DDK131110 DDK131114 DDK196635:DDK196638 DDK196642:DDK196643 DDK196645:DDK196646 DDK196650 DDK262171:DDK262174 DDK262178:DDK262179 DDK262181:DDK262182 DDK262186 DDK327707:DDK327710 DDK327714:DDK327715 DDK327717:DDK327718 DDK327722 DDK393243:DDK393246 DDK393250:DDK393251 DDK393253:DDK393254 DDK393258 DDK458779:DDK458782 DDK458786:DDK458787 DDK458789:DDK458790 DDK458794 DDK524315:DDK524318 DDK524322:DDK524323 DDK524325:DDK524326 DDK524330 DDK589851:DDK589854 DDK589858:DDK589859 DDK589861:DDK589862 DDK589866 DDK655387:DDK655390 DDK655394:DDK655395 DDK655397:DDK655398 DDK655402 DDK720923:DDK720926 DDK720930:DDK720931 DDK720933:DDK720934 DDK720938 DDK786459:DDK786462 DDK786466:DDK786467 DDK786469:DDK786470 DDK786474 DDK851995:DDK851998 DDK852002:DDK852003 DDK852005:DDK852006 DDK852010 DDK917531:DDK917534 DDK917538:DDK917539 DDK917541:DDK917542 DDK917546 DDK983067:DDK983070 DDK983074:DDK983075 DDK983077:DDK983078 DDK983082 DDL41 DDL65576 DDL131112 DDL196648 DDL262184 DDL327720 DDL393256 DDL458792 DDL524328 DDL589864 DDL655400 DDL720936 DDL786472 DDL852008 DDL917544 DDL983080 DEF38 DEF65573 DEF131109 DEF196645 DEF262181 DEF327717 DEF393253 DEF458789 DEF524325 DEF589861 DEF655397 DEF720933 DEF786469 DEF852005 DEF917541 DEF983077 DEG30:DEG33 DEG38:DEG40 DEG65563:DEG65566 DEG65573:DEG65575 DEG131099:DEG131102 DEG131109:DEG131111 DEG196635:DEG196638 DEG196645:DEG196647 DEG262171:DEG262174 DEG262181:DEG262183 DEG327707:DEG327710 DEG327717:DEG327719 DEG393243:DEG393246 DEG393253:DEG393255 DEG458779:DEG458782 DEG458789:DEG458791 DEG524315:DEG524318 DEG524325:DEG524327 DEG589851:DEG589854 DEG589861:DEG589863 DEG655387:DEG655390 DEG655397:DEG655399 DEG720923:DEG720926 DEG720933:DEG720935 DEG786459:DEG786462 DEG786469:DEG786471 DEG851995:DEG851998 DEG852005:DEG852007 DEG917531:DEG917534 DEG917541:DEG917543 DEG983067:DEG983070 DEG983077:DEG983079 DNG30:DNG33 DNG35:DNG36 DNG38:DNG39 DNG43 DNG65563:DNG65566 DNG65570:DNG65571 DNG65573:DNG65574 DNG65578 DNG131099:DNG131102 DNG131106:DNG131107 DNG131109:DNG131110 DNG131114 DNG196635:DNG196638 DNG196642:DNG196643 DNG196645:DNG196646 DNG196650 DNG262171:DNG262174 DNG262178:DNG262179 DNG262181:DNG262182 DNG262186 DNG327707:DNG327710 DNG327714:DNG327715 DNG327717:DNG327718 DNG327722 DNG393243:DNG393246 DNG393250:DNG393251 DNG393253:DNG393254 DNG393258 DNG458779:DNG458782 DNG458786:DNG458787 DNG458789:DNG458790 DNG458794 DNG524315:DNG524318 DNG524322:DNG524323 DNG524325:DNG524326 DNG524330 DNG589851:DNG589854 DNG589858:DNG589859 DNG589861:DNG589862 DNG589866 DNG655387:DNG655390 DNG655394:DNG655395 DNG655397:DNG655398 DNG655402 DNG720923:DNG720926 DNG720930:DNG720931 DNG720933:DNG720934 DNG720938 DNG786459:DNG786462 DNG786466:DNG786467 DNG786469:DNG786470 DNG786474 DNG851995:DNG851998 DNG852002:DNG852003 DNG852005:DNG852006 DNG852010 DNG917531:DNG917534 DNG917538:DNG917539 DNG917541:DNG917542 DNG917546 DNG983067:DNG983070 DNG983074:DNG983075 DNG983077:DNG983078 DNG983082 DNH41 DNH65576 DNH131112 DNH196648 DNH262184 DNH327720 DNH393256 DNH458792 DNH524328 DNH589864 DNH655400 DNH720936 DNH786472 DNH852008 DNH917544 DNH983080 DOB38 DOB65573 DOB131109 DOB196645 DOB262181 DOB327717 DOB393253 DOB458789 DOB524325 DOB589861 DOB655397 DOB720933 DOB786469 DOB852005 DOB917541 DOB983077 DOC30:DOC33 DOC38:DOC40 DOC65563:DOC65566 DOC65573:DOC65575 DOC131099:DOC131102 DOC131109:DOC131111 DOC196635:DOC196638 DOC196645:DOC196647 DOC262171:DOC262174 DOC262181:DOC262183 DOC327707:DOC327710 DOC327717:DOC327719 DOC393243:DOC393246 DOC393253:DOC393255 DOC458779:DOC458782 DOC458789:DOC458791 DOC524315:DOC524318 DOC524325:DOC524327 DOC589851:DOC589854 DOC589861:DOC589863 DOC655387:DOC655390 DOC655397:DOC655399 DOC720923:DOC720926 DOC720933:DOC720935 DOC786459:DOC786462 DOC786469:DOC786471 DOC851995:DOC851998 DOC852005:DOC852007 DOC917531:DOC917534 DOC917541:DOC917543 DOC983067:DOC983070 DOC983077:DOC983079 DXC30:DXC33 DXC35:DXC36 DXC38:DXC39 DXC43 DXC65563:DXC65566 DXC65570:DXC65571 DXC65573:DXC65574 DXC65578 DXC131099:DXC131102 DXC131106:DXC131107 DXC131109:DXC131110 DXC131114 DXC196635:DXC196638 DXC196642:DXC196643 DXC196645:DXC196646 DXC196650 DXC262171:DXC262174 DXC262178:DXC262179 DXC262181:DXC262182 DXC262186 DXC327707:DXC327710 DXC327714:DXC327715 DXC327717:DXC327718 DXC327722 DXC393243:DXC393246 DXC393250:DXC393251 DXC393253:DXC393254 DXC393258 DXC458779:DXC458782 DXC458786:DXC458787 DXC458789:DXC458790 DXC458794 DXC524315:DXC524318 DXC524322:DXC524323 DXC524325:DXC524326 DXC524330 DXC589851:DXC589854 DXC589858:DXC589859 DXC589861:DXC589862 DXC589866 DXC655387:DXC655390 DXC655394:DXC655395 DXC655397:DXC655398 DXC655402 DXC720923:DXC720926 DXC720930:DXC720931 DXC720933:DXC720934 DXC720938 DXC786459:DXC786462 DXC786466:DXC786467 DXC786469:DXC786470 DXC786474 DXC851995:DXC851998 DXC852002:DXC852003 DXC852005:DXC852006 DXC852010 DXC917531:DXC917534 DXC917538:DXC917539 DXC917541:DXC917542 DXC917546 DXC983067:DXC983070 DXC983074:DXC983075 DXC983077:DXC983078 DXC983082 DXD41 DXD65576 DXD131112 DXD196648 DXD262184 DXD327720 DXD393256 DXD458792 DXD524328 DXD589864 DXD655400 DXD720936 DXD786472 DXD852008 DXD917544 DXD983080 DXX38 DXX65573 DXX131109 DXX196645 DXX262181 DXX327717 DXX393253 DXX458789 DXX524325 DXX589861 DXX655397 DXX720933 DXX786469 DXX852005 DXX917541 DXX983077 DXY30:DXY33 DXY38:DXY40 DXY65563:DXY65566 DXY65573:DXY65575 DXY131099:DXY131102 DXY131109:DXY131111 DXY196635:DXY196638 DXY196645:DXY196647 DXY262171:DXY262174 DXY262181:DXY262183 DXY327707:DXY327710 DXY327717:DXY327719 DXY393243:DXY393246 DXY393253:DXY393255 DXY458779:DXY458782 DXY458789:DXY458791 DXY524315:DXY524318 DXY524325:DXY524327 DXY589851:DXY589854 DXY589861:DXY589863 DXY655387:DXY655390 DXY655397:DXY655399 DXY720923:DXY720926 DXY720933:DXY720935 DXY786459:DXY786462 DXY786469:DXY786471 DXY851995:DXY851998 DXY852005:DXY852007 DXY917531:DXY917534 DXY917541:DXY917543 DXY983067:DXY983070 DXY983077:DXY983079 EGY30:EGY33 EGY35:EGY36 EGY38:EGY39 EGY43 EGY65563:EGY65566 EGY65570:EGY65571 EGY65573:EGY65574 EGY65578 EGY131099:EGY131102 EGY131106:EGY131107 EGY131109:EGY131110 EGY131114 EGY196635:EGY196638 EGY196642:EGY196643 EGY196645:EGY196646 EGY196650 EGY262171:EGY262174 EGY262178:EGY262179 EGY262181:EGY262182 EGY262186 EGY327707:EGY327710 EGY327714:EGY327715 EGY327717:EGY327718 EGY327722 EGY393243:EGY393246 EGY393250:EGY393251 EGY393253:EGY393254 EGY393258 EGY458779:EGY458782 EGY458786:EGY458787 EGY458789:EGY458790 EGY458794 EGY524315:EGY524318 EGY524322:EGY524323 EGY524325:EGY524326 EGY524330 EGY589851:EGY589854 EGY589858:EGY589859 EGY589861:EGY589862 EGY589866 EGY655387:EGY655390 EGY655394:EGY655395 EGY655397:EGY655398 EGY655402 EGY720923:EGY720926 EGY720930:EGY720931 EGY720933:EGY720934 EGY720938 EGY786459:EGY786462 EGY786466:EGY786467 EGY786469:EGY786470 EGY786474 EGY851995:EGY851998 EGY852002:EGY852003 EGY852005:EGY852006 EGY852010 EGY917531:EGY917534 EGY917538:EGY917539 EGY917541:EGY917542 EGY917546 EGY983067:EGY983070 EGY983074:EGY983075 EGY983077:EGY983078 EGY983082 EGZ41 EGZ65576 EGZ131112 EGZ196648 EGZ262184 EGZ327720 EGZ393256 EGZ458792 EGZ524328 EGZ589864 EGZ655400 EGZ720936 EGZ786472 EGZ852008 EGZ917544 EGZ983080 EHT38 EHT65573 EHT131109 EHT196645 EHT262181 EHT327717 EHT393253 EHT458789 EHT524325 EHT589861 EHT655397 EHT720933 EHT786469 EHT852005 EHT917541 EHT983077 EHU30:EHU33 EHU38:EHU40 EHU65563:EHU65566 EHU65573:EHU65575 EHU131099:EHU131102 EHU131109:EHU131111 EHU196635:EHU196638 EHU196645:EHU196647 EHU262171:EHU262174 EHU262181:EHU262183 EHU327707:EHU327710 EHU327717:EHU327719 EHU393243:EHU393246 EHU393253:EHU393255 EHU458779:EHU458782 EHU458789:EHU458791 EHU524315:EHU524318 EHU524325:EHU524327 EHU589851:EHU589854 EHU589861:EHU589863 EHU655387:EHU655390 EHU655397:EHU655399 EHU720923:EHU720926 EHU720933:EHU720935 EHU786459:EHU786462 EHU786469:EHU786471 EHU851995:EHU851998 EHU852005:EHU852007 EHU917531:EHU917534 EHU917541:EHU917543 EHU983067:EHU983070 EHU983077:EHU983079 EQU30:EQU33 EQU35:EQU36 EQU38:EQU39 EQU43 EQU65563:EQU65566 EQU65570:EQU65571 EQU65573:EQU65574 EQU65578 EQU131099:EQU131102 EQU131106:EQU131107 EQU131109:EQU131110 EQU131114 EQU196635:EQU196638 EQU196642:EQU196643 EQU196645:EQU196646 EQU196650 EQU262171:EQU262174 EQU262178:EQU262179 EQU262181:EQU262182 EQU262186 EQU327707:EQU327710 EQU327714:EQU327715 EQU327717:EQU327718 EQU327722 EQU393243:EQU393246 EQU393250:EQU393251 EQU393253:EQU393254 EQU393258 EQU458779:EQU458782 EQU458786:EQU458787 EQU458789:EQU458790 EQU458794 EQU524315:EQU524318 EQU524322:EQU524323 EQU524325:EQU524326 EQU524330 EQU589851:EQU589854 EQU589858:EQU589859 EQU589861:EQU589862 EQU589866 EQU655387:EQU655390 EQU655394:EQU655395 EQU655397:EQU655398 EQU655402 EQU720923:EQU720926 EQU720930:EQU720931 EQU720933:EQU720934 EQU720938 EQU786459:EQU786462 EQU786466:EQU786467 EQU786469:EQU786470 EQU786474 EQU851995:EQU851998 EQU852002:EQU852003 EQU852005:EQU852006 EQU852010 EQU917531:EQU917534 EQU917538:EQU917539 EQU917541:EQU917542 EQU917546 EQU983067:EQU983070 EQU983074:EQU983075 EQU983077:EQU983078 EQU983082 EQV41 EQV65576 EQV131112 EQV196648 EQV262184 EQV327720 EQV393256 EQV458792 EQV524328 EQV589864 EQV655400 EQV720936 EQV786472 EQV852008 EQV917544 EQV983080 ERP38 ERP65573 ERP131109 ERP196645 ERP262181 ERP327717 ERP393253 ERP458789 ERP524325 ERP589861 ERP655397 ERP720933 ERP786469 ERP852005 ERP917541 ERP983077 ERQ30:ERQ33 ERQ38:ERQ40 ERQ65563:ERQ65566 ERQ65573:ERQ65575 ERQ131099:ERQ131102 ERQ131109:ERQ131111 ERQ196635:ERQ196638 ERQ196645:ERQ196647 ERQ262171:ERQ262174 ERQ262181:ERQ262183 ERQ327707:ERQ327710 ERQ327717:ERQ327719 ERQ393243:ERQ393246 ERQ393253:ERQ393255 ERQ458779:ERQ458782 ERQ458789:ERQ458791 ERQ524315:ERQ524318 ERQ524325:ERQ524327 ERQ589851:ERQ589854 ERQ589861:ERQ589863 ERQ655387:ERQ655390 ERQ655397:ERQ655399 ERQ720923:ERQ720926 ERQ720933:ERQ720935 ERQ786459:ERQ786462 ERQ786469:ERQ786471 ERQ851995:ERQ851998 ERQ852005:ERQ852007 ERQ917531:ERQ917534 ERQ917541:ERQ917543 ERQ983067:ERQ983070 ERQ983077:ERQ983079 FAQ30:FAQ33 FAQ35:FAQ36 FAQ38:FAQ39 FAQ43 FAQ65563:FAQ65566 FAQ65570:FAQ65571 FAQ65573:FAQ65574 FAQ65578 FAQ131099:FAQ131102 FAQ131106:FAQ131107 FAQ131109:FAQ131110 FAQ131114 FAQ196635:FAQ196638 FAQ196642:FAQ196643 FAQ196645:FAQ196646 FAQ196650 FAQ262171:FAQ262174 FAQ262178:FAQ262179 FAQ262181:FAQ262182 FAQ262186 FAQ327707:FAQ327710 FAQ327714:FAQ327715 FAQ327717:FAQ327718 FAQ327722 FAQ393243:FAQ393246 FAQ393250:FAQ393251 FAQ393253:FAQ393254 FAQ393258 FAQ458779:FAQ458782 FAQ458786:FAQ458787 FAQ458789:FAQ458790 FAQ458794 FAQ524315:FAQ524318 FAQ524322:FAQ524323 FAQ524325:FAQ524326 FAQ524330 FAQ589851:FAQ589854 FAQ589858:FAQ589859 FAQ589861:FAQ589862 FAQ589866 FAQ655387:FAQ655390 FAQ655394:FAQ655395 FAQ655397:FAQ655398 FAQ655402 FAQ720923:FAQ720926 FAQ720930:FAQ720931 FAQ720933:FAQ720934 FAQ720938 FAQ786459:FAQ786462 FAQ786466:FAQ786467 FAQ786469:FAQ786470 FAQ786474 FAQ851995:FAQ851998 FAQ852002:FAQ852003 FAQ852005:FAQ852006 FAQ852010 FAQ917531:FAQ917534 FAQ917538:FAQ917539 FAQ917541:FAQ917542 FAQ917546 FAQ983067:FAQ983070 FAQ983074:FAQ983075 FAQ983077:FAQ983078 FAQ983082 FAR41 FAR65576 FAR131112 FAR196648 FAR262184 FAR327720 FAR393256 FAR458792 FAR524328 FAR589864 FAR655400 FAR720936 FAR786472 FAR852008 FAR917544 FAR983080 FBL38 FBL65573 FBL131109 FBL196645 FBL262181 FBL327717 FBL393253 FBL458789 FBL524325 FBL589861 FBL655397 FBL720933 FBL786469 FBL852005 FBL917541 FBL983077 FBM30:FBM33 FBM38:FBM40 FBM65563:FBM65566 FBM65573:FBM65575 FBM131099:FBM131102 FBM131109:FBM131111 FBM196635:FBM196638 FBM196645:FBM196647 FBM262171:FBM262174 FBM262181:FBM262183 FBM327707:FBM327710 FBM327717:FBM327719 FBM393243:FBM393246 FBM393253:FBM393255 FBM458779:FBM458782 FBM458789:FBM458791 FBM524315:FBM524318 FBM524325:FBM524327 FBM589851:FBM589854 FBM589861:FBM589863 FBM655387:FBM655390 FBM655397:FBM655399 FBM720923:FBM720926 FBM720933:FBM720935 FBM786459:FBM786462 FBM786469:FBM786471 FBM851995:FBM851998 FBM852005:FBM852007 FBM917531:FBM917534 FBM917541:FBM917543 FBM983067:FBM983070 FBM983077:FBM983079 FKM30:FKM33 FKM35:FKM36 FKM38:FKM39 FKM43 FKM65563:FKM65566 FKM65570:FKM65571 FKM65573:FKM65574 FKM65578 FKM131099:FKM131102 FKM131106:FKM131107 FKM131109:FKM131110 FKM131114 FKM196635:FKM196638 FKM196642:FKM196643 FKM196645:FKM196646 FKM196650 FKM262171:FKM262174 FKM262178:FKM262179 FKM262181:FKM262182 FKM262186 FKM327707:FKM327710 FKM327714:FKM327715 FKM327717:FKM327718 FKM327722 FKM393243:FKM393246 FKM393250:FKM393251 FKM393253:FKM393254 FKM393258 FKM458779:FKM458782 FKM458786:FKM458787 FKM458789:FKM458790 FKM458794 FKM524315:FKM524318 FKM524322:FKM524323 FKM524325:FKM524326 FKM524330 FKM589851:FKM589854 FKM589858:FKM589859 FKM589861:FKM589862 FKM589866 FKM655387:FKM655390 FKM655394:FKM655395 FKM655397:FKM655398 FKM655402 FKM720923:FKM720926 FKM720930:FKM720931 FKM720933:FKM720934 FKM720938 FKM786459:FKM786462 FKM786466:FKM786467 FKM786469:FKM786470 FKM786474 FKM851995:FKM851998 FKM852002:FKM852003 FKM852005:FKM852006 FKM852010 FKM917531:FKM917534 FKM917538:FKM917539 FKM917541:FKM917542 FKM917546 FKM983067:FKM983070 FKM983074:FKM983075 FKM983077:FKM983078 FKM983082 FKN41 FKN65576 FKN131112 FKN196648 FKN262184 FKN327720 FKN393256 FKN458792 FKN524328 FKN589864 FKN655400 FKN720936 FKN786472 FKN852008 FKN917544 FKN983080 FLH38 FLH65573 FLH131109 FLH196645 FLH262181 FLH327717 FLH393253 FLH458789 FLH524325 FLH589861 FLH655397 FLH720933 FLH786469 FLH852005 FLH917541 FLH983077 FLI30:FLI33 FLI38:FLI40 FLI65563:FLI65566 FLI65573:FLI65575 FLI131099:FLI131102 FLI131109:FLI131111 FLI196635:FLI196638 FLI196645:FLI196647 FLI262171:FLI262174 FLI262181:FLI262183 FLI327707:FLI327710 FLI327717:FLI327719 FLI393243:FLI393246 FLI393253:FLI393255 FLI458779:FLI458782 FLI458789:FLI458791 FLI524315:FLI524318 FLI524325:FLI524327 FLI589851:FLI589854 FLI589861:FLI589863 FLI655387:FLI655390 FLI655397:FLI655399 FLI720923:FLI720926 FLI720933:FLI720935 FLI786459:FLI786462 FLI786469:FLI786471 FLI851995:FLI851998 FLI852005:FLI852007 FLI917531:FLI917534 FLI917541:FLI917543 FLI983067:FLI983070 FLI983077:FLI983079 FUI30:FUI33 FUI35:FUI36 FUI38:FUI39 FUI43 FUI65563:FUI65566 FUI65570:FUI65571 FUI65573:FUI65574 FUI65578 FUI131099:FUI131102 FUI131106:FUI131107 FUI131109:FUI131110 FUI131114 FUI196635:FUI196638 FUI196642:FUI196643 FUI196645:FUI196646 FUI196650 FUI262171:FUI262174 FUI262178:FUI262179 FUI262181:FUI262182 FUI262186 FUI327707:FUI327710 FUI327714:FUI327715 FUI327717:FUI327718 FUI327722 FUI393243:FUI393246 FUI393250:FUI393251 FUI393253:FUI393254 FUI393258 FUI458779:FUI458782 FUI458786:FUI458787 FUI458789:FUI458790 FUI458794 FUI524315:FUI524318 FUI524322:FUI524323 FUI524325:FUI524326 FUI524330 FUI589851:FUI589854 FUI589858:FUI589859 FUI589861:FUI589862 FUI589866 FUI655387:FUI655390 FUI655394:FUI655395 FUI655397:FUI655398 FUI655402 FUI720923:FUI720926 FUI720930:FUI720931 FUI720933:FUI720934 FUI720938 FUI786459:FUI786462 FUI786466:FUI786467 FUI786469:FUI786470 FUI786474 FUI851995:FUI851998 FUI852002:FUI852003 FUI852005:FUI852006 FUI852010 FUI917531:FUI917534 FUI917538:FUI917539 FUI917541:FUI917542 FUI917546 FUI983067:FUI983070 FUI983074:FUI983075 FUI983077:FUI983078 FUI983082 FUJ41 FUJ65576 FUJ131112 FUJ196648 FUJ262184 FUJ327720 FUJ393256 FUJ458792 FUJ524328 FUJ589864 FUJ655400 FUJ720936 FUJ786472 FUJ852008 FUJ917544 FUJ983080 FVD38 FVD65573 FVD131109 FVD196645 FVD262181 FVD327717 FVD393253 FVD458789 FVD524325 FVD589861 FVD655397 FVD720933 FVD786469 FVD852005 FVD917541 FVD983077 FVE30:FVE33 FVE38:FVE40 FVE65563:FVE65566 FVE65573:FVE65575 FVE131099:FVE131102 FVE131109:FVE131111 FVE196635:FVE196638 FVE196645:FVE196647 FVE262171:FVE262174 FVE262181:FVE262183 FVE327707:FVE327710 FVE327717:FVE327719 FVE393243:FVE393246 FVE393253:FVE393255 FVE458779:FVE458782 FVE458789:FVE458791 FVE524315:FVE524318 FVE524325:FVE524327 FVE589851:FVE589854 FVE589861:FVE589863 FVE655387:FVE655390 FVE655397:FVE655399 FVE720923:FVE720926 FVE720933:FVE720935 FVE786459:FVE786462 FVE786469:FVE786471 FVE851995:FVE851998 FVE852005:FVE852007 FVE917531:FVE917534 FVE917541:FVE917543 FVE983067:FVE983070 FVE983077:FVE983079 GEE30:GEE33 GEE35:GEE36 GEE38:GEE39 GEE43 GEE65563:GEE65566 GEE65570:GEE65571 GEE65573:GEE65574 GEE65578 GEE131099:GEE131102 GEE131106:GEE131107 GEE131109:GEE131110 GEE131114 GEE196635:GEE196638 GEE196642:GEE196643 GEE196645:GEE196646 GEE196650 GEE262171:GEE262174 GEE262178:GEE262179 GEE262181:GEE262182 GEE262186 GEE327707:GEE327710 GEE327714:GEE327715 GEE327717:GEE327718 GEE327722 GEE393243:GEE393246 GEE393250:GEE393251 GEE393253:GEE393254 GEE393258 GEE458779:GEE458782 GEE458786:GEE458787 GEE458789:GEE458790 GEE458794 GEE524315:GEE524318 GEE524322:GEE524323 GEE524325:GEE524326 GEE524330 GEE589851:GEE589854 GEE589858:GEE589859 GEE589861:GEE589862 GEE589866 GEE655387:GEE655390 GEE655394:GEE655395 GEE655397:GEE655398 GEE655402 GEE720923:GEE720926 GEE720930:GEE720931 GEE720933:GEE720934 GEE720938 GEE786459:GEE786462 GEE786466:GEE786467 GEE786469:GEE786470 GEE786474 GEE851995:GEE851998 GEE852002:GEE852003 GEE852005:GEE852006 GEE852010 GEE917531:GEE917534 GEE917538:GEE917539 GEE917541:GEE917542 GEE917546 GEE983067:GEE983070 GEE983074:GEE983075 GEE983077:GEE983078 GEE983082 GEF41 GEF65576 GEF131112 GEF196648 GEF262184 GEF327720 GEF393256 GEF458792 GEF524328 GEF589864 GEF655400 GEF720936 GEF786472 GEF852008 GEF917544 GEF983080 GEZ38 GEZ65573 GEZ131109 GEZ196645 GEZ262181 GEZ327717 GEZ393253 GEZ458789 GEZ524325 GEZ589861 GEZ655397 GEZ720933 GEZ786469 GEZ852005 GEZ917541 GEZ983077 GFA30:GFA33 GFA38:GFA40 GFA65563:GFA65566 GFA65573:GFA65575 GFA131099:GFA131102 GFA131109:GFA131111 GFA196635:GFA196638 GFA196645:GFA196647 GFA262171:GFA262174 GFA262181:GFA262183 GFA327707:GFA327710 GFA327717:GFA327719 GFA393243:GFA393246 GFA393253:GFA393255 GFA458779:GFA458782 GFA458789:GFA458791 GFA524315:GFA524318 GFA524325:GFA524327 GFA589851:GFA589854 GFA589861:GFA589863 GFA655387:GFA655390 GFA655397:GFA655399 GFA720923:GFA720926 GFA720933:GFA720935 GFA786459:GFA786462 GFA786469:GFA786471 GFA851995:GFA851998 GFA852005:GFA852007 GFA917531:GFA917534 GFA917541:GFA917543 GFA983067:GFA983070 GFA983077:GFA983079 GOA30:GOA33 GOA35:GOA36 GOA38:GOA39 GOA43 GOA65563:GOA65566 GOA65570:GOA65571 GOA65573:GOA65574 GOA65578 GOA131099:GOA131102 GOA131106:GOA131107 GOA131109:GOA131110 GOA131114 GOA196635:GOA196638 GOA196642:GOA196643 GOA196645:GOA196646 GOA196650 GOA262171:GOA262174 GOA262178:GOA262179 GOA262181:GOA262182 GOA262186 GOA327707:GOA327710 GOA327714:GOA327715 GOA327717:GOA327718 GOA327722 GOA393243:GOA393246 GOA393250:GOA393251 GOA393253:GOA393254 GOA393258 GOA458779:GOA458782 GOA458786:GOA458787 GOA458789:GOA458790 GOA458794 GOA524315:GOA524318 GOA524322:GOA524323 GOA524325:GOA524326 GOA524330 GOA589851:GOA589854 GOA589858:GOA589859 GOA589861:GOA589862 GOA589866 GOA655387:GOA655390 GOA655394:GOA655395 GOA655397:GOA655398 GOA655402 GOA720923:GOA720926 GOA720930:GOA720931 GOA720933:GOA720934 GOA720938 GOA786459:GOA786462 GOA786466:GOA786467 GOA786469:GOA786470 GOA786474 GOA851995:GOA851998 GOA852002:GOA852003 GOA852005:GOA852006 GOA852010 GOA917531:GOA917534 GOA917538:GOA917539 GOA917541:GOA917542 GOA917546 GOA983067:GOA983070 GOA983074:GOA983075 GOA983077:GOA983078 GOA983082 GOB41 GOB65576 GOB131112 GOB196648 GOB262184 GOB327720 GOB393256 GOB458792 GOB524328 GOB589864 GOB655400 GOB720936 GOB786472 GOB852008 GOB917544 GOB983080 GOV38 GOV65573 GOV131109 GOV196645 GOV262181 GOV327717 GOV393253 GOV458789 GOV524325 GOV589861 GOV655397 GOV720933 GOV786469 GOV852005 GOV917541 GOV983077 GOW30:GOW33 GOW38:GOW40 GOW65563:GOW65566 GOW65573:GOW65575 GOW131099:GOW131102 GOW131109:GOW131111 GOW196635:GOW196638 GOW196645:GOW196647 GOW262171:GOW262174 GOW262181:GOW262183 GOW327707:GOW327710 GOW327717:GOW327719 GOW393243:GOW393246 GOW393253:GOW393255 GOW458779:GOW458782 GOW458789:GOW458791 GOW524315:GOW524318 GOW524325:GOW524327 GOW589851:GOW589854 GOW589861:GOW589863 GOW655387:GOW655390 GOW655397:GOW655399 GOW720923:GOW720926 GOW720933:GOW720935 GOW786459:GOW786462 GOW786469:GOW786471 GOW851995:GOW851998 GOW852005:GOW852007 GOW917531:GOW917534 GOW917541:GOW917543 GOW983067:GOW983070 GOW983077:GOW983079 GXW30:GXW33 GXW35:GXW36 GXW38:GXW39 GXW43 GXW65563:GXW65566 GXW65570:GXW65571 GXW65573:GXW65574 GXW65578 GXW131099:GXW131102 GXW131106:GXW131107 GXW131109:GXW131110 GXW131114 GXW196635:GXW196638 GXW196642:GXW196643 GXW196645:GXW196646 GXW196650 GXW262171:GXW262174 GXW262178:GXW262179 GXW262181:GXW262182 GXW262186 GXW327707:GXW327710 GXW327714:GXW327715 GXW327717:GXW327718 GXW327722 GXW393243:GXW393246 GXW393250:GXW393251 GXW393253:GXW393254 GXW393258 GXW458779:GXW458782 GXW458786:GXW458787 GXW458789:GXW458790 GXW458794 GXW524315:GXW524318 GXW524322:GXW524323 GXW524325:GXW524326 GXW524330 GXW589851:GXW589854 GXW589858:GXW589859 GXW589861:GXW589862 GXW589866 GXW655387:GXW655390 GXW655394:GXW655395 GXW655397:GXW655398 GXW655402 GXW720923:GXW720926 GXW720930:GXW720931 GXW720933:GXW720934 GXW720938 GXW786459:GXW786462 GXW786466:GXW786467 GXW786469:GXW786470 GXW786474 GXW851995:GXW851998 GXW852002:GXW852003 GXW852005:GXW852006 GXW852010 GXW917531:GXW917534 GXW917538:GXW917539 GXW917541:GXW917542 GXW917546 GXW983067:GXW983070 GXW983074:GXW983075 GXW983077:GXW983078 GXW983082 GXX41 GXX65576 GXX131112 GXX196648 GXX262184 GXX327720 GXX393256 GXX458792 GXX524328 GXX589864 GXX655400 GXX720936 GXX786472 GXX852008 GXX917544 GXX983080 GYR38 GYR65573 GYR131109 GYR196645 GYR262181 GYR327717 GYR393253 GYR458789 GYR524325 GYR589861 GYR655397 GYR720933 GYR786469 GYR852005 GYR917541 GYR983077 GYS30:GYS33 GYS38:GYS40 GYS65563:GYS65566 GYS65573:GYS65575 GYS131099:GYS131102 GYS131109:GYS131111 GYS196635:GYS196638 GYS196645:GYS196647 GYS262171:GYS262174 GYS262181:GYS262183 GYS327707:GYS327710 GYS327717:GYS327719 GYS393243:GYS393246 GYS393253:GYS393255 GYS458779:GYS458782 GYS458789:GYS458791 GYS524315:GYS524318 GYS524325:GYS524327 GYS589851:GYS589854 GYS589861:GYS589863 GYS655387:GYS655390 GYS655397:GYS655399 GYS720923:GYS720926 GYS720933:GYS720935 GYS786459:GYS786462 GYS786469:GYS786471 GYS851995:GYS851998 GYS852005:GYS852007 GYS917531:GYS917534 GYS917541:GYS917543 GYS983067:GYS983070 GYS983077:GYS983079 HHS30:HHS33 HHS35:HHS36 HHS38:HHS39 HHS43 HHS65563:HHS65566 HHS65570:HHS65571 HHS65573:HHS65574 HHS65578 HHS131099:HHS131102 HHS131106:HHS131107 HHS131109:HHS131110 HHS131114 HHS196635:HHS196638 HHS196642:HHS196643 HHS196645:HHS196646 HHS196650 HHS262171:HHS262174 HHS262178:HHS262179 HHS262181:HHS262182 HHS262186 HHS327707:HHS327710 HHS327714:HHS327715 HHS327717:HHS327718 HHS327722 HHS393243:HHS393246 HHS393250:HHS393251 HHS393253:HHS393254 HHS393258 HHS458779:HHS458782 HHS458786:HHS458787 HHS458789:HHS458790 HHS458794 HHS524315:HHS524318 HHS524322:HHS524323 HHS524325:HHS524326 HHS524330 HHS589851:HHS589854 HHS589858:HHS589859 HHS589861:HHS589862 HHS589866 HHS655387:HHS655390 HHS655394:HHS655395 HHS655397:HHS655398 HHS655402 HHS720923:HHS720926 HHS720930:HHS720931 HHS720933:HHS720934 HHS720938 HHS786459:HHS786462 HHS786466:HHS786467 HHS786469:HHS786470 HHS786474 HHS851995:HHS851998 HHS852002:HHS852003 HHS852005:HHS852006 HHS852010 HHS917531:HHS917534 HHS917538:HHS917539 HHS917541:HHS917542 HHS917546 HHS983067:HHS983070 HHS983074:HHS983075 HHS983077:HHS983078 HHS983082 HHT41 HHT65576 HHT131112 HHT196648 HHT262184 HHT327720 HHT393256 HHT458792 HHT524328 HHT589864 HHT655400 HHT720936 HHT786472 HHT852008 HHT917544 HHT983080 HIN38 HIN65573 HIN131109 HIN196645 HIN262181 HIN327717 HIN393253 HIN458789 HIN524325 HIN589861 HIN655397 HIN720933 HIN786469 HIN852005 HIN917541 HIN983077 HIO30:HIO33 HIO38:HIO40 HIO65563:HIO65566 HIO65573:HIO65575 HIO131099:HIO131102 HIO131109:HIO131111 HIO196635:HIO196638 HIO196645:HIO196647 HIO262171:HIO262174 HIO262181:HIO262183 HIO327707:HIO327710 HIO327717:HIO327719 HIO393243:HIO393246 HIO393253:HIO393255 HIO458779:HIO458782 HIO458789:HIO458791 HIO524315:HIO524318 HIO524325:HIO524327 HIO589851:HIO589854 HIO589861:HIO589863 HIO655387:HIO655390 HIO655397:HIO655399 HIO720923:HIO720926 HIO720933:HIO720935 HIO786459:HIO786462 HIO786469:HIO786471 HIO851995:HIO851998 HIO852005:HIO852007 HIO917531:HIO917534 HIO917541:HIO917543 HIO983067:HIO983070 HIO983077:HIO983079 HRO30:HRO33 HRO35:HRO36 HRO38:HRO39 HRO43 HRO65563:HRO65566 HRO65570:HRO65571 HRO65573:HRO65574 HRO65578 HRO131099:HRO131102 HRO131106:HRO131107 HRO131109:HRO131110 HRO131114 HRO196635:HRO196638 HRO196642:HRO196643 HRO196645:HRO196646 HRO196650 HRO262171:HRO262174 HRO262178:HRO262179 HRO262181:HRO262182 HRO262186 HRO327707:HRO327710 HRO327714:HRO327715 HRO327717:HRO327718 HRO327722 HRO393243:HRO393246 HRO393250:HRO393251 HRO393253:HRO393254 HRO393258 HRO458779:HRO458782 HRO458786:HRO458787 HRO458789:HRO458790 HRO458794 HRO524315:HRO524318 HRO524322:HRO524323 HRO524325:HRO524326 HRO524330 HRO589851:HRO589854 HRO589858:HRO589859 HRO589861:HRO589862 HRO589866 HRO655387:HRO655390 HRO655394:HRO655395 HRO655397:HRO655398 HRO655402 HRO720923:HRO720926 HRO720930:HRO720931 HRO720933:HRO720934 HRO720938 HRO786459:HRO786462 HRO786466:HRO786467 HRO786469:HRO786470 HRO786474 HRO851995:HRO851998 HRO852002:HRO852003 HRO852005:HRO852006 HRO852010 HRO917531:HRO917534 HRO917538:HRO917539 HRO917541:HRO917542 HRO917546 HRO983067:HRO983070 HRO983074:HRO983075 HRO983077:HRO983078 HRO983082 HRP41 HRP65576 HRP131112 HRP196648 HRP262184 HRP327720 HRP393256 HRP458792 HRP524328 HRP589864 HRP655400 HRP720936 HRP786472 HRP852008 HRP917544 HRP983080 HSJ38 HSJ65573 HSJ131109 HSJ196645 HSJ262181 HSJ327717 HSJ393253 HSJ458789 HSJ524325 HSJ589861 HSJ655397 HSJ720933 HSJ786469 HSJ852005 HSJ917541 HSJ983077 HSK30:HSK33 HSK38:HSK40 HSK65563:HSK65566 HSK65573:HSK65575 HSK131099:HSK131102 HSK131109:HSK131111 HSK196635:HSK196638 HSK196645:HSK196647 HSK262171:HSK262174 HSK262181:HSK262183 HSK327707:HSK327710 HSK327717:HSK327719 HSK393243:HSK393246 HSK393253:HSK393255 HSK458779:HSK458782 HSK458789:HSK458791 HSK524315:HSK524318 HSK524325:HSK524327 HSK589851:HSK589854 HSK589861:HSK589863 HSK655387:HSK655390 HSK655397:HSK655399 HSK720923:HSK720926 HSK720933:HSK720935 HSK786459:HSK786462 HSK786469:HSK786471 HSK851995:HSK851998 HSK852005:HSK852007 HSK917531:HSK917534 HSK917541:HSK917543 HSK983067:HSK983070 HSK983077:HSK983079 IBK30:IBK33 IBK35:IBK36 IBK38:IBK39 IBK43 IBK65563:IBK65566 IBK65570:IBK65571 IBK65573:IBK65574 IBK65578 IBK131099:IBK131102 IBK131106:IBK131107 IBK131109:IBK131110 IBK131114 IBK196635:IBK196638 IBK196642:IBK196643 IBK196645:IBK196646 IBK196650 IBK262171:IBK262174 IBK262178:IBK262179 IBK262181:IBK262182 IBK262186 IBK327707:IBK327710 IBK327714:IBK327715 IBK327717:IBK327718 IBK327722 IBK393243:IBK393246 IBK393250:IBK393251 IBK393253:IBK393254 IBK393258 IBK458779:IBK458782 IBK458786:IBK458787 IBK458789:IBK458790 IBK458794 IBK524315:IBK524318 IBK524322:IBK524323 IBK524325:IBK524326 IBK524330 IBK589851:IBK589854 IBK589858:IBK589859 IBK589861:IBK589862 IBK589866 IBK655387:IBK655390 IBK655394:IBK655395 IBK655397:IBK655398 IBK655402 IBK720923:IBK720926 IBK720930:IBK720931 IBK720933:IBK720934 IBK720938 IBK786459:IBK786462 IBK786466:IBK786467 IBK786469:IBK786470 IBK786474 IBK851995:IBK851998 IBK852002:IBK852003 IBK852005:IBK852006 IBK852010 IBK917531:IBK917534 IBK917538:IBK917539 IBK917541:IBK917542 IBK917546 IBK983067:IBK983070 IBK983074:IBK983075 IBK983077:IBK983078 IBK983082 IBL41 IBL65576 IBL131112 IBL196648 IBL262184 IBL327720 IBL393256 IBL458792 IBL524328 IBL589864 IBL655400 IBL720936 IBL786472 IBL852008 IBL917544 IBL983080 ICF38 ICF65573 ICF131109 ICF196645 ICF262181 ICF327717 ICF393253 ICF458789 ICF524325 ICF589861 ICF655397 ICF720933 ICF786469 ICF852005 ICF917541 ICF983077 ICG30:ICG33 ICG38:ICG40 ICG65563:ICG65566 ICG65573:ICG65575 ICG131099:ICG131102 ICG131109:ICG131111 ICG196635:ICG196638 ICG196645:ICG196647 ICG262171:ICG262174 ICG262181:ICG262183 ICG327707:ICG327710 ICG327717:ICG327719 ICG393243:ICG393246 ICG393253:ICG393255 ICG458779:ICG458782 ICG458789:ICG458791 ICG524315:ICG524318 ICG524325:ICG524327 ICG589851:ICG589854 ICG589861:ICG589863 ICG655387:ICG655390 ICG655397:ICG655399 ICG720923:ICG720926 ICG720933:ICG720935 ICG786459:ICG786462 ICG786469:ICG786471 ICG851995:ICG851998 ICG852005:ICG852007 ICG917531:ICG917534 ICG917541:ICG917543 ICG983067:ICG983070 ICG983077:ICG983079 ILG30:ILG33 ILG35:ILG36 ILG38:ILG39 ILG43 ILG65563:ILG65566 ILG65570:ILG65571 ILG65573:ILG65574 ILG65578 ILG131099:ILG131102 ILG131106:ILG131107 ILG131109:ILG131110 ILG131114 ILG196635:ILG196638 ILG196642:ILG196643 ILG196645:ILG196646 ILG196650 ILG262171:ILG262174 ILG262178:ILG262179 ILG262181:ILG262182 ILG262186 ILG327707:ILG327710 ILG327714:ILG327715 ILG327717:ILG327718 ILG327722 ILG393243:ILG393246 ILG393250:ILG393251 ILG393253:ILG393254 ILG393258 ILG458779:ILG458782 ILG458786:ILG458787 ILG458789:ILG458790 ILG458794 ILG524315:ILG524318 ILG524322:ILG524323 ILG524325:ILG524326 ILG524330 ILG589851:ILG589854 ILG589858:ILG589859 ILG589861:ILG589862 ILG589866 ILG655387:ILG655390 ILG655394:ILG655395 ILG655397:ILG655398 ILG655402 ILG720923:ILG720926 ILG720930:ILG720931 ILG720933:ILG720934 ILG720938 ILG786459:ILG786462 ILG786466:ILG786467 ILG786469:ILG786470 ILG786474 ILG851995:ILG851998 ILG852002:ILG852003 ILG852005:ILG852006 ILG852010 ILG917531:ILG917534 ILG917538:ILG917539 ILG917541:ILG917542 ILG917546 ILG983067:ILG983070 ILG983074:ILG983075 ILG983077:ILG983078 ILG983082 ILH41 ILH65576 ILH131112 ILH196648 ILH262184 ILH327720 ILH393256 ILH458792 ILH524328 ILH589864 ILH655400 ILH720936 ILH786472 ILH852008 ILH917544 ILH983080 IMB38 IMB65573 IMB131109 IMB196645 IMB262181 IMB327717 IMB393253 IMB458789 IMB524325 IMB589861 IMB655397 IMB720933 IMB786469 IMB852005 IMB917541 IMB983077 IMC30:IMC33 IMC38:IMC40 IMC65563:IMC65566 IMC65573:IMC65575 IMC131099:IMC131102 IMC131109:IMC131111 IMC196635:IMC196638 IMC196645:IMC196647 IMC262171:IMC262174 IMC262181:IMC262183 IMC327707:IMC327710 IMC327717:IMC327719 IMC393243:IMC393246 IMC393253:IMC393255 IMC458779:IMC458782 IMC458789:IMC458791 IMC524315:IMC524318 IMC524325:IMC524327 IMC589851:IMC589854 IMC589861:IMC589863 IMC655387:IMC655390 IMC655397:IMC655399 IMC720923:IMC720926 IMC720933:IMC720935 IMC786459:IMC786462 IMC786469:IMC786471 IMC851995:IMC851998 IMC852005:IMC852007 IMC917531:IMC917534 IMC917541:IMC917543 IMC983067:IMC983070 IMC983077:IMC983079 IVC30:IVC33 IVC35:IVC36 IVC38:IVC39 IVC43 IVC65563:IVC65566 IVC65570:IVC65571 IVC65573:IVC65574 IVC65578 IVC131099:IVC131102 IVC131106:IVC131107 IVC131109:IVC131110 IVC131114 IVC196635:IVC196638 IVC196642:IVC196643 IVC196645:IVC196646 IVC196650 IVC262171:IVC262174 IVC262178:IVC262179 IVC262181:IVC262182 IVC262186 IVC327707:IVC327710 IVC327714:IVC327715 IVC327717:IVC327718 IVC327722 IVC393243:IVC393246 IVC393250:IVC393251 IVC393253:IVC393254 IVC393258 IVC458779:IVC458782 IVC458786:IVC458787 IVC458789:IVC458790 IVC458794 IVC524315:IVC524318 IVC524322:IVC524323 IVC524325:IVC524326 IVC524330 IVC589851:IVC589854 IVC589858:IVC589859 IVC589861:IVC589862 IVC589866 IVC655387:IVC655390 IVC655394:IVC655395 IVC655397:IVC655398 IVC655402 IVC720923:IVC720926 IVC720930:IVC720931 IVC720933:IVC720934 IVC720938 IVC786459:IVC786462 IVC786466:IVC786467 IVC786469:IVC786470 IVC786474 IVC851995:IVC851998 IVC852002:IVC852003 IVC852005:IVC852006 IVC852010 IVC917531:IVC917534 IVC917538:IVC917539 IVC917541:IVC917542 IVC917546 IVC983067:IVC983070 IVC983074:IVC983075 IVC983077:IVC983078 IVC983082 IVD41 IVD65576 IVD131112 IVD196648 IVD262184 IVD327720 IVD393256 IVD458792 IVD524328 IVD589864 IVD655400 IVD720936 IVD786472 IVD852008 IVD917544 IVD983080 IVX38 IVX65573 IVX131109 IVX196645 IVX262181 IVX327717 IVX393253 IVX458789 IVX524325 IVX589861 IVX655397 IVX720933 IVX786469 IVX852005 IVX917541 IVX983077 IVY30:IVY33 IVY38:IVY40 IVY65563:IVY65566 IVY65573:IVY65575 IVY131099:IVY131102 IVY131109:IVY131111 IVY196635:IVY196638 IVY196645:IVY196647 IVY262171:IVY262174 IVY262181:IVY262183 IVY327707:IVY327710 IVY327717:IVY327719 IVY393243:IVY393246 IVY393253:IVY393255 IVY458779:IVY458782 IVY458789:IVY458791 IVY524315:IVY524318 IVY524325:IVY524327 IVY589851:IVY589854 IVY589861:IVY589863 IVY655387:IVY655390 IVY655397:IVY655399 IVY720923:IVY720926 IVY720933:IVY720935 IVY786459:IVY786462 IVY786469:IVY786471 IVY851995:IVY851998 IVY852005:IVY852007 IVY917531:IVY917534 IVY917541:IVY917543 IVY983067:IVY983070 IVY983077:IVY983079 JEY30:JEY33 JEY35:JEY36 JEY38:JEY39 JEY43 JEY65563:JEY65566 JEY65570:JEY65571 JEY65573:JEY65574 JEY65578 JEY131099:JEY131102 JEY131106:JEY131107 JEY131109:JEY131110 JEY131114 JEY196635:JEY196638 JEY196642:JEY196643 JEY196645:JEY196646 JEY196650 JEY262171:JEY262174 JEY262178:JEY262179 JEY262181:JEY262182 JEY262186 JEY327707:JEY327710 JEY327714:JEY327715 JEY327717:JEY327718 JEY327722 JEY393243:JEY393246 JEY393250:JEY393251 JEY393253:JEY393254 JEY393258 JEY458779:JEY458782 JEY458786:JEY458787 JEY458789:JEY458790 JEY458794 JEY524315:JEY524318 JEY524322:JEY524323 JEY524325:JEY524326 JEY524330 JEY589851:JEY589854 JEY589858:JEY589859 JEY589861:JEY589862 JEY589866 JEY655387:JEY655390 JEY655394:JEY655395 JEY655397:JEY655398 JEY655402 JEY720923:JEY720926 JEY720930:JEY720931 JEY720933:JEY720934 JEY720938 JEY786459:JEY786462 JEY786466:JEY786467 JEY786469:JEY786470 JEY786474 JEY851995:JEY851998 JEY852002:JEY852003 JEY852005:JEY852006 JEY852010 JEY917531:JEY917534 JEY917538:JEY917539 JEY917541:JEY917542 JEY917546 JEY983067:JEY983070 JEY983074:JEY983075 JEY983077:JEY983078 JEY983082 JEZ41 JEZ65576 JEZ131112 JEZ196648 JEZ262184 JEZ327720 JEZ393256 JEZ458792 JEZ524328 JEZ589864 JEZ655400 JEZ720936 JEZ786472 JEZ852008 JEZ917544 JEZ983080 JFT38 JFT65573 JFT131109 JFT196645 JFT262181 JFT327717 JFT393253 JFT458789 JFT524325 JFT589861 JFT655397 JFT720933 JFT786469 JFT852005 JFT917541 JFT983077 JFU30:JFU33 JFU38:JFU40 JFU65563:JFU65566 JFU65573:JFU65575 JFU131099:JFU131102 JFU131109:JFU131111 JFU196635:JFU196638 JFU196645:JFU196647 JFU262171:JFU262174 JFU262181:JFU262183 JFU327707:JFU327710 JFU327717:JFU327719 JFU393243:JFU393246 JFU393253:JFU393255 JFU458779:JFU458782 JFU458789:JFU458791 JFU524315:JFU524318 JFU524325:JFU524327 JFU589851:JFU589854 JFU589861:JFU589863 JFU655387:JFU655390 JFU655397:JFU655399 JFU720923:JFU720926 JFU720933:JFU720935 JFU786459:JFU786462 JFU786469:JFU786471 JFU851995:JFU851998 JFU852005:JFU852007 JFU917531:JFU917534 JFU917541:JFU917543 JFU983067:JFU983070 JFU983077:JFU983079 JOU30:JOU33 JOU35:JOU36 JOU38:JOU39 JOU43 JOU65563:JOU65566 JOU65570:JOU65571 JOU65573:JOU65574 JOU65578 JOU131099:JOU131102 JOU131106:JOU131107 JOU131109:JOU131110 JOU131114 JOU196635:JOU196638 JOU196642:JOU196643 JOU196645:JOU196646 JOU196650 JOU262171:JOU262174 JOU262178:JOU262179 JOU262181:JOU262182 JOU262186 JOU327707:JOU327710 JOU327714:JOU327715 JOU327717:JOU327718 JOU327722 JOU393243:JOU393246 JOU393250:JOU393251 JOU393253:JOU393254 JOU393258 JOU458779:JOU458782 JOU458786:JOU458787 JOU458789:JOU458790 JOU458794 JOU524315:JOU524318 JOU524322:JOU524323 JOU524325:JOU524326 JOU524330 JOU589851:JOU589854 JOU589858:JOU589859 JOU589861:JOU589862 JOU589866 JOU655387:JOU655390 JOU655394:JOU655395 JOU655397:JOU655398 JOU655402 JOU720923:JOU720926 JOU720930:JOU720931 JOU720933:JOU720934 JOU720938 JOU786459:JOU786462 JOU786466:JOU786467 JOU786469:JOU786470 JOU786474 JOU851995:JOU851998 JOU852002:JOU852003 JOU852005:JOU852006 JOU852010 JOU917531:JOU917534 JOU917538:JOU917539 JOU917541:JOU917542 JOU917546 JOU983067:JOU983070 JOU983074:JOU983075 JOU983077:JOU983078 JOU983082 JOV41 JOV65576 JOV131112 JOV196648 JOV262184 JOV327720 JOV393256 JOV458792 JOV524328 JOV589864 JOV655400 JOV720936 JOV786472 JOV852008 JOV917544 JOV983080 JPP38 JPP65573 JPP131109 JPP196645 JPP262181 JPP327717 JPP393253 JPP458789 JPP524325 JPP589861 JPP655397 JPP720933 JPP786469 JPP852005 JPP917541 JPP983077 JPQ30:JPQ33 JPQ38:JPQ40 JPQ65563:JPQ65566 JPQ65573:JPQ65575 JPQ131099:JPQ131102 JPQ131109:JPQ131111 JPQ196635:JPQ196638 JPQ196645:JPQ196647 JPQ262171:JPQ262174 JPQ262181:JPQ262183 JPQ327707:JPQ327710 JPQ327717:JPQ327719 JPQ393243:JPQ393246 JPQ393253:JPQ393255 JPQ458779:JPQ458782 JPQ458789:JPQ458791 JPQ524315:JPQ524318 JPQ524325:JPQ524327 JPQ589851:JPQ589854 JPQ589861:JPQ589863 JPQ655387:JPQ655390 JPQ655397:JPQ655399 JPQ720923:JPQ720926 JPQ720933:JPQ720935 JPQ786459:JPQ786462 JPQ786469:JPQ786471 JPQ851995:JPQ851998 JPQ852005:JPQ852007 JPQ917531:JPQ917534 JPQ917541:JPQ917543 JPQ983067:JPQ983070 JPQ983077:JPQ983079 JYQ30:JYQ33 JYQ35:JYQ36 JYQ38:JYQ39 JYQ43 JYQ65563:JYQ65566 JYQ65570:JYQ65571 JYQ65573:JYQ65574 JYQ65578 JYQ131099:JYQ131102 JYQ131106:JYQ131107 JYQ131109:JYQ131110 JYQ131114 JYQ196635:JYQ196638 JYQ196642:JYQ196643 JYQ196645:JYQ196646 JYQ196650 JYQ262171:JYQ262174 JYQ262178:JYQ262179 JYQ262181:JYQ262182 JYQ262186 JYQ327707:JYQ327710 JYQ327714:JYQ327715 JYQ327717:JYQ327718 JYQ327722 JYQ393243:JYQ393246 JYQ393250:JYQ393251 JYQ393253:JYQ393254 JYQ393258 JYQ458779:JYQ458782 JYQ458786:JYQ458787 JYQ458789:JYQ458790 JYQ458794 JYQ524315:JYQ524318 JYQ524322:JYQ524323 JYQ524325:JYQ524326 JYQ524330 JYQ589851:JYQ589854 JYQ589858:JYQ589859 JYQ589861:JYQ589862 JYQ589866 JYQ655387:JYQ655390 JYQ655394:JYQ655395 JYQ655397:JYQ655398 JYQ655402 JYQ720923:JYQ720926 JYQ720930:JYQ720931 JYQ720933:JYQ720934 JYQ720938 JYQ786459:JYQ786462 JYQ786466:JYQ786467 JYQ786469:JYQ786470 JYQ786474 JYQ851995:JYQ851998 JYQ852002:JYQ852003 JYQ852005:JYQ852006 JYQ852010 JYQ917531:JYQ917534 JYQ917538:JYQ917539 JYQ917541:JYQ917542 JYQ917546 JYQ983067:JYQ983070 JYQ983074:JYQ983075 JYQ983077:JYQ983078 JYQ983082 JYR41 JYR65576 JYR131112 JYR196648 JYR262184 JYR327720 JYR393256 JYR458792 JYR524328 JYR589864 JYR655400 JYR720936 JYR786472 JYR852008 JYR917544 JYR983080 JZL38 JZL65573 JZL131109 JZL196645 JZL262181 JZL327717 JZL393253 JZL458789 JZL524325 JZL589861 JZL655397 JZL720933 JZL786469 JZL852005 JZL917541 JZL983077 JZM30:JZM33 JZM38:JZM40 JZM65563:JZM65566 JZM65573:JZM65575 JZM131099:JZM131102 JZM131109:JZM131111 JZM196635:JZM196638 JZM196645:JZM196647 JZM262171:JZM262174 JZM262181:JZM262183 JZM327707:JZM327710 JZM327717:JZM327719 JZM393243:JZM393246 JZM393253:JZM393255 JZM458779:JZM458782 JZM458789:JZM458791 JZM524315:JZM524318 JZM524325:JZM524327 JZM589851:JZM589854 JZM589861:JZM589863 JZM655387:JZM655390 JZM655397:JZM655399 JZM720923:JZM720926 JZM720933:JZM720935 JZM786459:JZM786462 JZM786469:JZM786471 JZM851995:JZM851998 JZM852005:JZM852007 JZM917531:JZM917534 JZM917541:JZM917543 JZM983067:JZM983070 JZM983077:JZM983079 KIM30:KIM33 KIM35:KIM36 KIM38:KIM39 KIM43 KIM65563:KIM65566 KIM65570:KIM65571 KIM65573:KIM65574 KIM65578 KIM131099:KIM131102 KIM131106:KIM131107 KIM131109:KIM131110 KIM131114 KIM196635:KIM196638 KIM196642:KIM196643 KIM196645:KIM196646 KIM196650 KIM262171:KIM262174 KIM262178:KIM262179 KIM262181:KIM262182 KIM262186 KIM327707:KIM327710 KIM327714:KIM327715 KIM327717:KIM327718 KIM327722 KIM393243:KIM393246 KIM393250:KIM393251 KIM393253:KIM393254 KIM393258 KIM458779:KIM458782 KIM458786:KIM458787 KIM458789:KIM458790 KIM458794 KIM524315:KIM524318 KIM524322:KIM524323 KIM524325:KIM524326 KIM524330 KIM589851:KIM589854 KIM589858:KIM589859 KIM589861:KIM589862 KIM589866 KIM655387:KIM655390 KIM655394:KIM655395 KIM655397:KIM655398 KIM655402 KIM720923:KIM720926 KIM720930:KIM720931 KIM720933:KIM720934 KIM720938 KIM786459:KIM786462 KIM786466:KIM786467 KIM786469:KIM786470 KIM786474 KIM851995:KIM851998 KIM852002:KIM852003 KIM852005:KIM852006 KIM852010 KIM917531:KIM917534 KIM917538:KIM917539 KIM917541:KIM917542 KIM917546 KIM983067:KIM983070 KIM983074:KIM983075 KIM983077:KIM983078 KIM983082 KIN41 KIN65576 KIN131112 KIN196648 KIN262184 KIN327720 KIN393256 KIN458792 KIN524328 KIN589864 KIN655400 KIN720936 KIN786472 KIN852008 KIN917544 KIN983080 KJH38 KJH65573 KJH131109 KJH196645 KJH262181 KJH327717 KJH393253 KJH458789 KJH524325 KJH589861 KJH655397 KJH720933 KJH786469 KJH852005 KJH917541 KJH983077 KJI30:KJI33 KJI38:KJI40 KJI65563:KJI65566 KJI65573:KJI65575 KJI131099:KJI131102 KJI131109:KJI131111 KJI196635:KJI196638 KJI196645:KJI196647 KJI262171:KJI262174 KJI262181:KJI262183 KJI327707:KJI327710 KJI327717:KJI327719 KJI393243:KJI393246 KJI393253:KJI393255 KJI458779:KJI458782 KJI458789:KJI458791 KJI524315:KJI524318 KJI524325:KJI524327 KJI589851:KJI589854 KJI589861:KJI589863 KJI655387:KJI655390 KJI655397:KJI655399 KJI720923:KJI720926 KJI720933:KJI720935 KJI786459:KJI786462 KJI786469:KJI786471 KJI851995:KJI851998 KJI852005:KJI852007 KJI917531:KJI917534 KJI917541:KJI917543 KJI983067:KJI983070 KJI983077:KJI983079 KSI30:KSI33 KSI35:KSI36 KSI38:KSI39 KSI43 KSI65563:KSI65566 KSI65570:KSI65571 KSI65573:KSI65574 KSI65578 KSI131099:KSI131102 KSI131106:KSI131107 KSI131109:KSI131110 KSI131114 KSI196635:KSI196638 KSI196642:KSI196643 KSI196645:KSI196646 KSI196650 KSI262171:KSI262174 KSI262178:KSI262179 KSI262181:KSI262182 KSI262186 KSI327707:KSI327710 KSI327714:KSI327715 KSI327717:KSI327718 KSI327722 KSI393243:KSI393246 KSI393250:KSI393251 KSI393253:KSI393254 KSI393258 KSI458779:KSI458782 KSI458786:KSI458787 KSI458789:KSI458790 KSI458794 KSI524315:KSI524318 KSI524322:KSI524323 KSI524325:KSI524326 KSI524330 KSI589851:KSI589854 KSI589858:KSI589859 KSI589861:KSI589862 KSI589866 KSI655387:KSI655390 KSI655394:KSI655395 KSI655397:KSI655398 KSI655402 KSI720923:KSI720926 KSI720930:KSI720931 KSI720933:KSI720934 KSI720938 KSI786459:KSI786462 KSI786466:KSI786467 KSI786469:KSI786470 KSI786474 KSI851995:KSI851998 KSI852002:KSI852003 KSI852005:KSI852006 KSI852010 KSI917531:KSI917534 KSI917538:KSI917539 KSI917541:KSI917542 KSI917546 KSI983067:KSI983070 KSI983074:KSI983075 KSI983077:KSI983078 KSI983082 KSJ41 KSJ65576 KSJ131112 KSJ196648 KSJ262184 KSJ327720 KSJ393256 KSJ458792 KSJ524328 KSJ589864 KSJ655400 KSJ720936 KSJ786472 KSJ852008 KSJ917544 KSJ983080 KTD38 KTD65573 KTD131109 KTD196645 KTD262181 KTD327717 KTD393253 KTD458789 KTD524325 KTD589861 KTD655397 KTD720933 KTD786469 KTD852005 KTD917541 KTD983077 KTE30:KTE33 KTE38:KTE40 KTE65563:KTE65566 KTE65573:KTE65575 KTE131099:KTE131102 KTE131109:KTE131111 KTE196635:KTE196638 KTE196645:KTE196647 KTE262171:KTE262174 KTE262181:KTE262183 KTE327707:KTE327710 KTE327717:KTE327719 KTE393243:KTE393246 KTE393253:KTE393255 KTE458779:KTE458782 KTE458789:KTE458791 KTE524315:KTE524318 KTE524325:KTE524327 KTE589851:KTE589854 KTE589861:KTE589863 KTE655387:KTE655390 KTE655397:KTE655399 KTE720923:KTE720926 KTE720933:KTE720935 KTE786459:KTE786462 KTE786469:KTE786471 KTE851995:KTE851998 KTE852005:KTE852007 KTE917531:KTE917534 KTE917541:KTE917543 KTE983067:KTE983070 KTE983077:KTE983079 LCE30:LCE33 LCE35:LCE36 LCE38:LCE39 LCE43 LCE65563:LCE65566 LCE65570:LCE65571 LCE65573:LCE65574 LCE65578 LCE131099:LCE131102 LCE131106:LCE131107 LCE131109:LCE131110 LCE131114 LCE196635:LCE196638 LCE196642:LCE196643 LCE196645:LCE196646 LCE196650 LCE262171:LCE262174 LCE262178:LCE262179 LCE262181:LCE262182 LCE262186 LCE327707:LCE327710 LCE327714:LCE327715 LCE327717:LCE327718 LCE327722 LCE393243:LCE393246 LCE393250:LCE393251 LCE393253:LCE393254 LCE393258 LCE458779:LCE458782 LCE458786:LCE458787 LCE458789:LCE458790 LCE458794 LCE524315:LCE524318 LCE524322:LCE524323 LCE524325:LCE524326 LCE524330 LCE589851:LCE589854 LCE589858:LCE589859 LCE589861:LCE589862 LCE589866 LCE655387:LCE655390 LCE655394:LCE655395 LCE655397:LCE655398 LCE655402 LCE720923:LCE720926 LCE720930:LCE720931 LCE720933:LCE720934 LCE720938 LCE786459:LCE786462 LCE786466:LCE786467 LCE786469:LCE786470 LCE786474 LCE851995:LCE851998 LCE852002:LCE852003 LCE852005:LCE852006 LCE852010 LCE917531:LCE917534 LCE917538:LCE917539 LCE917541:LCE917542 LCE917546 LCE983067:LCE983070 LCE983074:LCE983075 LCE983077:LCE983078 LCE983082 LCF41 LCF65576 LCF131112 LCF196648 LCF262184 LCF327720 LCF393256 LCF458792 LCF524328 LCF589864 LCF655400 LCF720936 LCF786472 LCF852008 LCF917544 LCF983080 LCZ38 LCZ65573 LCZ131109 LCZ196645 LCZ262181 LCZ327717 LCZ393253 LCZ458789 LCZ524325 LCZ589861 LCZ655397 LCZ720933 LCZ786469 LCZ852005 LCZ917541 LCZ983077 LDA30:LDA33 LDA38:LDA40 LDA65563:LDA65566 LDA65573:LDA65575 LDA131099:LDA131102 LDA131109:LDA131111 LDA196635:LDA196638 LDA196645:LDA196647 LDA262171:LDA262174 LDA262181:LDA262183 LDA327707:LDA327710 LDA327717:LDA327719 LDA393243:LDA393246 LDA393253:LDA393255 LDA458779:LDA458782 LDA458789:LDA458791 LDA524315:LDA524318 LDA524325:LDA524327 LDA589851:LDA589854 LDA589861:LDA589863 LDA655387:LDA655390 LDA655397:LDA655399 LDA720923:LDA720926 LDA720933:LDA720935 LDA786459:LDA786462 LDA786469:LDA786471 LDA851995:LDA851998 LDA852005:LDA852007 LDA917531:LDA917534 LDA917541:LDA917543 LDA983067:LDA983070 LDA983077:LDA983079 LMA30:LMA33 LMA35:LMA36 LMA38:LMA39 LMA43 LMA65563:LMA65566 LMA65570:LMA65571 LMA65573:LMA65574 LMA65578 LMA131099:LMA131102 LMA131106:LMA131107 LMA131109:LMA131110 LMA131114 LMA196635:LMA196638 LMA196642:LMA196643 LMA196645:LMA196646 LMA196650 LMA262171:LMA262174 LMA262178:LMA262179 LMA262181:LMA262182 LMA262186 LMA327707:LMA327710 LMA327714:LMA327715 LMA327717:LMA327718 LMA327722 LMA393243:LMA393246 LMA393250:LMA393251 LMA393253:LMA393254 LMA393258 LMA458779:LMA458782 LMA458786:LMA458787 LMA458789:LMA458790 LMA458794 LMA524315:LMA524318 LMA524322:LMA524323 LMA524325:LMA524326 LMA524330 LMA589851:LMA589854 LMA589858:LMA589859 LMA589861:LMA589862 LMA589866 LMA655387:LMA655390 LMA655394:LMA655395 LMA655397:LMA655398 LMA655402 LMA720923:LMA720926 LMA720930:LMA720931 LMA720933:LMA720934 LMA720938 LMA786459:LMA786462 LMA786466:LMA786467 LMA786469:LMA786470 LMA786474 LMA851995:LMA851998 LMA852002:LMA852003 LMA852005:LMA852006 LMA852010 LMA917531:LMA917534 LMA917538:LMA917539 LMA917541:LMA917542 LMA917546 LMA983067:LMA983070 LMA983074:LMA983075 LMA983077:LMA983078 LMA983082 LMB41 LMB65576 LMB131112 LMB196648 LMB262184 LMB327720 LMB393256 LMB458792 LMB524328 LMB589864 LMB655400 LMB720936 LMB786472 LMB852008 LMB917544 LMB983080 LMV38 LMV65573 LMV131109 LMV196645 LMV262181 LMV327717 LMV393253 LMV458789 LMV524325 LMV589861 LMV655397 LMV720933 LMV786469 LMV852005 LMV917541 LMV983077 LMW30:LMW33 LMW38:LMW40 LMW65563:LMW65566 LMW65573:LMW65575 LMW131099:LMW131102 LMW131109:LMW131111 LMW196635:LMW196638 LMW196645:LMW196647 LMW262171:LMW262174 LMW262181:LMW262183 LMW327707:LMW327710 LMW327717:LMW327719 LMW393243:LMW393246 LMW393253:LMW393255 LMW458779:LMW458782 LMW458789:LMW458791 LMW524315:LMW524318 LMW524325:LMW524327 LMW589851:LMW589854 LMW589861:LMW589863 LMW655387:LMW655390 LMW655397:LMW655399 LMW720923:LMW720926 LMW720933:LMW720935 LMW786459:LMW786462 LMW786469:LMW786471 LMW851995:LMW851998 LMW852005:LMW852007 LMW917531:LMW917534 LMW917541:LMW917543 LMW983067:LMW983070 LMW983077:LMW983079 LVW30:LVW33 LVW35:LVW36 LVW38:LVW39 LVW43 LVW65563:LVW65566 LVW65570:LVW65571 LVW65573:LVW65574 LVW65578 LVW131099:LVW131102 LVW131106:LVW131107 LVW131109:LVW131110 LVW131114 LVW196635:LVW196638 LVW196642:LVW196643 LVW196645:LVW196646 LVW196650 LVW262171:LVW262174 LVW262178:LVW262179 LVW262181:LVW262182 LVW262186 LVW327707:LVW327710 LVW327714:LVW327715 LVW327717:LVW327718 LVW327722 LVW393243:LVW393246 LVW393250:LVW393251 LVW393253:LVW393254 LVW393258 LVW458779:LVW458782 LVW458786:LVW458787 LVW458789:LVW458790 LVW458794 LVW524315:LVW524318 LVW524322:LVW524323 LVW524325:LVW524326 LVW524330 LVW589851:LVW589854 LVW589858:LVW589859 LVW589861:LVW589862 LVW589866 LVW655387:LVW655390 LVW655394:LVW655395 LVW655397:LVW655398 LVW655402 LVW720923:LVW720926 LVW720930:LVW720931 LVW720933:LVW720934 LVW720938 LVW786459:LVW786462 LVW786466:LVW786467 LVW786469:LVW786470 LVW786474 LVW851995:LVW851998 LVW852002:LVW852003 LVW852005:LVW852006 LVW852010 LVW917531:LVW917534 LVW917538:LVW917539 LVW917541:LVW917542 LVW917546 LVW983067:LVW983070 LVW983074:LVW983075 LVW983077:LVW983078 LVW983082 LVX41 LVX65576 LVX131112 LVX196648 LVX262184 LVX327720 LVX393256 LVX458792 LVX524328 LVX589864 LVX655400 LVX720936 LVX786472 LVX852008 LVX917544 LVX983080 LWR38 LWR65573 LWR131109 LWR196645 LWR262181 LWR327717 LWR393253 LWR458789 LWR524325 LWR589861 LWR655397 LWR720933 LWR786469 LWR852005 LWR917541 LWR983077 LWS30:LWS33 LWS38:LWS40 LWS65563:LWS65566 LWS65573:LWS65575 LWS131099:LWS131102 LWS131109:LWS131111 LWS196635:LWS196638 LWS196645:LWS196647 LWS262171:LWS262174 LWS262181:LWS262183 LWS327707:LWS327710 LWS327717:LWS327719 LWS393243:LWS393246 LWS393253:LWS393255 LWS458779:LWS458782 LWS458789:LWS458791 LWS524315:LWS524318 LWS524325:LWS524327 LWS589851:LWS589854 LWS589861:LWS589863 LWS655387:LWS655390 LWS655397:LWS655399 LWS720923:LWS720926 LWS720933:LWS720935 LWS786459:LWS786462 LWS786469:LWS786471 LWS851995:LWS851998 LWS852005:LWS852007 LWS917531:LWS917534 LWS917541:LWS917543 LWS983067:LWS983070 LWS983077:LWS983079 MFS30:MFS33 MFS35:MFS36 MFS38:MFS39 MFS43 MFS65563:MFS65566 MFS65570:MFS65571 MFS65573:MFS65574 MFS65578 MFS131099:MFS131102 MFS131106:MFS131107 MFS131109:MFS131110 MFS131114 MFS196635:MFS196638 MFS196642:MFS196643 MFS196645:MFS196646 MFS196650 MFS262171:MFS262174 MFS262178:MFS262179 MFS262181:MFS262182 MFS262186 MFS327707:MFS327710 MFS327714:MFS327715 MFS327717:MFS327718 MFS327722 MFS393243:MFS393246 MFS393250:MFS393251 MFS393253:MFS393254 MFS393258 MFS458779:MFS458782 MFS458786:MFS458787 MFS458789:MFS458790 MFS458794 MFS524315:MFS524318 MFS524322:MFS524323 MFS524325:MFS524326 MFS524330 MFS589851:MFS589854 MFS589858:MFS589859 MFS589861:MFS589862 MFS589866 MFS655387:MFS655390 MFS655394:MFS655395 MFS655397:MFS655398 MFS655402 MFS720923:MFS720926 MFS720930:MFS720931 MFS720933:MFS720934 MFS720938 MFS786459:MFS786462 MFS786466:MFS786467 MFS786469:MFS786470 MFS786474 MFS851995:MFS851998 MFS852002:MFS852003 MFS852005:MFS852006 MFS852010 MFS917531:MFS917534 MFS917538:MFS917539 MFS917541:MFS917542 MFS917546 MFS983067:MFS983070 MFS983074:MFS983075 MFS983077:MFS983078 MFS983082 MFT41 MFT65576 MFT131112 MFT196648 MFT262184 MFT327720 MFT393256 MFT458792 MFT524328 MFT589864 MFT655400 MFT720936 MFT786472 MFT852008 MFT917544 MFT983080 MGN38 MGN65573 MGN131109 MGN196645 MGN262181 MGN327717 MGN393253 MGN458789 MGN524325 MGN589861 MGN655397 MGN720933 MGN786469 MGN852005 MGN917541 MGN983077 MGO30:MGO33 MGO38:MGO40 MGO65563:MGO65566 MGO65573:MGO65575 MGO131099:MGO131102 MGO131109:MGO131111 MGO196635:MGO196638 MGO196645:MGO196647 MGO262171:MGO262174 MGO262181:MGO262183 MGO327707:MGO327710 MGO327717:MGO327719 MGO393243:MGO393246 MGO393253:MGO393255 MGO458779:MGO458782 MGO458789:MGO458791 MGO524315:MGO524318 MGO524325:MGO524327 MGO589851:MGO589854 MGO589861:MGO589863 MGO655387:MGO655390 MGO655397:MGO655399 MGO720923:MGO720926 MGO720933:MGO720935 MGO786459:MGO786462 MGO786469:MGO786471 MGO851995:MGO851998 MGO852005:MGO852007 MGO917531:MGO917534 MGO917541:MGO917543 MGO983067:MGO983070 MGO983077:MGO983079 MPO30:MPO33 MPO35:MPO36 MPO38:MPO39 MPO43 MPO65563:MPO65566 MPO65570:MPO65571 MPO65573:MPO65574 MPO65578 MPO131099:MPO131102 MPO131106:MPO131107 MPO131109:MPO131110 MPO131114 MPO196635:MPO196638 MPO196642:MPO196643 MPO196645:MPO196646 MPO196650 MPO262171:MPO262174 MPO262178:MPO262179 MPO262181:MPO262182 MPO262186 MPO327707:MPO327710 MPO327714:MPO327715 MPO327717:MPO327718 MPO327722 MPO393243:MPO393246 MPO393250:MPO393251 MPO393253:MPO393254 MPO393258 MPO458779:MPO458782 MPO458786:MPO458787 MPO458789:MPO458790 MPO458794 MPO524315:MPO524318 MPO524322:MPO524323 MPO524325:MPO524326 MPO524330 MPO589851:MPO589854 MPO589858:MPO589859 MPO589861:MPO589862 MPO589866 MPO655387:MPO655390 MPO655394:MPO655395 MPO655397:MPO655398 MPO655402 MPO720923:MPO720926 MPO720930:MPO720931 MPO720933:MPO720934 MPO720938 MPO786459:MPO786462 MPO786466:MPO786467 MPO786469:MPO786470 MPO786474 MPO851995:MPO851998 MPO852002:MPO852003 MPO852005:MPO852006 MPO852010 MPO917531:MPO917534 MPO917538:MPO917539 MPO917541:MPO917542 MPO917546 MPO983067:MPO983070 MPO983074:MPO983075 MPO983077:MPO983078 MPO983082 MPP41 MPP65576 MPP131112 MPP196648 MPP262184 MPP327720 MPP393256 MPP458792 MPP524328 MPP589864 MPP655400 MPP720936 MPP786472 MPP852008 MPP917544 MPP983080 MQJ38 MQJ65573 MQJ131109 MQJ196645 MQJ262181 MQJ327717 MQJ393253 MQJ458789 MQJ524325 MQJ589861 MQJ655397 MQJ720933 MQJ786469 MQJ852005 MQJ917541 MQJ983077 MQK30:MQK33 MQK38:MQK40 MQK65563:MQK65566 MQK65573:MQK65575 MQK131099:MQK131102 MQK131109:MQK131111 MQK196635:MQK196638 MQK196645:MQK196647 MQK262171:MQK262174 MQK262181:MQK262183 MQK327707:MQK327710 MQK327717:MQK327719 MQK393243:MQK393246 MQK393253:MQK393255 MQK458779:MQK458782 MQK458789:MQK458791 MQK524315:MQK524318 MQK524325:MQK524327 MQK589851:MQK589854 MQK589861:MQK589863 MQK655387:MQK655390 MQK655397:MQK655399 MQK720923:MQK720926 MQK720933:MQK720935 MQK786459:MQK786462 MQK786469:MQK786471 MQK851995:MQK851998 MQK852005:MQK852007 MQK917531:MQK917534 MQK917541:MQK917543 MQK983067:MQK983070 MQK983077:MQK983079 MZK30:MZK33 MZK35:MZK36 MZK38:MZK39 MZK43 MZK65563:MZK65566 MZK65570:MZK65571 MZK65573:MZK65574 MZK65578 MZK131099:MZK131102 MZK131106:MZK131107 MZK131109:MZK131110 MZK131114 MZK196635:MZK196638 MZK196642:MZK196643 MZK196645:MZK196646 MZK196650 MZK262171:MZK262174 MZK262178:MZK262179 MZK262181:MZK262182 MZK262186 MZK327707:MZK327710 MZK327714:MZK327715 MZK327717:MZK327718 MZK327722 MZK393243:MZK393246 MZK393250:MZK393251 MZK393253:MZK393254 MZK393258 MZK458779:MZK458782 MZK458786:MZK458787 MZK458789:MZK458790 MZK458794 MZK524315:MZK524318 MZK524322:MZK524323 MZK524325:MZK524326 MZK524330 MZK589851:MZK589854 MZK589858:MZK589859 MZK589861:MZK589862 MZK589866 MZK655387:MZK655390 MZK655394:MZK655395 MZK655397:MZK655398 MZK655402 MZK720923:MZK720926 MZK720930:MZK720931 MZK720933:MZK720934 MZK720938 MZK786459:MZK786462 MZK786466:MZK786467 MZK786469:MZK786470 MZK786474 MZK851995:MZK851998 MZK852002:MZK852003 MZK852005:MZK852006 MZK852010 MZK917531:MZK917534 MZK917538:MZK917539 MZK917541:MZK917542 MZK917546 MZK983067:MZK983070 MZK983074:MZK983075 MZK983077:MZK983078 MZK983082 MZL41 MZL65576 MZL131112 MZL196648 MZL262184 MZL327720 MZL393256 MZL458792 MZL524328 MZL589864 MZL655400 MZL720936 MZL786472 MZL852008 MZL917544 MZL983080 NAF38 NAF65573 NAF131109 NAF196645 NAF262181 NAF327717 NAF393253 NAF458789 NAF524325 NAF589861 NAF655397 NAF720933 NAF786469 NAF852005 NAF917541 NAF983077 NAG30:NAG33 NAG38:NAG40 NAG65563:NAG65566 NAG65573:NAG65575 NAG131099:NAG131102 NAG131109:NAG131111 NAG196635:NAG196638 NAG196645:NAG196647 NAG262171:NAG262174 NAG262181:NAG262183 NAG327707:NAG327710 NAG327717:NAG327719 NAG393243:NAG393246 NAG393253:NAG393255 NAG458779:NAG458782 NAG458789:NAG458791 NAG524315:NAG524318 NAG524325:NAG524327 NAG589851:NAG589854 NAG589861:NAG589863 NAG655387:NAG655390 NAG655397:NAG655399 NAG720923:NAG720926 NAG720933:NAG720935 NAG786459:NAG786462 NAG786469:NAG786471 NAG851995:NAG851998 NAG852005:NAG852007 NAG917531:NAG917534 NAG917541:NAG917543 NAG983067:NAG983070 NAG983077:NAG983079 NJG30:NJG33 NJG35:NJG36 NJG38:NJG39 NJG43 NJG65563:NJG65566 NJG65570:NJG65571 NJG65573:NJG65574 NJG65578 NJG131099:NJG131102 NJG131106:NJG131107 NJG131109:NJG131110 NJG131114 NJG196635:NJG196638 NJG196642:NJG196643 NJG196645:NJG196646 NJG196650 NJG262171:NJG262174 NJG262178:NJG262179 NJG262181:NJG262182 NJG262186 NJG327707:NJG327710 NJG327714:NJG327715 NJG327717:NJG327718 NJG327722 NJG393243:NJG393246 NJG393250:NJG393251 NJG393253:NJG393254 NJG393258 NJG458779:NJG458782 NJG458786:NJG458787 NJG458789:NJG458790 NJG458794 NJG524315:NJG524318 NJG524322:NJG524323 NJG524325:NJG524326 NJG524330 NJG589851:NJG589854 NJG589858:NJG589859 NJG589861:NJG589862 NJG589866 NJG655387:NJG655390 NJG655394:NJG655395 NJG655397:NJG655398 NJG655402 NJG720923:NJG720926 NJG720930:NJG720931 NJG720933:NJG720934 NJG720938 NJG786459:NJG786462 NJG786466:NJG786467 NJG786469:NJG786470 NJG786474 NJG851995:NJG851998 NJG852002:NJG852003 NJG852005:NJG852006 NJG852010 NJG917531:NJG917534 NJG917538:NJG917539 NJG917541:NJG917542 NJG917546 NJG983067:NJG983070 NJG983074:NJG983075 NJG983077:NJG983078 NJG983082 NJH41 NJH65576 NJH131112 NJH196648 NJH262184 NJH327720 NJH393256 NJH458792 NJH524328 NJH589864 NJH655400 NJH720936 NJH786472 NJH852008 NJH917544 NJH983080 NKB38 NKB65573 NKB131109 NKB196645 NKB262181 NKB327717 NKB393253 NKB458789 NKB524325 NKB589861 NKB655397 NKB720933 NKB786469 NKB852005 NKB917541 NKB983077 NKC30:NKC33 NKC38:NKC40 NKC65563:NKC65566 NKC65573:NKC65575 NKC131099:NKC131102 NKC131109:NKC131111 NKC196635:NKC196638 NKC196645:NKC196647 NKC262171:NKC262174 NKC262181:NKC262183 NKC327707:NKC327710 NKC327717:NKC327719 NKC393243:NKC393246 NKC393253:NKC393255 NKC458779:NKC458782 NKC458789:NKC458791 NKC524315:NKC524318 NKC524325:NKC524327 NKC589851:NKC589854 NKC589861:NKC589863 NKC655387:NKC655390 NKC655397:NKC655399 NKC720923:NKC720926 NKC720933:NKC720935 NKC786459:NKC786462 NKC786469:NKC786471 NKC851995:NKC851998 NKC852005:NKC852007 NKC917531:NKC917534 NKC917541:NKC917543 NKC983067:NKC983070 NKC983077:NKC983079 NTC30:NTC33 NTC35:NTC36 NTC38:NTC39 NTC43 NTC65563:NTC65566 NTC65570:NTC65571 NTC65573:NTC65574 NTC65578 NTC131099:NTC131102 NTC131106:NTC131107 NTC131109:NTC131110 NTC131114 NTC196635:NTC196638 NTC196642:NTC196643 NTC196645:NTC196646 NTC196650 NTC262171:NTC262174 NTC262178:NTC262179 NTC262181:NTC262182 NTC262186 NTC327707:NTC327710 NTC327714:NTC327715 NTC327717:NTC327718 NTC327722 NTC393243:NTC393246 NTC393250:NTC393251 NTC393253:NTC393254 NTC393258 NTC458779:NTC458782 NTC458786:NTC458787 NTC458789:NTC458790 NTC458794 NTC524315:NTC524318 NTC524322:NTC524323 NTC524325:NTC524326 NTC524330 NTC589851:NTC589854 NTC589858:NTC589859 NTC589861:NTC589862 NTC589866 NTC655387:NTC655390 NTC655394:NTC655395 NTC655397:NTC655398 NTC655402 NTC720923:NTC720926 NTC720930:NTC720931 NTC720933:NTC720934 NTC720938 NTC786459:NTC786462 NTC786466:NTC786467 NTC786469:NTC786470 NTC786474 NTC851995:NTC851998 NTC852002:NTC852003 NTC852005:NTC852006 NTC852010 NTC917531:NTC917534 NTC917538:NTC917539 NTC917541:NTC917542 NTC917546 NTC983067:NTC983070 NTC983074:NTC983075 NTC983077:NTC983078 NTC983082 NTD41 NTD65576 NTD131112 NTD196648 NTD262184 NTD327720 NTD393256 NTD458792 NTD524328 NTD589864 NTD655400 NTD720936 NTD786472 NTD852008 NTD917544 NTD983080 NTX38 NTX65573 NTX131109 NTX196645 NTX262181 NTX327717 NTX393253 NTX458789 NTX524325 NTX589861 NTX655397 NTX720933 NTX786469 NTX852005 NTX917541 NTX983077 NTY30:NTY33 NTY38:NTY40 NTY65563:NTY65566 NTY65573:NTY65575 NTY131099:NTY131102 NTY131109:NTY131111 NTY196635:NTY196638 NTY196645:NTY196647 NTY262171:NTY262174 NTY262181:NTY262183 NTY327707:NTY327710 NTY327717:NTY327719 NTY393243:NTY393246 NTY393253:NTY393255 NTY458779:NTY458782 NTY458789:NTY458791 NTY524315:NTY524318 NTY524325:NTY524327 NTY589851:NTY589854 NTY589861:NTY589863 NTY655387:NTY655390 NTY655397:NTY655399 NTY720923:NTY720926 NTY720933:NTY720935 NTY786459:NTY786462 NTY786469:NTY786471 NTY851995:NTY851998 NTY852005:NTY852007 NTY917531:NTY917534 NTY917541:NTY917543 NTY983067:NTY983070 NTY983077:NTY983079 OCY30:OCY33 OCY35:OCY36 OCY38:OCY39 OCY43 OCY65563:OCY65566 OCY65570:OCY65571 OCY65573:OCY65574 OCY65578 OCY131099:OCY131102 OCY131106:OCY131107 OCY131109:OCY131110 OCY131114 OCY196635:OCY196638 OCY196642:OCY196643 OCY196645:OCY196646 OCY196650 OCY262171:OCY262174 OCY262178:OCY262179 OCY262181:OCY262182 OCY262186 OCY327707:OCY327710 OCY327714:OCY327715 OCY327717:OCY327718 OCY327722 OCY393243:OCY393246 OCY393250:OCY393251 OCY393253:OCY393254 OCY393258 OCY458779:OCY458782 OCY458786:OCY458787 OCY458789:OCY458790 OCY458794 OCY524315:OCY524318 OCY524322:OCY524323 OCY524325:OCY524326 OCY524330 OCY589851:OCY589854 OCY589858:OCY589859 OCY589861:OCY589862 OCY589866 OCY655387:OCY655390 OCY655394:OCY655395 OCY655397:OCY655398 OCY655402 OCY720923:OCY720926 OCY720930:OCY720931 OCY720933:OCY720934 OCY720938 OCY786459:OCY786462 OCY786466:OCY786467 OCY786469:OCY786470 OCY786474 OCY851995:OCY851998 OCY852002:OCY852003 OCY852005:OCY852006 OCY852010 OCY917531:OCY917534 OCY917538:OCY917539 OCY917541:OCY917542 OCY917546 OCY983067:OCY983070 OCY983074:OCY983075 OCY983077:OCY983078 OCY983082 OCZ41 OCZ65576 OCZ131112 OCZ196648 OCZ262184 OCZ327720 OCZ393256 OCZ458792 OCZ524328 OCZ589864 OCZ655400 OCZ720936 OCZ786472 OCZ852008 OCZ917544 OCZ983080 ODT38 ODT65573 ODT131109 ODT196645 ODT262181 ODT327717 ODT393253 ODT458789 ODT524325 ODT589861 ODT655397 ODT720933 ODT786469 ODT852005 ODT917541 ODT983077 ODU30:ODU33 ODU38:ODU40 ODU65563:ODU65566 ODU65573:ODU65575 ODU131099:ODU131102 ODU131109:ODU131111 ODU196635:ODU196638 ODU196645:ODU196647 ODU262171:ODU262174 ODU262181:ODU262183 ODU327707:ODU327710 ODU327717:ODU327719 ODU393243:ODU393246 ODU393253:ODU393255 ODU458779:ODU458782 ODU458789:ODU458791 ODU524315:ODU524318 ODU524325:ODU524327 ODU589851:ODU589854 ODU589861:ODU589863 ODU655387:ODU655390 ODU655397:ODU655399 ODU720923:ODU720926 ODU720933:ODU720935 ODU786459:ODU786462 ODU786469:ODU786471 ODU851995:ODU851998 ODU852005:ODU852007 ODU917531:ODU917534 ODU917541:ODU917543 ODU983067:ODU983070 ODU983077:ODU983079 OMU30:OMU33 OMU35:OMU36 OMU38:OMU39 OMU43 OMU65563:OMU65566 OMU65570:OMU65571 OMU65573:OMU65574 OMU65578 OMU131099:OMU131102 OMU131106:OMU131107 OMU131109:OMU131110 OMU131114 OMU196635:OMU196638 OMU196642:OMU196643 OMU196645:OMU196646 OMU196650 OMU262171:OMU262174 OMU262178:OMU262179 OMU262181:OMU262182 OMU262186 OMU327707:OMU327710 OMU327714:OMU327715 OMU327717:OMU327718 OMU327722 OMU393243:OMU393246 OMU393250:OMU393251 OMU393253:OMU393254 OMU393258 OMU458779:OMU458782 OMU458786:OMU458787 OMU458789:OMU458790 OMU458794 OMU524315:OMU524318 OMU524322:OMU524323 OMU524325:OMU524326 OMU524330 OMU589851:OMU589854 OMU589858:OMU589859 OMU589861:OMU589862 OMU589866 OMU655387:OMU655390 OMU655394:OMU655395 OMU655397:OMU655398 OMU655402 OMU720923:OMU720926 OMU720930:OMU720931 OMU720933:OMU720934 OMU720938 OMU786459:OMU786462 OMU786466:OMU786467 OMU786469:OMU786470 OMU786474 OMU851995:OMU851998 OMU852002:OMU852003 OMU852005:OMU852006 OMU852010 OMU917531:OMU917534 OMU917538:OMU917539 OMU917541:OMU917542 OMU917546 OMU983067:OMU983070 OMU983074:OMU983075 OMU983077:OMU983078 OMU983082 OMV41 OMV65576 OMV131112 OMV196648 OMV262184 OMV327720 OMV393256 OMV458792 OMV524328 OMV589864 OMV655400 OMV720936 OMV786472 OMV852008 OMV917544 OMV983080 ONP38 ONP65573 ONP131109 ONP196645 ONP262181 ONP327717 ONP393253 ONP458789 ONP524325 ONP589861 ONP655397 ONP720933 ONP786469 ONP852005 ONP917541 ONP983077 ONQ30:ONQ33 ONQ38:ONQ40 ONQ65563:ONQ65566 ONQ65573:ONQ65575 ONQ131099:ONQ131102 ONQ131109:ONQ131111 ONQ196635:ONQ196638 ONQ196645:ONQ196647 ONQ262171:ONQ262174 ONQ262181:ONQ262183 ONQ327707:ONQ327710 ONQ327717:ONQ327719 ONQ393243:ONQ393246 ONQ393253:ONQ393255 ONQ458779:ONQ458782 ONQ458789:ONQ458791 ONQ524315:ONQ524318 ONQ524325:ONQ524327 ONQ589851:ONQ589854 ONQ589861:ONQ589863 ONQ655387:ONQ655390 ONQ655397:ONQ655399 ONQ720923:ONQ720926 ONQ720933:ONQ720935 ONQ786459:ONQ786462 ONQ786469:ONQ786471 ONQ851995:ONQ851998 ONQ852005:ONQ852007 ONQ917531:ONQ917534 ONQ917541:ONQ917543 ONQ983067:ONQ983070 ONQ983077:ONQ983079 OWQ30:OWQ33 OWQ35:OWQ36 OWQ38:OWQ39 OWQ43 OWQ65563:OWQ65566 OWQ65570:OWQ65571 OWQ65573:OWQ65574 OWQ65578 OWQ131099:OWQ131102 OWQ131106:OWQ131107 OWQ131109:OWQ131110 OWQ131114 OWQ196635:OWQ196638 OWQ196642:OWQ196643 OWQ196645:OWQ196646 OWQ196650 OWQ262171:OWQ262174 OWQ262178:OWQ262179 OWQ262181:OWQ262182 OWQ262186 OWQ327707:OWQ327710 OWQ327714:OWQ327715 OWQ327717:OWQ327718 OWQ327722 OWQ393243:OWQ393246 OWQ393250:OWQ393251 OWQ393253:OWQ393254 OWQ393258 OWQ458779:OWQ458782 OWQ458786:OWQ458787 OWQ458789:OWQ458790 OWQ458794 OWQ524315:OWQ524318 OWQ524322:OWQ524323 OWQ524325:OWQ524326 OWQ524330 OWQ589851:OWQ589854 OWQ589858:OWQ589859 OWQ589861:OWQ589862 OWQ589866 OWQ655387:OWQ655390 OWQ655394:OWQ655395 OWQ655397:OWQ655398 OWQ655402 OWQ720923:OWQ720926 OWQ720930:OWQ720931 OWQ720933:OWQ720934 OWQ720938 OWQ786459:OWQ786462 OWQ786466:OWQ786467 OWQ786469:OWQ786470 OWQ786474 OWQ851995:OWQ851998 OWQ852002:OWQ852003 OWQ852005:OWQ852006 OWQ852010 OWQ917531:OWQ917534 OWQ917538:OWQ917539 OWQ917541:OWQ917542 OWQ917546 OWQ983067:OWQ983070 OWQ983074:OWQ983075 OWQ983077:OWQ983078 OWQ983082 OWR41 OWR65576 OWR131112 OWR196648 OWR262184 OWR327720 OWR393256 OWR458792 OWR524328 OWR589864 OWR655400 OWR720936 OWR786472 OWR852008 OWR917544 OWR983080 OXL38 OXL65573 OXL131109 OXL196645 OXL262181 OXL327717 OXL393253 OXL458789 OXL524325 OXL589861 OXL655397 OXL720933 OXL786469 OXL852005 OXL917541 OXL983077 OXM30:OXM33 OXM38:OXM40 OXM65563:OXM65566 OXM65573:OXM65575 OXM131099:OXM131102 OXM131109:OXM131111 OXM196635:OXM196638 OXM196645:OXM196647 OXM262171:OXM262174 OXM262181:OXM262183 OXM327707:OXM327710 OXM327717:OXM327719 OXM393243:OXM393246 OXM393253:OXM393255 OXM458779:OXM458782 OXM458789:OXM458791 OXM524315:OXM524318 OXM524325:OXM524327 OXM589851:OXM589854 OXM589861:OXM589863 OXM655387:OXM655390 OXM655397:OXM655399 OXM720923:OXM720926 OXM720933:OXM720935 OXM786459:OXM786462 OXM786469:OXM786471 OXM851995:OXM851998 OXM852005:OXM852007 OXM917531:OXM917534 OXM917541:OXM917543 OXM983067:OXM983070 OXM983077:OXM983079 PGM30:PGM33 PGM35:PGM36 PGM38:PGM39 PGM43 PGM65563:PGM65566 PGM65570:PGM65571 PGM65573:PGM65574 PGM65578 PGM131099:PGM131102 PGM131106:PGM131107 PGM131109:PGM131110 PGM131114 PGM196635:PGM196638 PGM196642:PGM196643 PGM196645:PGM196646 PGM196650 PGM262171:PGM262174 PGM262178:PGM262179 PGM262181:PGM262182 PGM262186 PGM327707:PGM327710 PGM327714:PGM327715 PGM327717:PGM327718 PGM327722 PGM393243:PGM393246 PGM393250:PGM393251 PGM393253:PGM393254 PGM393258 PGM458779:PGM458782 PGM458786:PGM458787 PGM458789:PGM458790 PGM458794 PGM524315:PGM524318 PGM524322:PGM524323 PGM524325:PGM524326 PGM524330 PGM589851:PGM589854 PGM589858:PGM589859 PGM589861:PGM589862 PGM589866 PGM655387:PGM655390 PGM655394:PGM655395 PGM655397:PGM655398 PGM655402 PGM720923:PGM720926 PGM720930:PGM720931 PGM720933:PGM720934 PGM720938 PGM786459:PGM786462 PGM786466:PGM786467 PGM786469:PGM786470 PGM786474 PGM851995:PGM851998 PGM852002:PGM852003 PGM852005:PGM852006 PGM852010 PGM917531:PGM917534 PGM917538:PGM917539 PGM917541:PGM917542 PGM917546 PGM983067:PGM983070 PGM983074:PGM983075 PGM983077:PGM983078 PGM983082 PGN41 PGN65576 PGN131112 PGN196648 PGN262184 PGN327720 PGN393256 PGN458792 PGN524328 PGN589864 PGN655400 PGN720936 PGN786472 PGN852008 PGN917544 PGN983080 PHH38 PHH65573 PHH131109 PHH196645 PHH262181 PHH327717 PHH393253 PHH458789 PHH524325 PHH589861 PHH655397 PHH720933 PHH786469 PHH852005 PHH917541 PHH983077 PHI30:PHI33 PHI38:PHI40 PHI65563:PHI65566 PHI65573:PHI65575 PHI131099:PHI131102 PHI131109:PHI131111 PHI196635:PHI196638 PHI196645:PHI196647 PHI262171:PHI262174 PHI262181:PHI262183 PHI327707:PHI327710 PHI327717:PHI327719 PHI393243:PHI393246 PHI393253:PHI393255 PHI458779:PHI458782 PHI458789:PHI458791 PHI524315:PHI524318 PHI524325:PHI524327 PHI589851:PHI589854 PHI589861:PHI589863 PHI655387:PHI655390 PHI655397:PHI655399 PHI720923:PHI720926 PHI720933:PHI720935 PHI786459:PHI786462 PHI786469:PHI786471 PHI851995:PHI851998 PHI852005:PHI852007 PHI917531:PHI917534 PHI917541:PHI917543 PHI983067:PHI983070 PHI983077:PHI983079 PQI30:PQI33 PQI35:PQI36 PQI38:PQI39 PQI43 PQI65563:PQI65566 PQI65570:PQI65571 PQI65573:PQI65574 PQI65578 PQI131099:PQI131102 PQI131106:PQI131107 PQI131109:PQI131110 PQI131114 PQI196635:PQI196638 PQI196642:PQI196643 PQI196645:PQI196646 PQI196650 PQI262171:PQI262174 PQI262178:PQI262179 PQI262181:PQI262182 PQI262186 PQI327707:PQI327710 PQI327714:PQI327715 PQI327717:PQI327718 PQI327722 PQI393243:PQI393246 PQI393250:PQI393251 PQI393253:PQI393254 PQI393258 PQI458779:PQI458782 PQI458786:PQI458787 PQI458789:PQI458790 PQI458794 PQI524315:PQI524318 PQI524322:PQI524323 PQI524325:PQI524326 PQI524330 PQI589851:PQI589854 PQI589858:PQI589859 PQI589861:PQI589862 PQI589866 PQI655387:PQI655390 PQI655394:PQI655395 PQI655397:PQI655398 PQI655402 PQI720923:PQI720926 PQI720930:PQI720931 PQI720933:PQI720934 PQI720938 PQI786459:PQI786462 PQI786466:PQI786467 PQI786469:PQI786470 PQI786474 PQI851995:PQI851998 PQI852002:PQI852003 PQI852005:PQI852006 PQI852010 PQI917531:PQI917534 PQI917538:PQI917539 PQI917541:PQI917542 PQI917546 PQI983067:PQI983070 PQI983074:PQI983075 PQI983077:PQI983078 PQI983082 PQJ41 PQJ65576 PQJ131112 PQJ196648 PQJ262184 PQJ327720 PQJ393256 PQJ458792 PQJ524328 PQJ589864 PQJ655400 PQJ720936 PQJ786472 PQJ852008 PQJ917544 PQJ983080 PRD38 PRD65573 PRD131109 PRD196645 PRD262181 PRD327717 PRD393253 PRD458789 PRD524325 PRD589861 PRD655397 PRD720933 PRD786469 PRD852005 PRD917541 PRD983077 PRE30:PRE33 PRE38:PRE40 PRE65563:PRE65566 PRE65573:PRE65575 PRE131099:PRE131102 PRE131109:PRE131111 PRE196635:PRE196638 PRE196645:PRE196647 PRE262171:PRE262174 PRE262181:PRE262183 PRE327707:PRE327710 PRE327717:PRE327719 PRE393243:PRE393246 PRE393253:PRE393255 PRE458779:PRE458782 PRE458789:PRE458791 PRE524315:PRE524318 PRE524325:PRE524327 PRE589851:PRE589854 PRE589861:PRE589863 PRE655387:PRE655390 PRE655397:PRE655399 PRE720923:PRE720926 PRE720933:PRE720935 PRE786459:PRE786462 PRE786469:PRE786471 PRE851995:PRE851998 PRE852005:PRE852007 PRE917531:PRE917534 PRE917541:PRE917543 PRE983067:PRE983070 PRE983077:PRE983079 QAE30:QAE33 QAE35:QAE36 QAE38:QAE39 QAE43 QAE65563:QAE65566 QAE65570:QAE65571 QAE65573:QAE65574 QAE65578 QAE131099:QAE131102 QAE131106:QAE131107 QAE131109:QAE131110 QAE131114 QAE196635:QAE196638 QAE196642:QAE196643 QAE196645:QAE196646 QAE196650 QAE262171:QAE262174 QAE262178:QAE262179 QAE262181:QAE262182 QAE262186 QAE327707:QAE327710 QAE327714:QAE327715 QAE327717:QAE327718 QAE327722 QAE393243:QAE393246 QAE393250:QAE393251 QAE393253:QAE393254 QAE393258 QAE458779:QAE458782 QAE458786:QAE458787 QAE458789:QAE458790 QAE458794 QAE524315:QAE524318 QAE524322:QAE524323 QAE524325:QAE524326 QAE524330 QAE589851:QAE589854 QAE589858:QAE589859 QAE589861:QAE589862 QAE589866 QAE655387:QAE655390 QAE655394:QAE655395 QAE655397:QAE655398 QAE655402 QAE720923:QAE720926 QAE720930:QAE720931 QAE720933:QAE720934 QAE720938 QAE786459:QAE786462 QAE786466:QAE786467 QAE786469:QAE786470 QAE786474 QAE851995:QAE851998 QAE852002:QAE852003 QAE852005:QAE852006 QAE852010 QAE917531:QAE917534 QAE917538:QAE917539 QAE917541:QAE917542 QAE917546 QAE983067:QAE983070 QAE983074:QAE983075 QAE983077:QAE983078 QAE983082 QAF41 QAF65576 QAF131112 QAF196648 QAF262184 QAF327720 QAF393256 QAF458792 QAF524328 QAF589864 QAF655400 QAF720936 QAF786472 QAF852008 QAF917544 QAF983080 QAZ38 QAZ65573 QAZ131109 QAZ196645 QAZ262181 QAZ327717 QAZ393253 QAZ458789 QAZ524325 QAZ589861 QAZ655397 QAZ720933 QAZ786469 QAZ852005 QAZ917541 QAZ983077 QBA30:QBA33 QBA38:QBA40 QBA65563:QBA65566 QBA65573:QBA65575 QBA131099:QBA131102 QBA131109:QBA131111 QBA196635:QBA196638 QBA196645:QBA196647 QBA262171:QBA262174 QBA262181:QBA262183 QBA327707:QBA327710 QBA327717:QBA327719 QBA393243:QBA393246 QBA393253:QBA393255 QBA458779:QBA458782 QBA458789:QBA458791 QBA524315:QBA524318 QBA524325:QBA524327 QBA589851:QBA589854 QBA589861:QBA589863 QBA655387:QBA655390 QBA655397:QBA655399 QBA720923:QBA720926 QBA720933:QBA720935 QBA786459:QBA786462 QBA786469:QBA786471 QBA851995:QBA851998 QBA852005:QBA852007 QBA917531:QBA917534 QBA917541:QBA917543 QBA983067:QBA983070 QBA983077:QBA983079 QKA30:QKA33 QKA35:QKA36 QKA38:QKA39 QKA43 QKA65563:QKA65566 QKA65570:QKA65571 QKA65573:QKA65574 QKA65578 QKA131099:QKA131102 QKA131106:QKA131107 QKA131109:QKA131110 QKA131114 QKA196635:QKA196638 QKA196642:QKA196643 QKA196645:QKA196646 QKA196650 QKA262171:QKA262174 QKA262178:QKA262179 QKA262181:QKA262182 QKA262186 QKA327707:QKA327710 QKA327714:QKA327715 QKA327717:QKA327718 QKA327722 QKA393243:QKA393246 QKA393250:QKA393251 QKA393253:QKA393254 QKA393258 QKA458779:QKA458782 QKA458786:QKA458787 QKA458789:QKA458790 QKA458794 QKA524315:QKA524318 QKA524322:QKA524323 QKA524325:QKA524326 QKA524330 QKA589851:QKA589854 QKA589858:QKA589859 QKA589861:QKA589862 QKA589866 QKA655387:QKA655390 QKA655394:QKA655395 QKA655397:QKA655398 QKA655402 QKA720923:QKA720926 QKA720930:QKA720931 QKA720933:QKA720934 QKA720938 QKA786459:QKA786462 QKA786466:QKA786467 QKA786469:QKA786470 QKA786474 QKA851995:QKA851998 QKA852002:QKA852003 QKA852005:QKA852006 QKA852010 QKA917531:QKA917534 QKA917538:QKA917539 QKA917541:QKA917542 QKA917546 QKA983067:QKA983070 QKA983074:QKA983075 QKA983077:QKA983078 QKA983082 QKB41 QKB65576 QKB131112 QKB196648 QKB262184 QKB327720 QKB393256 QKB458792 QKB524328 QKB589864 QKB655400 QKB720936 QKB786472 QKB852008 QKB917544 QKB983080 QKV38 QKV65573 QKV131109 QKV196645 QKV262181 QKV327717 QKV393253 QKV458789 QKV524325 QKV589861 QKV655397 QKV720933 QKV786469 QKV852005 QKV917541 QKV983077 QKW30:QKW33 QKW38:QKW40 QKW65563:QKW65566 QKW65573:QKW65575 QKW131099:QKW131102 QKW131109:QKW131111 QKW196635:QKW196638 QKW196645:QKW196647 QKW262171:QKW262174 QKW262181:QKW262183 QKW327707:QKW327710 QKW327717:QKW327719 QKW393243:QKW393246 QKW393253:QKW393255 QKW458779:QKW458782 QKW458789:QKW458791 QKW524315:QKW524318 QKW524325:QKW524327 QKW589851:QKW589854 QKW589861:QKW589863 QKW655387:QKW655390 QKW655397:QKW655399 QKW720923:QKW720926 QKW720933:QKW720935 QKW786459:QKW786462 QKW786469:QKW786471 QKW851995:QKW851998 QKW852005:QKW852007 QKW917531:QKW917534 QKW917541:QKW917543 QKW983067:QKW983070 QKW983077:QKW983079 QTW30:QTW33 QTW35:QTW36 QTW38:QTW39 QTW43 QTW65563:QTW65566 QTW65570:QTW65571 QTW65573:QTW65574 QTW65578 QTW131099:QTW131102 QTW131106:QTW131107 QTW131109:QTW131110 QTW131114 QTW196635:QTW196638 QTW196642:QTW196643 QTW196645:QTW196646 QTW196650 QTW262171:QTW262174 QTW262178:QTW262179 QTW262181:QTW262182 QTW262186 QTW327707:QTW327710 QTW327714:QTW327715 QTW327717:QTW327718 QTW327722 QTW393243:QTW393246 QTW393250:QTW393251 QTW393253:QTW393254 QTW393258 QTW458779:QTW458782 QTW458786:QTW458787 QTW458789:QTW458790 QTW458794 QTW524315:QTW524318 QTW524322:QTW524323 QTW524325:QTW524326 QTW524330 QTW589851:QTW589854 QTW589858:QTW589859 QTW589861:QTW589862 QTW589866 QTW655387:QTW655390 QTW655394:QTW655395 QTW655397:QTW655398 QTW655402 QTW720923:QTW720926 QTW720930:QTW720931 QTW720933:QTW720934 QTW720938 QTW786459:QTW786462 QTW786466:QTW786467 QTW786469:QTW786470 QTW786474 QTW851995:QTW851998 QTW852002:QTW852003 QTW852005:QTW852006 QTW852010 QTW917531:QTW917534 QTW917538:QTW917539 QTW917541:QTW917542 QTW917546 QTW983067:QTW983070 QTW983074:QTW983075 QTW983077:QTW983078 QTW983082 QTX41 QTX65576 QTX131112 QTX196648 QTX262184 QTX327720 QTX393256 QTX458792 QTX524328 QTX589864 QTX655400 QTX720936 QTX786472 QTX852008 QTX917544 QTX983080 QUR38 QUR65573 QUR131109 QUR196645 QUR262181 QUR327717 QUR393253 QUR458789 QUR524325 QUR589861 QUR655397 QUR720933 QUR786469 QUR852005 QUR917541 QUR983077 QUS30:QUS33 QUS38:QUS40 QUS65563:QUS65566 QUS65573:QUS65575 QUS131099:QUS131102 QUS131109:QUS131111 QUS196635:QUS196638 QUS196645:QUS196647 QUS262171:QUS262174 QUS262181:QUS262183 QUS327707:QUS327710 QUS327717:QUS327719 QUS393243:QUS393246 QUS393253:QUS393255 QUS458779:QUS458782 QUS458789:QUS458791 QUS524315:QUS524318 QUS524325:QUS524327 QUS589851:QUS589854 QUS589861:QUS589863 QUS655387:QUS655390 QUS655397:QUS655399 QUS720923:QUS720926 QUS720933:QUS720935 QUS786459:QUS786462 QUS786469:QUS786471 QUS851995:QUS851998 QUS852005:QUS852007 QUS917531:QUS917534 QUS917541:QUS917543 QUS983067:QUS983070 QUS983077:QUS983079 RDS30:RDS33 RDS35:RDS36 RDS38:RDS39 RDS43 RDS65563:RDS65566 RDS65570:RDS65571 RDS65573:RDS65574 RDS65578 RDS131099:RDS131102 RDS131106:RDS131107 RDS131109:RDS131110 RDS131114 RDS196635:RDS196638 RDS196642:RDS196643 RDS196645:RDS196646 RDS196650 RDS262171:RDS262174 RDS262178:RDS262179 RDS262181:RDS262182 RDS262186 RDS327707:RDS327710 RDS327714:RDS327715 RDS327717:RDS327718 RDS327722 RDS393243:RDS393246 RDS393250:RDS393251 RDS393253:RDS393254 RDS393258 RDS458779:RDS458782 RDS458786:RDS458787 RDS458789:RDS458790 RDS458794 RDS524315:RDS524318 RDS524322:RDS524323 RDS524325:RDS524326 RDS524330 RDS589851:RDS589854 RDS589858:RDS589859 RDS589861:RDS589862 RDS589866 RDS655387:RDS655390 RDS655394:RDS655395 RDS655397:RDS655398 RDS655402 RDS720923:RDS720926 RDS720930:RDS720931 RDS720933:RDS720934 RDS720938 RDS786459:RDS786462 RDS786466:RDS786467 RDS786469:RDS786470 RDS786474 RDS851995:RDS851998 RDS852002:RDS852003 RDS852005:RDS852006 RDS852010 RDS917531:RDS917534 RDS917538:RDS917539 RDS917541:RDS917542 RDS917546 RDS983067:RDS983070 RDS983074:RDS983075 RDS983077:RDS983078 RDS983082 RDT41 RDT65576 RDT131112 RDT196648 RDT262184 RDT327720 RDT393256 RDT458792 RDT524328 RDT589864 RDT655400 RDT720936 RDT786472 RDT852008 RDT917544 RDT983080 REN38 REN65573 REN131109 REN196645 REN262181 REN327717 REN393253 REN458789 REN524325 REN589861 REN655397 REN720933 REN786469 REN852005 REN917541 REN983077 REO30:REO33 REO38:REO40 REO65563:REO65566 REO65573:REO65575 REO131099:REO131102 REO131109:REO131111 REO196635:REO196638 REO196645:REO196647 REO262171:REO262174 REO262181:REO262183 REO327707:REO327710 REO327717:REO327719 REO393243:REO393246 REO393253:REO393255 REO458779:REO458782 REO458789:REO458791 REO524315:REO524318 REO524325:REO524327 REO589851:REO589854 REO589861:REO589863 REO655387:REO655390 REO655397:REO655399 REO720923:REO720926 REO720933:REO720935 REO786459:REO786462 REO786469:REO786471 REO851995:REO851998 REO852005:REO852007 REO917531:REO917534 REO917541:REO917543 REO983067:REO983070 REO983077:REO983079 RNO30:RNO33 RNO35:RNO36 RNO38:RNO39 RNO43 RNO65563:RNO65566 RNO65570:RNO65571 RNO65573:RNO65574 RNO65578 RNO131099:RNO131102 RNO131106:RNO131107 RNO131109:RNO131110 RNO131114 RNO196635:RNO196638 RNO196642:RNO196643 RNO196645:RNO196646 RNO196650 RNO262171:RNO262174 RNO262178:RNO262179 RNO262181:RNO262182 RNO262186 RNO327707:RNO327710 RNO327714:RNO327715 RNO327717:RNO327718 RNO327722 RNO393243:RNO393246 RNO393250:RNO393251 RNO393253:RNO393254 RNO393258 RNO458779:RNO458782 RNO458786:RNO458787 RNO458789:RNO458790 RNO458794 RNO524315:RNO524318 RNO524322:RNO524323 RNO524325:RNO524326 RNO524330 RNO589851:RNO589854 RNO589858:RNO589859 RNO589861:RNO589862 RNO589866 RNO655387:RNO655390 RNO655394:RNO655395 RNO655397:RNO655398 RNO655402 RNO720923:RNO720926 RNO720930:RNO720931 RNO720933:RNO720934 RNO720938 RNO786459:RNO786462 RNO786466:RNO786467 RNO786469:RNO786470 RNO786474 RNO851995:RNO851998 RNO852002:RNO852003 RNO852005:RNO852006 RNO852010 RNO917531:RNO917534 RNO917538:RNO917539 RNO917541:RNO917542 RNO917546 RNO983067:RNO983070 RNO983074:RNO983075 RNO983077:RNO983078 RNO983082 RNP41 RNP65576 RNP131112 RNP196648 RNP262184 RNP327720 RNP393256 RNP458792 RNP524328 RNP589864 RNP655400 RNP720936 RNP786472 RNP852008 RNP917544 RNP983080 ROJ38 ROJ65573 ROJ131109 ROJ196645 ROJ262181 ROJ327717 ROJ393253 ROJ458789 ROJ524325 ROJ589861 ROJ655397 ROJ720933 ROJ786469 ROJ852005 ROJ917541 ROJ983077 ROK30:ROK33 ROK38:ROK40 ROK65563:ROK65566 ROK65573:ROK65575 ROK131099:ROK131102 ROK131109:ROK131111 ROK196635:ROK196638 ROK196645:ROK196647 ROK262171:ROK262174 ROK262181:ROK262183 ROK327707:ROK327710 ROK327717:ROK327719 ROK393243:ROK393246 ROK393253:ROK393255 ROK458779:ROK458782 ROK458789:ROK458791 ROK524315:ROK524318 ROK524325:ROK524327 ROK589851:ROK589854 ROK589861:ROK589863 ROK655387:ROK655390 ROK655397:ROK655399 ROK720923:ROK720926 ROK720933:ROK720935 ROK786459:ROK786462 ROK786469:ROK786471 ROK851995:ROK851998 ROK852005:ROK852007 ROK917531:ROK917534 ROK917541:ROK917543 ROK983067:ROK983070 ROK983077:ROK983079 RXK30:RXK33 RXK35:RXK36 RXK38:RXK39 RXK43 RXK65563:RXK65566 RXK65570:RXK65571 RXK65573:RXK65574 RXK65578 RXK131099:RXK131102 RXK131106:RXK131107 RXK131109:RXK131110 RXK131114 RXK196635:RXK196638 RXK196642:RXK196643 RXK196645:RXK196646 RXK196650 RXK262171:RXK262174 RXK262178:RXK262179 RXK262181:RXK262182 RXK262186 RXK327707:RXK327710 RXK327714:RXK327715 RXK327717:RXK327718 RXK327722 RXK393243:RXK393246 RXK393250:RXK393251 RXK393253:RXK393254 RXK393258 RXK458779:RXK458782 RXK458786:RXK458787 RXK458789:RXK458790 RXK458794 RXK524315:RXK524318 RXK524322:RXK524323 RXK524325:RXK524326 RXK524330 RXK589851:RXK589854 RXK589858:RXK589859 RXK589861:RXK589862 RXK589866 RXK655387:RXK655390 RXK655394:RXK655395 RXK655397:RXK655398 RXK655402 RXK720923:RXK720926 RXK720930:RXK720931 RXK720933:RXK720934 RXK720938 RXK786459:RXK786462 RXK786466:RXK786467 RXK786469:RXK786470 RXK786474 RXK851995:RXK851998 RXK852002:RXK852003 RXK852005:RXK852006 RXK852010 RXK917531:RXK917534 RXK917538:RXK917539 RXK917541:RXK917542 RXK917546 RXK983067:RXK983070 RXK983074:RXK983075 RXK983077:RXK983078 RXK983082 RXL41 RXL65576 RXL131112 RXL196648 RXL262184 RXL327720 RXL393256 RXL458792 RXL524328 RXL589864 RXL655400 RXL720936 RXL786472 RXL852008 RXL917544 RXL983080 RYF38 RYF65573 RYF131109 RYF196645 RYF262181 RYF327717 RYF393253 RYF458789 RYF524325 RYF589861 RYF655397 RYF720933 RYF786469 RYF852005 RYF917541 RYF983077 RYG30:RYG33 RYG38:RYG40 RYG65563:RYG65566 RYG65573:RYG65575 RYG131099:RYG131102 RYG131109:RYG131111 RYG196635:RYG196638 RYG196645:RYG196647 RYG262171:RYG262174 RYG262181:RYG262183 RYG327707:RYG327710 RYG327717:RYG327719 RYG393243:RYG393246 RYG393253:RYG393255 RYG458779:RYG458782 RYG458789:RYG458791 RYG524315:RYG524318 RYG524325:RYG524327 RYG589851:RYG589854 RYG589861:RYG589863 RYG655387:RYG655390 RYG655397:RYG655399 RYG720923:RYG720926 RYG720933:RYG720935 RYG786459:RYG786462 RYG786469:RYG786471 RYG851995:RYG851998 RYG852005:RYG852007 RYG917531:RYG917534 RYG917541:RYG917543 RYG983067:RYG983070 RYG983077:RYG983079 SHG30:SHG33 SHG35:SHG36 SHG38:SHG39 SHG43 SHG65563:SHG65566 SHG65570:SHG65571 SHG65573:SHG65574 SHG65578 SHG131099:SHG131102 SHG131106:SHG131107 SHG131109:SHG131110 SHG131114 SHG196635:SHG196638 SHG196642:SHG196643 SHG196645:SHG196646 SHG196650 SHG262171:SHG262174 SHG262178:SHG262179 SHG262181:SHG262182 SHG262186 SHG327707:SHG327710 SHG327714:SHG327715 SHG327717:SHG327718 SHG327722 SHG393243:SHG393246 SHG393250:SHG393251 SHG393253:SHG393254 SHG393258 SHG458779:SHG458782 SHG458786:SHG458787 SHG458789:SHG458790 SHG458794 SHG524315:SHG524318 SHG524322:SHG524323 SHG524325:SHG524326 SHG524330 SHG589851:SHG589854 SHG589858:SHG589859 SHG589861:SHG589862 SHG589866 SHG655387:SHG655390 SHG655394:SHG655395 SHG655397:SHG655398 SHG655402 SHG720923:SHG720926 SHG720930:SHG720931 SHG720933:SHG720934 SHG720938 SHG786459:SHG786462 SHG786466:SHG786467 SHG786469:SHG786470 SHG786474 SHG851995:SHG851998 SHG852002:SHG852003 SHG852005:SHG852006 SHG852010 SHG917531:SHG917534 SHG917538:SHG917539 SHG917541:SHG917542 SHG917546 SHG983067:SHG983070 SHG983074:SHG983075 SHG983077:SHG983078 SHG983082 SHH41 SHH65576 SHH131112 SHH196648 SHH262184 SHH327720 SHH393256 SHH458792 SHH524328 SHH589864 SHH655400 SHH720936 SHH786472 SHH852008 SHH917544 SHH983080 SIB38 SIB65573 SIB131109 SIB196645 SIB262181 SIB327717 SIB393253 SIB458789 SIB524325 SIB589861 SIB655397 SIB720933 SIB786469 SIB852005 SIB917541 SIB983077 SIC30:SIC33 SIC38:SIC40 SIC65563:SIC65566 SIC65573:SIC65575 SIC131099:SIC131102 SIC131109:SIC131111 SIC196635:SIC196638 SIC196645:SIC196647 SIC262171:SIC262174 SIC262181:SIC262183 SIC327707:SIC327710 SIC327717:SIC327719 SIC393243:SIC393246 SIC393253:SIC393255 SIC458779:SIC458782 SIC458789:SIC458791 SIC524315:SIC524318 SIC524325:SIC524327 SIC589851:SIC589854 SIC589861:SIC589863 SIC655387:SIC655390 SIC655397:SIC655399 SIC720923:SIC720926 SIC720933:SIC720935 SIC786459:SIC786462 SIC786469:SIC786471 SIC851995:SIC851998 SIC852005:SIC852007 SIC917531:SIC917534 SIC917541:SIC917543 SIC983067:SIC983070 SIC983077:SIC983079 SRC30:SRC33 SRC35:SRC36 SRC38:SRC39 SRC43 SRC65563:SRC65566 SRC65570:SRC65571 SRC65573:SRC65574 SRC65578 SRC131099:SRC131102 SRC131106:SRC131107 SRC131109:SRC131110 SRC131114 SRC196635:SRC196638 SRC196642:SRC196643 SRC196645:SRC196646 SRC196650 SRC262171:SRC262174 SRC262178:SRC262179 SRC262181:SRC262182 SRC262186 SRC327707:SRC327710 SRC327714:SRC327715 SRC327717:SRC327718 SRC327722 SRC393243:SRC393246 SRC393250:SRC393251 SRC393253:SRC393254 SRC393258 SRC458779:SRC458782 SRC458786:SRC458787 SRC458789:SRC458790 SRC458794 SRC524315:SRC524318 SRC524322:SRC524323 SRC524325:SRC524326 SRC524330 SRC589851:SRC589854 SRC589858:SRC589859 SRC589861:SRC589862 SRC589866 SRC655387:SRC655390 SRC655394:SRC655395 SRC655397:SRC655398 SRC655402 SRC720923:SRC720926 SRC720930:SRC720931 SRC720933:SRC720934 SRC720938 SRC786459:SRC786462 SRC786466:SRC786467 SRC786469:SRC786470 SRC786474 SRC851995:SRC851998 SRC852002:SRC852003 SRC852005:SRC852006 SRC852010 SRC917531:SRC917534 SRC917538:SRC917539 SRC917541:SRC917542 SRC917546 SRC983067:SRC983070 SRC983074:SRC983075 SRC983077:SRC983078 SRC983082 SRD41 SRD65576 SRD131112 SRD196648 SRD262184 SRD327720 SRD393256 SRD458792 SRD524328 SRD589864 SRD655400 SRD720936 SRD786472 SRD852008 SRD917544 SRD983080 SRX38 SRX65573 SRX131109 SRX196645 SRX262181 SRX327717 SRX393253 SRX458789 SRX524325 SRX589861 SRX655397 SRX720933 SRX786469 SRX852005 SRX917541 SRX983077 SRY30:SRY33 SRY38:SRY40 SRY65563:SRY65566 SRY65573:SRY65575 SRY131099:SRY131102 SRY131109:SRY131111 SRY196635:SRY196638 SRY196645:SRY196647 SRY262171:SRY262174 SRY262181:SRY262183 SRY327707:SRY327710 SRY327717:SRY327719 SRY393243:SRY393246 SRY393253:SRY393255 SRY458779:SRY458782 SRY458789:SRY458791 SRY524315:SRY524318 SRY524325:SRY524327 SRY589851:SRY589854 SRY589861:SRY589863 SRY655387:SRY655390 SRY655397:SRY655399 SRY720923:SRY720926 SRY720933:SRY720935 SRY786459:SRY786462 SRY786469:SRY786471 SRY851995:SRY851998 SRY852005:SRY852007 SRY917531:SRY917534 SRY917541:SRY917543 SRY983067:SRY983070 SRY983077:SRY983079 TAY30:TAY33 TAY35:TAY36 TAY38:TAY39 TAY43 TAY65563:TAY65566 TAY65570:TAY65571 TAY65573:TAY65574 TAY65578 TAY131099:TAY131102 TAY131106:TAY131107 TAY131109:TAY131110 TAY131114 TAY196635:TAY196638 TAY196642:TAY196643 TAY196645:TAY196646 TAY196650 TAY262171:TAY262174 TAY262178:TAY262179 TAY262181:TAY262182 TAY262186 TAY327707:TAY327710 TAY327714:TAY327715 TAY327717:TAY327718 TAY327722 TAY393243:TAY393246 TAY393250:TAY393251 TAY393253:TAY393254 TAY393258 TAY458779:TAY458782 TAY458786:TAY458787 TAY458789:TAY458790 TAY458794 TAY524315:TAY524318 TAY524322:TAY524323 TAY524325:TAY524326 TAY524330 TAY589851:TAY589854 TAY589858:TAY589859 TAY589861:TAY589862 TAY589866 TAY655387:TAY655390 TAY655394:TAY655395 TAY655397:TAY655398 TAY655402 TAY720923:TAY720926 TAY720930:TAY720931 TAY720933:TAY720934 TAY720938 TAY786459:TAY786462 TAY786466:TAY786467 TAY786469:TAY786470 TAY786474 TAY851995:TAY851998 TAY852002:TAY852003 TAY852005:TAY852006 TAY852010 TAY917531:TAY917534 TAY917538:TAY917539 TAY917541:TAY917542 TAY917546 TAY983067:TAY983070 TAY983074:TAY983075 TAY983077:TAY983078 TAY983082 TAZ41 TAZ65576 TAZ131112 TAZ196648 TAZ262184 TAZ327720 TAZ393256 TAZ458792 TAZ524328 TAZ589864 TAZ655400 TAZ720936 TAZ786472 TAZ852008 TAZ917544 TAZ983080 TBT38 TBT65573 TBT131109 TBT196645 TBT262181 TBT327717 TBT393253 TBT458789 TBT524325 TBT589861 TBT655397 TBT720933 TBT786469 TBT852005 TBT917541 TBT983077 TBU30:TBU33 TBU38:TBU40 TBU65563:TBU65566 TBU65573:TBU65575 TBU131099:TBU131102 TBU131109:TBU131111 TBU196635:TBU196638 TBU196645:TBU196647 TBU262171:TBU262174 TBU262181:TBU262183 TBU327707:TBU327710 TBU327717:TBU327719 TBU393243:TBU393246 TBU393253:TBU393255 TBU458779:TBU458782 TBU458789:TBU458791 TBU524315:TBU524318 TBU524325:TBU524327 TBU589851:TBU589854 TBU589861:TBU589863 TBU655387:TBU655390 TBU655397:TBU655399 TBU720923:TBU720926 TBU720933:TBU720935 TBU786459:TBU786462 TBU786469:TBU786471 TBU851995:TBU851998 TBU852005:TBU852007 TBU917531:TBU917534 TBU917541:TBU917543 TBU983067:TBU983070 TBU983077:TBU983079 TKU30:TKU33 TKU35:TKU36 TKU38:TKU39 TKU43 TKU65563:TKU65566 TKU65570:TKU65571 TKU65573:TKU65574 TKU65578 TKU131099:TKU131102 TKU131106:TKU131107 TKU131109:TKU131110 TKU131114 TKU196635:TKU196638 TKU196642:TKU196643 TKU196645:TKU196646 TKU196650 TKU262171:TKU262174 TKU262178:TKU262179 TKU262181:TKU262182 TKU262186 TKU327707:TKU327710 TKU327714:TKU327715 TKU327717:TKU327718 TKU327722 TKU393243:TKU393246 TKU393250:TKU393251 TKU393253:TKU393254 TKU393258 TKU458779:TKU458782 TKU458786:TKU458787 TKU458789:TKU458790 TKU458794 TKU524315:TKU524318 TKU524322:TKU524323 TKU524325:TKU524326 TKU524330 TKU589851:TKU589854 TKU589858:TKU589859 TKU589861:TKU589862 TKU589866 TKU655387:TKU655390 TKU655394:TKU655395 TKU655397:TKU655398 TKU655402 TKU720923:TKU720926 TKU720930:TKU720931 TKU720933:TKU720934 TKU720938 TKU786459:TKU786462 TKU786466:TKU786467 TKU786469:TKU786470 TKU786474 TKU851995:TKU851998 TKU852002:TKU852003 TKU852005:TKU852006 TKU852010 TKU917531:TKU917534 TKU917538:TKU917539 TKU917541:TKU917542 TKU917546 TKU983067:TKU983070 TKU983074:TKU983075 TKU983077:TKU983078 TKU983082 TKV41 TKV65576 TKV131112 TKV196648 TKV262184 TKV327720 TKV393256 TKV458792 TKV524328 TKV589864 TKV655400 TKV720936 TKV786472 TKV852008 TKV917544 TKV983080 TLP38 TLP65573 TLP131109 TLP196645 TLP262181 TLP327717 TLP393253 TLP458789 TLP524325 TLP589861 TLP655397 TLP720933 TLP786469 TLP852005 TLP917541 TLP983077 TLQ30:TLQ33 TLQ38:TLQ40 TLQ65563:TLQ65566 TLQ65573:TLQ65575 TLQ131099:TLQ131102 TLQ131109:TLQ131111 TLQ196635:TLQ196638 TLQ196645:TLQ196647 TLQ262171:TLQ262174 TLQ262181:TLQ262183 TLQ327707:TLQ327710 TLQ327717:TLQ327719 TLQ393243:TLQ393246 TLQ393253:TLQ393255 TLQ458779:TLQ458782 TLQ458789:TLQ458791 TLQ524315:TLQ524318 TLQ524325:TLQ524327 TLQ589851:TLQ589854 TLQ589861:TLQ589863 TLQ655387:TLQ655390 TLQ655397:TLQ655399 TLQ720923:TLQ720926 TLQ720933:TLQ720935 TLQ786459:TLQ786462 TLQ786469:TLQ786471 TLQ851995:TLQ851998 TLQ852005:TLQ852007 TLQ917531:TLQ917534 TLQ917541:TLQ917543 TLQ983067:TLQ983070 TLQ983077:TLQ983079 TUQ30:TUQ33 TUQ35:TUQ36 TUQ38:TUQ39 TUQ43 TUQ65563:TUQ65566 TUQ65570:TUQ65571 TUQ65573:TUQ65574 TUQ65578 TUQ131099:TUQ131102 TUQ131106:TUQ131107 TUQ131109:TUQ131110 TUQ131114 TUQ196635:TUQ196638 TUQ196642:TUQ196643 TUQ196645:TUQ196646 TUQ196650 TUQ262171:TUQ262174 TUQ262178:TUQ262179 TUQ262181:TUQ262182 TUQ262186 TUQ327707:TUQ327710 TUQ327714:TUQ327715 TUQ327717:TUQ327718 TUQ327722 TUQ393243:TUQ393246 TUQ393250:TUQ393251 TUQ393253:TUQ393254 TUQ393258 TUQ458779:TUQ458782 TUQ458786:TUQ458787 TUQ458789:TUQ458790 TUQ458794 TUQ524315:TUQ524318 TUQ524322:TUQ524323 TUQ524325:TUQ524326 TUQ524330 TUQ589851:TUQ589854 TUQ589858:TUQ589859 TUQ589861:TUQ589862 TUQ589866 TUQ655387:TUQ655390 TUQ655394:TUQ655395 TUQ655397:TUQ655398 TUQ655402 TUQ720923:TUQ720926 TUQ720930:TUQ720931 TUQ720933:TUQ720934 TUQ720938 TUQ786459:TUQ786462 TUQ786466:TUQ786467 TUQ786469:TUQ786470 TUQ786474 TUQ851995:TUQ851998 TUQ852002:TUQ852003 TUQ852005:TUQ852006 TUQ852010 TUQ917531:TUQ917534 TUQ917538:TUQ917539 TUQ917541:TUQ917542 TUQ917546 TUQ983067:TUQ983070 TUQ983074:TUQ983075 TUQ983077:TUQ983078 TUQ983082 TUR41 TUR65576 TUR131112 TUR196648 TUR262184 TUR327720 TUR393256 TUR458792 TUR524328 TUR589864 TUR655400 TUR720936 TUR786472 TUR852008 TUR917544 TUR983080 TVL38 TVL65573 TVL131109 TVL196645 TVL262181 TVL327717 TVL393253 TVL458789 TVL524325 TVL589861 TVL655397 TVL720933 TVL786469 TVL852005 TVL917541 TVL983077 TVM30:TVM33 TVM38:TVM40 TVM65563:TVM65566 TVM65573:TVM65575 TVM131099:TVM131102 TVM131109:TVM131111 TVM196635:TVM196638 TVM196645:TVM196647 TVM262171:TVM262174 TVM262181:TVM262183 TVM327707:TVM327710 TVM327717:TVM327719 TVM393243:TVM393246 TVM393253:TVM393255 TVM458779:TVM458782 TVM458789:TVM458791 TVM524315:TVM524318 TVM524325:TVM524327 TVM589851:TVM589854 TVM589861:TVM589863 TVM655387:TVM655390 TVM655397:TVM655399 TVM720923:TVM720926 TVM720933:TVM720935 TVM786459:TVM786462 TVM786469:TVM786471 TVM851995:TVM851998 TVM852005:TVM852007 TVM917531:TVM917534 TVM917541:TVM917543 TVM983067:TVM983070 TVM983077:TVM983079 UEM30:UEM33 UEM35:UEM36 UEM38:UEM39 UEM43 UEM65563:UEM65566 UEM65570:UEM65571 UEM65573:UEM65574 UEM65578 UEM131099:UEM131102 UEM131106:UEM131107 UEM131109:UEM131110 UEM131114 UEM196635:UEM196638 UEM196642:UEM196643 UEM196645:UEM196646 UEM196650 UEM262171:UEM262174 UEM262178:UEM262179 UEM262181:UEM262182 UEM262186 UEM327707:UEM327710 UEM327714:UEM327715 UEM327717:UEM327718 UEM327722 UEM393243:UEM393246 UEM393250:UEM393251 UEM393253:UEM393254 UEM393258 UEM458779:UEM458782 UEM458786:UEM458787 UEM458789:UEM458790 UEM458794 UEM524315:UEM524318 UEM524322:UEM524323 UEM524325:UEM524326 UEM524330 UEM589851:UEM589854 UEM589858:UEM589859 UEM589861:UEM589862 UEM589866 UEM655387:UEM655390 UEM655394:UEM655395 UEM655397:UEM655398 UEM655402 UEM720923:UEM720926 UEM720930:UEM720931 UEM720933:UEM720934 UEM720938 UEM786459:UEM786462 UEM786466:UEM786467 UEM786469:UEM786470 UEM786474 UEM851995:UEM851998 UEM852002:UEM852003 UEM852005:UEM852006 UEM852010 UEM917531:UEM917534 UEM917538:UEM917539 UEM917541:UEM917542 UEM917546 UEM983067:UEM983070 UEM983074:UEM983075 UEM983077:UEM983078 UEM983082 UEN41 UEN65576 UEN131112 UEN196648 UEN262184 UEN327720 UEN393256 UEN458792 UEN524328 UEN589864 UEN655400 UEN720936 UEN786472 UEN852008 UEN917544 UEN983080 UFH38 UFH65573 UFH131109 UFH196645 UFH262181 UFH327717 UFH393253 UFH458789 UFH524325 UFH589861 UFH655397 UFH720933 UFH786469 UFH852005 UFH917541 UFH983077 UFI30:UFI33 UFI38:UFI40 UFI65563:UFI65566 UFI65573:UFI65575 UFI131099:UFI131102 UFI131109:UFI131111 UFI196635:UFI196638 UFI196645:UFI196647 UFI262171:UFI262174 UFI262181:UFI262183 UFI327707:UFI327710 UFI327717:UFI327719 UFI393243:UFI393246 UFI393253:UFI393255 UFI458779:UFI458782 UFI458789:UFI458791 UFI524315:UFI524318 UFI524325:UFI524327 UFI589851:UFI589854 UFI589861:UFI589863 UFI655387:UFI655390 UFI655397:UFI655399 UFI720923:UFI720926 UFI720933:UFI720935 UFI786459:UFI786462 UFI786469:UFI786471 UFI851995:UFI851998 UFI852005:UFI852007 UFI917531:UFI917534 UFI917541:UFI917543 UFI983067:UFI983070 UFI983077:UFI983079 UOI30:UOI33 UOI35:UOI36 UOI38:UOI39 UOI43 UOI65563:UOI65566 UOI65570:UOI65571 UOI65573:UOI65574 UOI65578 UOI131099:UOI131102 UOI131106:UOI131107 UOI131109:UOI131110 UOI131114 UOI196635:UOI196638 UOI196642:UOI196643 UOI196645:UOI196646 UOI196650 UOI262171:UOI262174 UOI262178:UOI262179 UOI262181:UOI262182 UOI262186 UOI327707:UOI327710 UOI327714:UOI327715 UOI327717:UOI327718 UOI327722 UOI393243:UOI393246 UOI393250:UOI393251 UOI393253:UOI393254 UOI393258 UOI458779:UOI458782 UOI458786:UOI458787 UOI458789:UOI458790 UOI458794 UOI524315:UOI524318 UOI524322:UOI524323 UOI524325:UOI524326 UOI524330 UOI589851:UOI589854 UOI589858:UOI589859 UOI589861:UOI589862 UOI589866 UOI655387:UOI655390 UOI655394:UOI655395 UOI655397:UOI655398 UOI655402 UOI720923:UOI720926 UOI720930:UOI720931 UOI720933:UOI720934 UOI720938 UOI786459:UOI786462 UOI786466:UOI786467 UOI786469:UOI786470 UOI786474 UOI851995:UOI851998 UOI852002:UOI852003 UOI852005:UOI852006 UOI852010 UOI917531:UOI917534 UOI917538:UOI917539 UOI917541:UOI917542 UOI917546 UOI983067:UOI983070 UOI983074:UOI983075 UOI983077:UOI983078 UOI983082 UOJ41 UOJ65576 UOJ131112 UOJ196648 UOJ262184 UOJ327720 UOJ393256 UOJ458792 UOJ524328 UOJ589864 UOJ655400 UOJ720936 UOJ786472 UOJ852008 UOJ917544 UOJ983080 UPD38 UPD65573 UPD131109 UPD196645 UPD262181 UPD327717 UPD393253 UPD458789 UPD524325 UPD589861 UPD655397 UPD720933 UPD786469 UPD852005 UPD917541 UPD983077 UPE30:UPE33 UPE38:UPE40 UPE65563:UPE65566 UPE65573:UPE65575 UPE131099:UPE131102 UPE131109:UPE131111 UPE196635:UPE196638 UPE196645:UPE196647 UPE262171:UPE262174 UPE262181:UPE262183 UPE327707:UPE327710 UPE327717:UPE327719 UPE393243:UPE393246 UPE393253:UPE393255 UPE458779:UPE458782 UPE458789:UPE458791 UPE524315:UPE524318 UPE524325:UPE524327 UPE589851:UPE589854 UPE589861:UPE589863 UPE655387:UPE655390 UPE655397:UPE655399 UPE720923:UPE720926 UPE720933:UPE720935 UPE786459:UPE786462 UPE786469:UPE786471 UPE851995:UPE851998 UPE852005:UPE852007 UPE917531:UPE917534 UPE917541:UPE917543 UPE983067:UPE983070 UPE983077:UPE983079 UYE30:UYE33 UYE35:UYE36 UYE38:UYE39 UYE43 UYE65563:UYE65566 UYE65570:UYE65571 UYE65573:UYE65574 UYE65578 UYE131099:UYE131102 UYE131106:UYE131107 UYE131109:UYE131110 UYE131114 UYE196635:UYE196638 UYE196642:UYE196643 UYE196645:UYE196646 UYE196650 UYE262171:UYE262174 UYE262178:UYE262179 UYE262181:UYE262182 UYE262186 UYE327707:UYE327710 UYE327714:UYE327715 UYE327717:UYE327718 UYE327722 UYE393243:UYE393246 UYE393250:UYE393251 UYE393253:UYE393254 UYE393258 UYE458779:UYE458782 UYE458786:UYE458787 UYE458789:UYE458790 UYE458794 UYE524315:UYE524318 UYE524322:UYE524323 UYE524325:UYE524326 UYE524330 UYE589851:UYE589854 UYE589858:UYE589859 UYE589861:UYE589862 UYE589866 UYE655387:UYE655390 UYE655394:UYE655395 UYE655397:UYE655398 UYE655402 UYE720923:UYE720926 UYE720930:UYE720931 UYE720933:UYE720934 UYE720938 UYE786459:UYE786462 UYE786466:UYE786467 UYE786469:UYE786470 UYE786474 UYE851995:UYE851998 UYE852002:UYE852003 UYE852005:UYE852006 UYE852010 UYE917531:UYE917534 UYE917538:UYE917539 UYE917541:UYE917542 UYE917546 UYE983067:UYE983070 UYE983074:UYE983075 UYE983077:UYE983078 UYE983082 UYF41 UYF65576 UYF131112 UYF196648 UYF262184 UYF327720 UYF393256 UYF458792 UYF524328 UYF589864 UYF655400 UYF720936 UYF786472 UYF852008 UYF917544 UYF983080 UYZ38 UYZ65573 UYZ131109 UYZ196645 UYZ262181 UYZ327717 UYZ393253 UYZ458789 UYZ524325 UYZ589861 UYZ655397 UYZ720933 UYZ786469 UYZ852005 UYZ917541 UYZ983077 UZA30:UZA33 UZA38:UZA40 UZA65563:UZA65566 UZA65573:UZA65575 UZA131099:UZA131102 UZA131109:UZA131111 UZA196635:UZA196638 UZA196645:UZA196647 UZA262171:UZA262174 UZA262181:UZA262183 UZA327707:UZA327710 UZA327717:UZA327719 UZA393243:UZA393246 UZA393253:UZA393255 UZA458779:UZA458782 UZA458789:UZA458791 UZA524315:UZA524318 UZA524325:UZA524327 UZA589851:UZA589854 UZA589861:UZA589863 UZA655387:UZA655390 UZA655397:UZA655399 UZA720923:UZA720926 UZA720933:UZA720935 UZA786459:UZA786462 UZA786469:UZA786471 UZA851995:UZA851998 UZA852005:UZA852007 UZA917531:UZA917534 UZA917541:UZA917543 UZA983067:UZA983070 UZA983077:UZA983079 VIA30:VIA33 VIA35:VIA36 VIA38:VIA39 VIA43 VIA65563:VIA65566 VIA65570:VIA65571 VIA65573:VIA65574 VIA65578 VIA131099:VIA131102 VIA131106:VIA131107 VIA131109:VIA131110 VIA131114 VIA196635:VIA196638 VIA196642:VIA196643 VIA196645:VIA196646 VIA196650 VIA262171:VIA262174 VIA262178:VIA262179 VIA262181:VIA262182 VIA262186 VIA327707:VIA327710 VIA327714:VIA327715 VIA327717:VIA327718 VIA327722 VIA393243:VIA393246 VIA393250:VIA393251 VIA393253:VIA393254 VIA393258 VIA458779:VIA458782 VIA458786:VIA458787 VIA458789:VIA458790 VIA458794 VIA524315:VIA524318 VIA524322:VIA524323 VIA524325:VIA524326 VIA524330 VIA589851:VIA589854 VIA589858:VIA589859 VIA589861:VIA589862 VIA589866 VIA655387:VIA655390 VIA655394:VIA655395 VIA655397:VIA655398 VIA655402 VIA720923:VIA720926 VIA720930:VIA720931 VIA720933:VIA720934 VIA720938 VIA786459:VIA786462 VIA786466:VIA786467 VIA786469:VIA786470 VIA786474 VIA851995:VIA851998 VIA852002:VIA852003 VIA852005:VIA852006 VIA852010 VIA917531:VIA917534 VIA917538:VIA917539 VIA917541:VIA917542 VIA917546 VIA983067:VIA983070 VIA983074:VIA983075 VIA983077:VIA983078 VIA983082 VIB41 VIB65576 VIB131112 VIB196648 VIB262184 VIB327720 VIB393256 VIB458792 VIB524328 VIB589864 VIB655400 VIB720936 VIB786472 VIB852008 VIB917544 VIB983080 VIV38 VIV65573 VIV131109 VIV196645 VIV262181 VIV327717 VIV393253 VIV458789 VIV524325 VIV589861 VIV655397 VIV720933 VIV786469 VIV852005 VIV917541 VIV983077 VIW30:VIW33 VIW38:VIW40 VIW65563:VIW65566 VIW65573:VIW65575 VIW131099:VIW131102 VIW131109:VIW131111 VIW196635:VIW196638 VIW196645:VIW196647 VIW262171:VIW262174 VIW262181:VIW262183 VIW327707:VIW327710 VIW327717:VIW327719 VIW393243:VIW393246 VIW393253:VIW393255 VIW458779:VIW458782 VIW458789:VIW458791 VIW524315:VIW524318 VIW524325:VIW524327 VIW589851:VIW589854 VIW589861:VIW589863 VIW655387:VIW655390 VIW655397:VIW655399 VIW720923:VIW720926 VIW720933:VIW720935 VIW786459:VIW786462 VIW786469:VIW786471 VIW851995:VIW851998 VIW852005:VIW852007 VIW917531:VIW917534 VIW917541:VIW917543 VIW983067:VIW983070 VIW983077:VIW983079 VRW30:VRW33 VRW35:VRW36 VRW38:VRW39 VRW43 VRW65563:VRW65566 VRW65570:VRW65571 VRW65573:VRW65574 VRW65578 VRW131099:VRW131102 VRW131106:VRW131107 VRW131109:VRW131110 VRW131114 VRW196635:VRW196638 VRW196642:VRW196643 VRW196645:VRW196646 VRW196650 VRW262171:VRW262174 VRW262178:VRW262179 VRW262181:VRW262182 VRW262186 VRW327707:VRW327710 VRW327714:VRW327715 VRW327717:VRW327718 VRW327722 VRW393243:VRW393246 VRW393250:VRW393251 VRW393253:VRW393254 VRW393258 VRW458779:VRW458782 VRW458786:VRW458787 VRW458789:VRW458790 VRW458794 VRW524315:VRW524318 VRW524322:VRW524323 VRW524325:VRW524326 VRW524330 VRW589851:VRW589854 VRW589858:VRW589859 VRW589861:VRW589862 VRW589866 VRW655387:VRW655390 VRW655394:VRW655395 VRW655397:VRW655398 VRW655402 VRW720923:VRW720926 VRW720930:VRW720931 VRW720933:VRW720934 VRW720938 VRW786459:VRW786462 VRW786466:VRW786467 VRW786469:VRW786470 VRW786474 VRW851995:VRW851998 VRW852002:VRW852003 VRW852005:VRW852006 VRW852010 VRW917531:VRW917534 VRW917538:VRW917539 VRW917541:VRW917542 VRW917546 VRW983067:VRW983070 VRW983074:VRW983075 VRW983077:VRW983078 VRW983082 VRX41 VRX65576 VRX131112 VRX196648 VRX262184 VRX327720 VRX393256 VRX458792 VRX524328 VRX589864 VRX655400 VRX720936 VRX786472 VRX852008 VRX917544 VRX983080 VSR38 VSR65573 VSR131109 VSR196645 VSR262181 VSR327717 VSR393253 VSR458789 VSR524325 VSR589861 VSR655397 VSR720933 VSR786469 VSR852005 VSR917541 VSR983077 VSS30:VSS33 VSS38:VSS40 VSS65563:VSS65566 VSS65573:VSS65575 VSS131099:VSS131102 VSS131109:VSS131111 VSS196635:VSS196638 VSS196645:VSS196647 VSS262171:VSS262174 VSS262181:VSS262183 VSS327707:VSS327710 VSS327717:VSS327719 VSS393243:VSS393246 VSS393253:VSS393255 VSS458779:VSS458782 VSS458789:VSS458791 VSS524315:VSS524318 VSS524325:VSS524327 VSS589851:VSS589854 VSS589861:VSS589863 VSS655387:VSS655390 VSS655397:VSS655399 VSS720923:VSS720926 VSS720933:VSS720935 VSS786459:VSS786462 VSS786469:VSS786471 VSS851995:VSS851998 VSS852005:VSS852007 VSS917531:VSS917534 VSS917541:VSS917543 VSS983067:VSS983070 VSS983077:VSS983079 WBS30:WBS33 WBS35:WBS36 WBS38:WBS39 WBS43 WBS65563:WBS65566 WBS65570:WBS65571 WBS65573:WBS65574 WBS65578 WBS131099:WBS131102 WBS131106:WBS131107 WBS131109:WBS131110 WBS131114 WBS196635:WBS196638 WBS196642:WBS196643 WBS196645:WBS196646 WBS196650 WBS262171:WBS262174 WBS262178:WBS262179 WBS262181:WBS262182 WBS262186 WBS327707:WBS327710 WBS327714:WBS327715 WBS327717:WBS327718 WBS327722 WBS393243:WBS393246 WBS393250:WBS393251 WBS393253:WBS393254 WBS393258 WBS458779:WBS458782 WBS458786:WBS458787 WBS458789:WBS458790 WBS458794 WBS524315:WBS524318 WBS524322:WBS524323 WBS524325:WBS524326 WBS524330 WBS589851:WBS589854 WBS589858:WBS589859 WBS589861:WBS589862 WBS589866 WBS655387:WBS655390 WBS655394:WBS655395 WBS655397:WBS655398 WBS655402 WBS720923:WBS720926 WBS720930:WBS720931 WBS720933:WBS720934 WBS720938 WBS786459:WBS786462 WBS786466:WBS786467 WBS786469:WBS786470 WBS786474 WBS851995:WBS851998 WBS852002:WBS852003 WBS852005:WBS852006 WBS852010 WBS917531:WBS917534 WBS917538:WBS917539 WBS917541:WBS917542 WBS917546 WBS983067:WBS983070 WBS983074:WBS983075 WBS983077:WBS983078 WBS983082 WBT41 WBT65576 WBT131112 WBT196648 WBT262184 WBT327720 WBT393256 WBT458792 WBT524328 WBT589864 WBT655400 WBT720936 WBT786472 WBT852008 WBT917544 WBT983080 WCN38 WCN65573 WCN131109 WCN196645 WCN262181 WCN327717 WCN393253 WCN458789 WCN524325 WCN589861 WCN655397 WCN720933 WCN786469 WCN852005 WCN917541 WCN983077 WCO30:WCO33 WCO38:WCO40 WCO65563:WCO65566 WCO65573:WCO65575 WCO131099:WCO131102 WCO131109:WCO131111 WCO196635:WCO196638 WCO196645:WCO196647 WCO262171:WCO262174 WCO262181:WCO262183 WCO327707:WCO327710 WCO327717:WCO327719 WCO393243:WCO393246 WCO393253:WCO393255 WCO458779:WCO458782 WCO458789:WCO458791 WCO524315:WCO524318 WCO524325:WCO524327 WCO589851:WCO589854 WCO589861:WCO589863 WCO655387:WCO655390 WCO655397:WCO655399 WCO720923:WCO720926 WCO720933:WCO720935 WCO786459:WCO786462 WCO786469:WCO786471 WCO851995:WCO851998 WCO852005:WCO852007 WCO917531:WCO917534 WCO917541:WCO917543 WCO983067:WCO983070 WCO983077:WCO983079 WLO30:WLO33 WLO35:WLO36 WLO38:WLO39 WLO43 WLO65563:WLO65566 WLO65570:WLO65571 WLO65573:WLO65574 WLO65578 WLO131099:WLO131102 WLO131106:WLO131107 WLO131109:WLO131110 WLO131114 WLO196635:WLO196638 WLO196642:WLO196643 WLO196645:WLO196646 WLO196650 WLO262171:WLO262174 WLO262178:WLO262179 WLO262181:WLO262182 WLO262186 WLO327707:WLO327710 WLO327714:WLO327715 WLO327717:WLO327718 WLO327722 WLO393243:WLO393246 WLO393250:WLO393251 WLO393253:WLO393254 WLO393258 WLO458779:WLO458782 WLO458786:WLO458787 WLO458789:WLO458790 WLO458794 WLO524315:WLO524318 WLO524322:WLO524323 WLO524325:WLO524326 WLO524330 WLO589851:WLO589854 WLO589858:WLO589859 WLO589861:WLO589862 WLO589866 WLO655387:WLO655390 WLO655394:WLO655395 WLO655397:WLO655398 WLO655402 WLO720923:WLO720926 WLO720930:WLO720931 WLO720933:WLO720934 WLO720938 WLO786459:WLO786462 WLO786466:WLO786467 WLO786469:WLO786470 WLO786474 WLO851995:WLO851998 WLO852002:WLO852003 WLO852005:WLO852006 WLO852010 WLO917531:WLO917534 WLO917538:WLO917539 WLO917541:WLO917542 WLO917546 WLO983067:WLO983070 WLO983074:WLO983075 WLO983077:WLO983078 WLO983082 WLP41 WLP65576 WLP131112 WLP196648 WLP262184 WLP327720 WLP393256 WLP458792 WLP524328 WLP589864 WLP655400 WLP720936 WLP786472 WLP852008 WLP917544 WLP983080 WMJ38 WMJ65573 WMJ131109 WMJ196645 WMJ262181 WMJ327717 WMJ393253 WMJ458789 WMJ524325 WMJ589861 WMJ655397 WMJ720933 WMJ786469 WMJ852005 WMJ917541 WMJ983077 WMK30:WMK33 WMK38:WMK40 WMK65563:WMK65566 WMK65573:WMK65575 WMK131099:WMK131102 WMK131109:WMK131111 WMK196635:WMK196638 WMK196645:WMK196647 WMK262171:WMK262174 WMK262181:WMK262183 WMK327707:WMK327710 WMK327717:WMK327719 WMK393243:WMK393246 WMK393253:WMK393255 WMK458779:WMK458782 WMK458789:WMK458791 WMK524315:WMK524318 WMK524325:WMK524327 WMK589851:WMK589854 WMK589861:WMK589863 WMK655387:WMK655390 WMK655397:WMK655399 WMK720923:WMK720926 WMK720933:WMK720935 WMK786459:WMK786462 WMK786469:WMK786471 WMK851995:WMK851998 WMK852005:WMK852007 WMK917531:WMK917534 WMK917541:WMK917543 WMK983067:WMK983070 WMK983077:WMK983079 WVK30:WVK33 WVK35:WVK36 WVK38:WVK39 WVK43 WVK65563:WVK65566 WVK65570:WVK65571 WVK65573:WVK65574 WVK65578 WVK131099:WVK131102 WVK131106:WVK131107 WVK131109:WVK131110 WVK131114 WVK196635:WVK196638 WVK196642:WVK196643 WVK196645:WVK196646 WVK196650 WVK262171:WVK262174 WVK262178:WVK262179 WVK262181:WVK262182 WVK262186 WVK327707:WVK327710 WVK327714:WVK327715 WVK327717:WVK327718 WVK327722 WVK393243:WVK393246 WVK393250:WVK393251 WVK393253:WVK393254 WVK393258 WVK458779:WVK458782 WVK458786:WVK458787 WVK458789:WVK458790 WVK458794 WVK524315:WVK524318 WVK524322:WVK524323 WVK524325:WVK524326 WVK524330 WVK589851:WVK589854 WVK589858:WVK589859 WVK589861:WVK589862 WVK589866 WVK655387:WVK655390 WVK655394:WVK655395 WVK655397:WVK655398 WVK655402 WVK720923:WVK720926 WVK720930:WVK720931 WVK720933:WVK720934 WVK720938 WVK786459:WVK786462 WVK786466:WVK786467 WVK786469:WVK786470 WVK786474 WVK851995:WVK851998 WVK852002:WVK852003 WVK852005:WVK852006 WVK852010 WVK917531:WVK917534 WVK917538:WVK917539 WVK917541:WVK917542 WVK917546 WVK983067:WVK983070 WVK983074:WVK983075 WVK983077:WVK983078 WVK983082 WVL41 WVL65576 WVL131112 WVL196648 WVL262184 WVL327720 WVL393256 WVL458792 WVL524328 WVL589864 WVL655400 WVL720936 WVL786472 WVL852008 WVL917544 WVL983080 WWF38 WWF65573 WWF131109 WWF196645 WWF262181 WWF327717 WWF393253 WWF458789 WWF524325 WWF589861 WWF655397 WWF720933 WWF786469 WWF852005 WWF917541 WWF983077 WWG30:WWG33 WWG38:WWG40 WWG65563:WWG65566 WWG65573:WWG65575 WWG131099:WWG131102 WWG131109:WWG131111 WWG196635:WWG196638 WWG196645:WWG196647 WWG262171:WWG262174 WWG262181:WWG262183 WWG327707:WWG327710 WWG327717:WWG327719 WWG393243:WWG393246 WWG393253:WWG393255 WWG458779:WWG458782 WWG458789:WWG458791 WWG524315:WWG524318 WWG524325:WWG524327 WWG589851:WWG589854 WWG589861:WWG589863 WWG655387:WWG655390 WWG655397:WWG655399 WWG720923:WWG720926 WWG720933:WWG720935 WWG786459:WWG786462 WWG786469:WWG786471 WWG851995:WWG851998 WWG852005:WWG852007 WWG917531:WWG917534 WWG917541:WWG917543 WWG983067:WWG983070 WWG983077:WWG983079" xr:uid="{00000000-0002-0000-3000-000000000000}">
      <formula1>"□,■"</formula1>
    </dataValidation>
    <dataValidation type="list" allowBlank="1" showInputMessage="1" showErrorMessage="1" sqref="N9:P9 N65544:P65544 N131080:P131080 N196616:P196616 N262152:P262152 N327688:P327688 N393224:P393224 N458760:P458760 N524296:P524296 N589832:P589832 N655368:P655368 N720904:P720904 N786440:P786440 N851976:P851976 N917512:P917512 N983048:P983048 JJ9:JL9 JJ65544:JL65544 JJ131080:JL131080 JJ196616:JL196616 JJ262152:JL262152 JJ327688:JL327688 JJ393224:JL393224 JJ458760:JL458760 JJ524296:JL524296 JJ589832:JL589832 JJ655368:JL655368 JJ720904:JL720904 JJ786440:JL786440 JJ851976:JL851976 JJ917512:JL917512 JJ983048:JL983048 TF9:TH9 TF65544:TH65544 TF131080:TH131080 TF196616:TH196616 TF262152:TH262152 TF327688:TH327688 TF393224:TH393224 TF458760:TH458760 TF524296:TH524296 TF589832:TH589832 TF655368:TH655368 TF720904:TH720904 TF786440:TH786440 TF851976:TH851976 TF917512:TH917512 TF983048:TH983048 ADB9:ADD9 ADB65544:ADD65544 ADB131080:ADD131080 ADB196616:ADD196616 ADB262152:ADD262152 ADB327688:ADD327688 ADB393224:ADD393224 ADB458760:ADD458760 ADB524296:ADD524296 ADB589832:ADD589832 ADB655368:ADD655368 ADB720904:ADD720904 ADB786440:ADD786440 ADB851976:ADD851976 ADB917512:ADD917512 ADB983048:ADD983048 AMX9:AMZ9 AMX65544:AMZ65544 AMX131080:AMZ131080 AMX196616:AMZ196616 AMX262152:AMZ262152 AMX327688:AMZ327688 AMX393224:AMZ393224 AMX458760:AMZ458760 AMX524296:AMZ524296 AMX589832:AMZ589832 AMX655368:AMZ655368 AMX720904:AMZ720904 AMX786440:AMZ786440 AMX851976:AMZ851976 AMX917512:AMZ917512 AMX983048:AMZ983048 AWT9:AWV9 AWT65544:AWV65544 AWT131080:AWV131080 AWT196616:AWV196616 AWT262152:AWV262152 AWT327688:AWV327688 AWT393224:AWV393224 AWT458760:AWV458760 AWT524296:AWV524296 AWT589832:AWV589832 AWT655368:AWV655368 AWT720904:AWV720904 AWT786440:AWV786440 AWT851976:AWV851976 AWT917512:AWV917512 AWT983048:AWV983048 BGP9:BGR9 BGP65544:BGR65544 BGP131080:BGR131080 BGP196616:BGR196616 BGP262152:BGR262152 BGP327688:BGR327688 BGP393224:BGR393224 BGP458760:BGR458760 BGP524296:BGR524296 BGP589832:BGR589832 BGP655368:BGR655368 BGP720904:BGR720904 BGP786440:BGR786440 BGP851976:BGR851976 BGP917512:BGR917512 BGP983048:BGR983048 BQL9:BQN9 BQL65544:BQN65544 BQL131080:BQN131080 BQL196616:BQN196616 BQL262152:BQN262152 BQL327688:BQN327688 BQL393224:BQN393224 BQL458760:BQN458760 BQL524296:BQN524296 BQL589832:BQN589832 BQL655368:BQN655368 BQL720904:BQN720904 BQL786440:BQN786440 BQL851976:BQN851976 BQL917512:BQN917512 BQL983048:BQN983048 CAH9:CAJ9 CAH65544:CAJ65544 CAH131080:CAJ131080 CAH196616:CAJ196616 CAH262152:CAJ262152 CAH327688:CAJ327688 CAH393224:CAJ393224 CAH458760:CAJ458760 CAH524296:CAJ524296 CAH589832:CAJ589832 CAH655368:CAJ655368 CAH720904:CAJ720904 CAH786440:CAJ786440 CAH851976:CAJ851976 CAH917512:CAJ917512 CAH983048:CAJ983048 CKD9:CKF9 CKD65544:CKF65544 CKD131080:CKF131080 CKD196616:CKF196616 CKD262152:CKF262152 CKD327688:CKF327688 CKD393224:CKF393224 CKD458760:CKF458760 CKD524296:CKF524296 CKD589832:CKF589832 CKD655368:CKF655368 CKD720904:CKF720904 CKD786440:CKF786440 CKD851976:CKF851976 CKD917512:CKF917512 CKD983048:CKF983048 CTZ9:CUB9 CTZ65544:CUB65544 CTZ131080:CUB131080 CTZ196616:CUB196616 CTZ262152:CUB262152 CTZ327688:CUB327688 CTZ393224:CUB393224 CTZ458760:CUB458760 CTZ524296:CUB524296 CTZ589832:CUB589832 CTZ655368:CUB655368 CTZ720904:CUB720904 CTZ786440:CUB786440 CTZ851976:CUB851976 CTZ917512:CUB917512 CTZ983048:CUB983048 DDV9:DDX9 DDV65544:DDX65544 DDV131080:DDX131080 DDV196616:DDX196616 DDV262152:DDX262152 DDV327688:DDX327688 DDV393224:DDX393224 DDV458760:DDX458760 DDV524296:DDX524296 DDV589832:DDX589832 DDV655368:DDX655368 DDV720904:DDX720904 DDV786440:DDX786440 DDV851976:DDX851976 DDV917512:DDX917512 DDV983048:DDX983048 DNR9:DNT9 DNR65544:DNT65544 DNR131080:DNT131080 DNR196616:DNT196616 DNR262152:DNT262152 DNR327688:DNT327688 DNR393224:DNT393224 DNR458760:DNT458760 DNR524296:DNT524296 DNR589832:DNT589832 DNR655368:DNT655368 DNR720904:DNT720904 DNR786440:DNT786440 DNR851976:DNT851976 DNR917512:DNT917512 DNR983048:DNT983048 DXN9:DXP9 DXN65544:DXP65544 DXN131080:DXP131080 DXN196616:DXP196616 DXN262152:DXP262152 DXN327688:DXP327688 DXN393224:DXP393224 DXN458760:DXP458760 DXN524296:DXP524296 DXN589832:DXP589832 DXN655368:DXP655368 DXN720904:DXP720904 DXN786440:DXP786440 DXN851976:DXP851976 DXN917512:DXP917512 DXN983048:DXP983048 EHJ9:EHL9 EHJ65544:EHL65544 EHJ131080:EHL131080 EHJ196616:EHL196616 EHJ262152:EHL262152 EHJ327688:EHL327688 EHJ393224:EHL393224 EHJ458760:EHL458760 EHJ524296:EHL524296 EHJ589832:EHL589832 EHJ655368:EHL655368 EHJ720904:EHL720904 EHJ786440:EHL786440 EHJ851976:EHL851976 EHJ917512:EHL917512 EHJ983048:EHL983048 ERF9:ERH9 ERF65544:ERH65544 ERF131080:ERH131080 ERF196616:ERH196616 ERF262152:ERH262152 ERF327688:ERH327688 ERF393224:ERH393224 ERF458760:ERH458760 ERF524296:ERH524296 ERF589832:ERH589832 ERF655368:ERH655368 ERF720904:ERH720904 ERF786440:ERH786440 ERF851976:ERH851976 ERF917512:ERH917512 ERF983048:ERH983048 FBB9:FBD9 FBB65544:FBD65544 FBB131080:FBD131080 FBB196616:FBD196616 FBB262152:FBD262152 FBB327688:FBD327688 FBB393224:FBD393224 FBB458760:FBD458760 FBB524296:FBD524296 FBB589832:FBD589832 FBB655368:FBD655368 FBB720904:FBD720904 FBB786440:FBD786440 FBB851976:FBD851976 FBB917512:FBD917512 FBB983048:FBD983048 FKX9:FKZ9 FKX65544:FKZ65544 FKX131080:FKZ131080 FKX196616:FKZ196616 FKX262152:FKZ262152 FKX327688:FKZ327688 FKX393224:FKZ393224 FKX458760:FKZ458760 FKX524296:FKZ524296 FKX589832:FKZ589832 FKX655368:FKZ655368 FKX720904:FKZ720904 FKX786440:FKZ786440 FKX851976:FKZ851976 FKX917512:FKZ917512 FKX983048:FKZ983048 FUT9:FUV9 FUT65544:FUV65544 FUT131080:FUV131080 FUT196616:FUV196616 FUT262152:FUV262152 FUT327688:FUV327688 FUT393224:FUV393224 FUT458760:FUV458760 FUT524296:FUV524296 FUT589832:FUV589832 FUT655368:FUV655368 FUT720904:FUV720904 FUT786440:FUV786440 FUT851976:FUV851976 FUT917512:FUV917512 FUT983048:FUV983048 GEP9:GER9 GEP65544:GER65544 GEP131080:GER131080 GEP196616:GER196616 GEP262152:GER262152 GEP327688:GER327688 GEP393224:GER393224 GEP458760:GER458760 GEP524296:GER524296 GEP589832:GER589832 GEP655368:GER655368 GEP720904:GER720904 GEP786440:GER786440 GEP851976:GER851976 GEP917512:GER917512 GEP983048:GER983048 GOL9:GON9 GOL65544:GON65544 GOL131080:GON131080 GOL196616:GON196616 GOL262152:GON262152 GOL327688:GON327688 GOL393224:GON393224 GOL458760:GON458760 GOL524296:GON524296 GOL589832:GON589832 GOL655368:GON655368 GOL720904:GON720904 GOL786440:GON786440 GOL851976:GON851976 GOL917512:GON917512 GOL983048:GON983048 GYH9:GYJ9 GYH65544:GYJ65544 GYH131080:GYJ131080 GYH196616:GYJ196616 GYH262152:GYJ262152 GYH327688:GYJ327688 GYH393224:GYJ393224 GYH458760:GYJ458760 GYH524296:GYJ524296 GYH589832:GYJ589832 GYH655368:GYJ655368 GYH720904:GYJ720904 GYH786440:GYJ786440 GYH851976:GYJ851976 GYH917512:GYJ917512 GYH983048:GYJ983048 HID9:HIF9 HID65544:HIF65544 HID131080:HIF131080 HID196616:HIF196616 HID262152:HIF262152 HID327688:HIF327688 HID393224:HIF393224 HID458760:HIF458760 HID524296:HIF524296 HID589832:HIF589832 HID655368:HIF655368 HID720904:HIF720904 HID786440:HIF786440 HID851976:HIF851976 HID917512:HIF917512 HID983048:HIF983048 HRZ9:HSB9 HRZ65544:HSB65544 HRZ131080:HSB131080 HRZ196616:HSB196616 HRZ262152:HSB262152 HRZ327688:HSB327688 HRZ393224:HSB393224 HRZ458760:HSB458760 HRZ524296:HSB524296 HRZ589832:HSB589832 HRZ655368:HSB655368 HRZ720904:HSB720904 HRZ786440:HSB786440 HRZ851976:HSB851976 HRZ917512:HSB917512 HRZ983048:HSB983048 IBV9:IBX9 IBV65544:IBX65544 IBV131080:IBX131080 IBV196616:IBX196616 IBV262152:IBX262152 IBV327688:IBX327688 IBV393224:IBX393224 IBV458760:IBX458760 IBV524296:IBX524296 IBV589832:IBX589832 IBV655368:IBX655368 IBV720904:IBX720904 IBV786440:IBX786440 IBV851976:IBX851976 IBV917512:IBX917512 IBV983048:IBX983048 ILR9:ILT9 ILR65544:ILT65544 ILR131080:ILT131080 ILR196616:ILT196616 ILR262152:ILT262152 ILR327688:ILT327688 ILR393224:ILT393224 ILR458760:ILT458760 ILR524296:ILT524296 ILR589832:ILT589832 ILR655368:ILT655368 ILR720904:ILT720904 ILR786440:ILT786440 ILR851976:ILT851976 ILR917512:ILT917512 ILR983048:ILT983048 IVN9:IVP9 IVN65544:IVP65544 IVN131080:IVP131080 IVN196616:IVP196616 IVN262152:IVP262152 IVN327688:IVP327688 IVN393224:IVP393224 IVN458760:IVP458760 IVN524296:IVP524296 IVN589832:IVP589832 IVN655368:IVP655368 IVN720904:IVP720904 IVN786440:IVP786440 IVN851976:IVP851976 IVN917512:IVP917512 IVN983048:IVP983048 JFJ9:JFL9 JFJ65544:JFL65544 JFJ131080:JFL131080 JFJ196616:JFL196616 JFJ262152:JFL262152 JFJ327688:JFL327688 JFJ393224:JFL393224 JFJ458760:JFL458760 JFJ524296:JFL524296 JFJ589832:JFL589832 JFJ655368:JFL655368 JFJ720904:JFL720904 JFJ786440:JFL786440 JFJ851976:JFL851976 JFJ917512:JFL917512 JFJ983048:JFL983048 JPF9:JPH9 JPF65544:JPH65544 JPF131080:JPH131080 JPF196616:JPH196616 JPF262152:JPH262152 JPF327688:JPH327688 JPF393224:JPH393224 JPF458760:JPH458760 JPF524296:JPH524296 JPF589832:JPH589832 JPF655368:JPH655368 JPF720904:JPH720904 JPF786440:JPH786440 JPF851976:JPH851976 JPF917512:JPH917512 JPF983048:JPH983048 JZB9:JZD9 JZB65544:JZD65544 JZB131080:JZD131080 JZB196616:JZD196616 JZB262152:JZD262152 JZB327688:JZD327688 JZB393224:JZD393224 JZB458760:JZD458760 JZB524296:JZD524296 JZB589832:JZD589832 JZB655368:JZD655368 JZB720904:JZD720904 JZB786440:JZD786440 JZB851976:JZD851976 JZB917512:JZD917512 JZB983048:JZD983048 KIX9:KIZ9 KIX65544:KIZ65544 KIX131080:KIZ131080 KIX196616:KIZ196616 KIX262152:KIZ262152 KIX327688:KIZ327688 KIX393224:KIZ393224 KIX458760:KIZ458760 KIX524296:KIZ524296 KIX589832:KIZ589832 KIX655368:KIZ655368 KIX720904:KIZ720904 KIX786440:KIZ786440 KIX851976:KIZ851976 KIX917512:KIZ917512 KIX983048:KIZ983048 KST9:KSV9 KST65544:KSV65544 KST131080:KSV131080 KST196616:KSV196616 KST262152:KSV262152 KST327688:KSV327688 KST393224:KSV393224 KST458760:KSV458760 KST524296:KSV524296 KST589832:KSV589832 KST655368:KSV655368 KST720904:KSV720904 KST786440:KSV786440 KST851976:KSV851976 KST917512:KSV917512 KST983048:KSV983048 LCP9:LCR9 LCP65544:LCR65544 LCP131080:LCR131080 LCP196616:LCR196616 LCP262152:LCR262152 LCP327688:LCR327688 LCP393224:LCR393224 LCP458760:LCR458760 LCP524296:LCR524296 LCP589832:LCR589832 LCP655368:LCR655368 LCP720904:LCR720904 LCP786440:LCR786440 LCP851976:LCR851976 LCP917512:LCR917512 LCP983048:LCR983048 LML9:LMN9 LML65544:LMN65544 LML131080:LMN131080 LML196616:LMN196616 LML262152:LMN262152 LML327688:LMN327688 LML393224:LMN393224 LML458760:LMN458760 LML524296:LMN524296 LML589832:LMN589832 LML655368:LMN655368 LML720904:LMN720904 LML786440:LMN786440 LML851976:LMN851976 LML917512:LMN917512 LML983048:LMN983048 LWH9:LWJ9 LWH65544:LWJ65544 LWH131080:LWJ131080 LWH196616:LWJ196616 LWH262152:LWJ262152 LWH327688:LWJ327688 LWH393224:LWJ393224 LWH458760:LWJ458760 LWH524296:LWJ524296 LWH589832:LWJ589832 LWH655368:LWJ655368 LWH720904:LWJ720904 LWH786440:LWJ786440 LWH851976:LWJ851976 LWH917512:LWJ917512 LWH983048:LWJ983048 MGD9:MGF9 MGD65544:MGF65544 MGD131080:MGF131080 MGD196616:MGF196616 MGD262152:MGF262152 MGD327688:MGF327688 MGD393224:MGF393224 MGD458760:MGF458760 MGD524296:MGF524296 MGD589832:MGF589832 MGD655368:MGF655368 MGD720904:MGF720904 MGD786440:MGF786440 MGD851976:MGF851976 MGD917512:MGF917512 MGD983048:MGF983048 MPZ9:MQB9 MPZ65544:MQB65544 MPZ131080:MQB131080 MPZ196616:MQB196616 MPZ262152:MQB262152 MPZ327688:MQB327688 MPZ393224:MQB393224 MPZ458760:MQB458760 MPZ524296:MQB524296 MPZ589832:MQB589832 MPZ655368:MQB655368 MPZ720904:MQB720904 MPZ786440:MQB786440 MPZ851976:MQB851976 MPZ917512:MQB917512 MPZ983048:MQB983048 MZV9:MZX9 MZV65544:MZX65544 MZV131080:MZX131080 MZV196616:MZX196616 MZV262152:MZX262152 MZV327688:MZX327688 MZV393224:MZX393224 MZV458760:MZX458760 MZV524296:MZX524296 MZV589832:MZX589832 MZV655368:MZX655368 MZV720904:MZX720904 MZV786440:MZX786440 MZV851976:MZX851976 MZV917512:MZX917512 MZV983048:MZX983048 NJR9:NJT9 NJR65544:NJT65544 NJR131080:NJT131080 NJR196616:NJT196616 NJR262152:NJT262152 NJR327688:NJT327688 NJR393224:NJT393224 NJR458760:NJT458760 NJR524296:NJT524296 NJR589832:NJT589832 NJR655368:NJT655368 NJR720904:NJT720904 NJR786440:NJT786440 NJR851976:NJT851976 NJR917512:NJT917512 NJR983048:NJT983048 NTN9:NTP9 NTN65544:NTP65544 NTN131080:NTP131080 NTN196616:NTP196616 NTN262152:NTP262152 NTN327688:NTP327688 NTN393224:NTP393224 NTN458760:NTP458760 NTN524296:NTP524296 NTN589832:NTP589832 NTN655368:NTP655368 NTN720904:NTP720904 NTN786440:NTP786440 NTN851976:NTP851976 NTN917512:NTP917512 NTN983048:NTP983048 ODJ9:ODL9 ODJ65544:ODL65544 ODJ131080:ODL131080 ODJ196616:ODL196616 ODJ262152:ODL262152 ODJ327688:ODL327688 ODJ393224:ODL393224 ODJ458760:ODL458760 ODJ524296:ODL524296 ODJ589832:ODL589832 ODJ655368:ODL655368 ODJ720904:ODL720904 ODJ786440:ODL786440 ODJ851976:ODL851976 ODJ917512:ODL917512 ODJ983048:ODL983048 ONF9:ONH9 ONF65544:ONH65544 ONF131080:ONH131080 ONF196616:ONH196616 ONF262152:ONH262152 ONF327688:ONH327688 ONF393224:ONH393224 ONF458760:ONH458760 ONF524296:ONH524296 ONF589832:ONH589832 ONF655368:ONH655368 ONF720904:ONH720904 ONF786440:ONH786440 ONF851976:ONH851976 ONF917512:ONH917512 ONF983048:ONH983048 OXB9:OXD9 OXB65544:OXD65544 OXB131080:OXD131080 OXB196616:OXD196616 OXB262152:OXD262152 OXB327688:OXD327688 OXB393224:OXD393224 OXB458760:OXD458760 OXB524296:OXD524296 OXB589832:OXD589832 OXB655368:OXD655368 OXB720904:OXD720904 OXB786440:OXD786440 OXB851976:OXD851976 OXB917512:OXD917512 OXB983048:OXD983048 PGX9:PGZ9 PGX65544:PGZ65544 PGX131080:PGZ131080 PGX196616:PGZ196616 PGX262152:PGZ262152 PGX327688:PGZ327688 PGX393224:PGZ393224 PGX458760:PGZ458760 PGX524296:PGZ524296 PGX589832:PGZ589832 PGX655368:PGZ655368 PGX720904:PGZ720904 PGX786440:PGZ786440 PGX851976:PGZ851976 PGX917512:PGZ917512 PGX983048:PGZ983048 PQT9:PQV9 PQT65544:PQV65544 PQT131080:PQV131080 PQT196616:PQV196616 PQT262152:PQV262152 PQT327688:PQV327688 PQT393224:PQV393224 PQT458760:PQV458760 PQT524296:PQV524296 PQT589832:PQV589832 PQT655368:PQV655368 PQT720904:PQV720904 PQT786440:PQV786440 PQT851976:PQV851976 PQT917512:PQV917512 PQT983048:PQV983048 QAP9:QAR9 QAP65544:QAR65544 QAP131080:QAR131080 QAP196616:QAR196616 QAP262152:QAR262152 QAP327688:QAR327688 QAP393224:QAR393224 QAP458760:QAR458760 QAP524296:QAR524296 QAP589832:QAR589832 QAP655368:QAR655368 QAP720904:QAR720904 QAP786440:QAR786440 QAP851976:QAR851976 QAP917512:QAR917512 QAP983048:QAR983048 QKL9:QKN9 QKL65544:QKN65544 QKL131080:QKN131080 QKL196616:QKN196616 QKL262152:QKN262152 QKL327688:QKN327688 QKL393224:QKN393224 QKL458760:QKN458760 QKL524296:QKN524296 QKL589832:QKN589832 QKL655368:QKN655368 QKL720904:QKN720904 QKL786440:QKN786440 QKL851976:QKN851976 QKL917512:QKN917512 QKL983048:QKN983048 QUH9:QUJ9 QUH65544:QUJ65544 QUH131080:QUJ131080 QUH196616:QUJ196616 QUH262152:QUJ262152 QUH327688:QUJ327688 QUH393224:QUJ393224 QUH458760:QUJ458760 QUH524296:QUJ524296 QUH589832:QUJ589832 QUH655368:QUJ655368 QUH720904:QUJ720904 QUH786440:QUJ786440 QUH851976:QUJ851976 QUH917512:QUJ917512 QUH983048:QUJ983048 RED9:REF9 RED65544:REF65544 RED131080:REF131080 RED196616:REF196616 RED262152:REF262152 RED327688:REF327688 RED393224:REF393224 RED458760:REF458760 RED524296:REF524296 RED589832:REF589832 RED655368:REF655368 RED720904:REF720904 RED786440:REF786440 RED851976:REF851976 RED917512:REF917512 RED983048:REF983048 RNZ9:ROB9 RNZ65544:ROB65544 RNZ131080:ROB131080 RNZ196616:ROB196616 RNZ262152:ROB262152 RNZ327688:ROB327688 RNZ393224:ROB393224 RNZ458760:ROB458760 RNZ524296:ROB524296 RNZ589832:ROB589832 RNZ655368:ROB655368 RNZ720904:ROB720904 RNZ786440:ROB786440 RNZ851976:ROB851976 RNZ917512:ROB917512 RNZ983048:ROB983048 RXV9:RXX9 RXV65544:RXX65544 RXV131080:RXX131080 RXV196616:RXX196616 RXV262152:RXX262152 RXV327688:RXX327688 RXV393224:RXX393224 RXV458760:RXX458760 RXV524296:RXX524296 RXV589832:RXX589832 RXV655368:RXX655368 RXV720904:RXX720904 RXV786440:RXX786440 RXV851976:RXX851976 RXV917512:RXX917512 RXV983048:RXX983048 SHR9:SHT9 SHR65544:SHT65544 SHR131080:SHT131080 SHR196616:SHT196616 SHR262152:SHT262152 SHR327688:SHT327688 SHR393224:SHT393224 SHR458760:SHT458760 SHR524296:SHT524296 SHR589832:SHT589832 SHR655368:SHT655368 SHR720904:SHT720904 SHR786440:SHT786440 SHR851976:SHT851976 SHR917512:SHT917512 SHR983048:SHT983048 SRN9:SRP9 SRN65544:SRP65544 SRN131080:SRP131080 SRN196616:SRP196616 SRN262152:SRP262152 SRN327688:SRP327688 SRN393224:SRP393224 SRN458760:SRP458760 SRN524296:SRP524296 SRN589832:SRP589832 SRN655368:SRP655368 SRN720904:SRP720904 SRN786440:SRP786440 SRN851976:SRP851976 SRN917512:SRP917512 SRN983048:SRP983048 TBJ9:TBL9 TBJ65544:TBL65544 TBJ131080:TBL131080 TBJ196616:TBL196616 TBJ262152:TBL262152 TBJ327688:TBL327688 TBJ393224:TBL393224 TBJ458760:TBL458760 TBJ524296:TBL524296 TBJ589832:TBL589832 TBJ655368:TBL655368 TBJ720904:TBL720904 TBJ786440:TBL786440 TBJ851976:TBL851976 TBJ917512:TBL917512 TBJ983048:TBL983048 TLF9:TLH9 TLF65544:TLH65544 TLF131080:TLH131080 TLF196616:TLH196616 TLF262152:TLH262152 TLF327688:TLH327688 TLF393224:TLH393224 TLF458760:TLH458760 TLF524296:TLH524296 TLF589832:TLH589832 TLF655368:TLH655368 TLF720904:TLH720904 TLF786440:TLH786440 TLF851976:TLH851976 TLF917512:TLH917512 TLF983048:TLH983048 TVB9:TVD9 TVB65544:TVD65544 TVB131080:TVD131080 TVB196616:TVD196616 TVB262152:TVD262152 TVB327688:TVD327688 TVB393224:TVD393224 TVB458760:TVD458760 TVB524296:TVD524296 TVB589832:TVD589832 TVB655368:TVD655368 TVB720904:TVD720904 TVB786440:TVD786440 TVB851976:TVD851976 TVB917512:TVD917512 TVB983048:TVD983048 UEX9:UEZ9 UEX65544:UEZ65544 UEX131080:UEZ131080 UEX196616:UEZ196616 UEX262152:UEZ262152 UEX327688:UEZ327688 UEX393224:UEZ393224 UEX458760:UEZ458760 UEX524296:UEZ524296 UEX589832:UEZ589832 UEX655368:UEZ655368 UEX720904:UEZ720904 UEX786440:UEZ786440 UEX851976:UEZ851976 UEX917512:UEZ917512 UEX983048:UEZ983048 UOT9:UOV9 UOT65544:UOV65544 UOT131080:UOV131080 UOT196616:UOV196616 UOT262152:UOV262152 UOT327688:UOV327688 UOT393224:UOV393224 UOT458760:UOV458760 UOT524296:UOV524296 UOT589832:UOV589832 UOT655368:UOV655368 UOT720904:UOV720904 UOT786440:UOV786440 UOT851976:UOV851976 UOT917512:UOV917512 UOT983048:UOV983048 UYP9:UYR9 UYP65544:UYR65544 UYP131080:UYR131080 UYP196616:UYR196616 UYP262152:UYR262152 UYP327688:UYR327688 UYP393224:UYR393224 UYP458760:UYR458760 UYP524296:UYR524296 UYP589832:UYR589832 UYP655368:UYR655368 UYP720904:UYR720904 UYP786440:UYR786440 UYP851976:UYR851976 UYP917512:UYR917512 UYP983048:UYR983048 VIL9:VIN9 VIL65544:VIN65544 VIL131080:VIN131080 VIL196616:VIN196616 VIL262152:VIN262152 VIL327688:VIN327688 VIL393224:VIN393224 VIL458760:VIN458760 VIL524296:VIN524296 VIL589832:VIN589832 VIL655368:VIN655368 VIL720904:VIN720904 VIL786440:VIN786440 VIL851976:VIN851976 VIL917512:VIN917512 VIL983048:VIN983048 VSH9:VSJ9 VSH65544:VSJ65544 VSH131080:VSJ131080 VSH196616:VSJ196616 VSH262152:VSJ262152 VSH327688:VSJ327688 VSH393224:VSJ393224 VSH458760:VSJ458760 VSH524296:VSJ524296 VSH589832:VSJ589832 VSH655368:VSJ655368 VSH720904:VSJ720904 VSH786440:VSJ786440 VSH851976:VSJ851976 VSH917512:VSJ917512 VSH983048:VSJ983048 WCD9:WCF9 WCD65544:WCF65544 WCD131080:WCF131080 WCD196616:WCF196616 WCD262152:WCF262152 WCD327688:WCF327688 WCD393224:WCF393224 WCD458760:WCF458760 WCD524296:WCF524296 WCD589832:WCF589832 WCD655368:WCF655368 WCD720904:WCF720904 WCD786440:WCF786440 WCD851976:WCF851976 WCD917512:WCF917512 WCD983048:WCF983048 WLZ9:WMB9 WLZ65544:WMB65544 WLZ131080:WMB131080 WLZ196616:WMB196616 WLZ262152:WMB262152 WLZ327688:WMB327688 WLZ393224:WMB393224 WLZ458760:WMB458760 WLZ524296:WMB524296 WLZ589832:WMB589832 WLZ655368:WMB655368 WLZ720904:WMB720904 WLZ786440:WMB786440 WLZ851976:WMB851976 WLZ917512:WMB917512 WLZ983048:WMB983048 WVV9:WVX9 WVV65544:WVX65544 WVV131080:WVX131080 WVV196616:WVX196616 WVV262152:WVX262152 WVV327688:WVX327688 WVV393224:WVX393224 WVV458760:WVX458760 WVV524296:WVX524296 WVV589832:WVX589832 WVV655368:WVX655368 WVV720904:WVX720904 WVV786440:WVX786440 WVV851976:WVX851976 WVV917512:WVX917512 WVV983048:WVX983048" xr:uid="{00000000-0002-0000-3000-000001000000}">
      <formula1>"建築主,築造主,設置者"</formula1>
    </dataValidation>
    <dataValidation type="whole" allowBlank="1" showInputMessage="1" showErrorMessage="1" sqref="AG65537:AH65537 AG131073:AH131073 AG196609:AH196609 AG262145:AH262145 AG327681:AH327681 AG393217:AH393217 AG458753:AH458753 AG524289:AH524289 AG589825:AH589825 AG655361:AH655361 AG720897:AH720897 AG786433:AH786433 AG851969:AH851969 AG917505:AH917505 AG983041:AH983041 KC2:KD2 KC65537:KD65537 KC131073:KD131073 KC196609:KD196609 KC262145:KD262145 KC327681:KD327681 KC393217:KD393217 KC458753:KD458753 KC524289:KD524289 KC589825:KD589825 KC655361:KD655361 KC720897:KD720897 KC786433:KD786433 KC851969:KD851969 KC917505:KD917505 KC983041:KD983041 TY2:TZ2 TY65537:TZ65537 TY131073:TZ131073 TY196609:TZ196609 TY262145:TZ262145 TY327681:TZ327681 TY393217:TZ393217 TY458753:TZ458753 TY524289:TZ524289 TY589825:TZ589825 TY655361:TZ655361 TY720897:TZ720897 TY786433:TZ786433 TY851969:TZ851969 TY917505:TZ917505 TY983041:TZ983041 ADU2:ADV2 ADU65537:ADV65537 ADU131073:ADV131073 ADU196609:ADV196609 ADU262145:ADV262145 ADU327681:ADV327681 ADU393217:ADV393217 ADU458753:ADV458753 ADU524289:ADV524289 ADU589825:ADV589825 ADU655361:ADV655361 ADU720897:ADV720897 ADU786433:ADV786433 ADU851969:ADV851969 ADU917505:ADV917505 ADU983041:ADV983041 ANQ2:ANR2 ANQ65537:ANR65537 ANQ131073:ANR131073 ANQ196609:ANR196609 ANQ262145:ANR262145 ANQ327681:ANR327681 ANQ393217:ANR393217 ANQ458753:ANR458753 ANQ524289:ANR524289 ANQ589825:ANR589825 ANQ655361:ANR655361 ANQ720897:ANR720897 ANQ786433:ANR786433 ANQ851969:ANR851969 ANQ917505:ANR917505 ANQ983041:ANR983041 AXM2:AXN2 AXM65537:AXN65537 AXM131073:AXN131073 AXM196609:AXN196609 AXM262145:AXN262145 AXM327681:AXN327681 AXM393217:AXN393217 AXM458753:AXN458753 AXM524289:AXN524289 AXM589825:AXN589825 AXM655361:AXN655361 AXM720897:AXN720897 AXM786433:AXN786433 AXM851969:AXN851969 AXM917505:AXN917505 AXM983041:AXN983041 BHI2:BHJ2 BHI65537:BHJ65537 BHI131073:BHJ131073 BHI196609:BHJ196609 BHI262145:BHJ262145 BHI327681:BHJ327681 BHI393217:BHJ393217 BHI458753:BHJ458753 BHI524289:BHJ524289 BHI589825:BHJ589825 BHI655361:BHJ655361 BHI720897:BHJ720897 BHI786433:BHJ786433 BHI851969:BHJ851969 BHI917505:BHJ917505 BHI983041:BHJ983041 BRE2:BRF2 BRE65537:BRF65537 BRE131073:BRF131073 BRE196609:BRF196609 BRE262145:BRF262145 BRE327681:BRF327681 BRE393217:BRF393217 BRE458753:BRF458753 BRE524289:BRF524289 BRE589825:BRF589825 BRE655361:BRF655361 BRE720897:BRF720897 BRE786433:BRF786433 BRE851969:BRF851969 BRE917505:BRF917505 BRE983041:BRF983041 CBA2:CBB2 CBA65537:CBB65537 CBA131073:CBB131073 CBA196609:CBB196609 CBA262145:CBB262145 CBA327681:CBB327681 CBA393217:CBB393217 CBA458753:CBB458753 CBA524289:CBB524289 CBA589825:CBB589825 CBA655361:CBB655361 CBA720897:CBB720897 CBA786433:CBB786433 CBA851969:CBB851969 CBA917505:CBB917505 CBA983041:CBB983041 CKW2:CKX2 CKW65537:CKX65537 CKW131073:CKX131073 CKW196609:CKX196609 CKW262145:CKX262145 CKW327681:CKX327681 CKW393217:CKX393217 CKW458753:CKX458753 CKW524289:CKX524289 CKW589825:CKX589825 CKW655361:CKX655361 CKW720897:CKX720897 CKW786433:CKX786433 CKW851969:CKX851969 CKW917505:CKX917505 CKW983041:CKX983041 CUS2:CUT2 CUS65537:CUT65537 CUS131073:CUT131073 CUS196609:CUT196609 CUS262145:CUT262145 CUS327681:CUT327681 CUS393217:CUT393217 CUS458753:CUT458753 CUS524289:CUT524289 CUS589825:CUT589825 CUS655361:CUT655361 CUS720897:CUT720897 CUS786433:CUT786433 CUS851969:CUT851969 CUS917505:CUT917505 CUS983041:CUT983041 DEO2:DEP2 DEO65537:DEP65537 DEO131073:DEP131073 DEO196609:DEP196609 DEO262145:DEP262145 DEO327681:DEP327681 DEO393217:DEP393217 DEO458753:DEP458753 DEO524289:DEP524289 DEO589825:DEP589825 DEO655361:DEP655361 DEO720897:DEP720897 DEO786433:DEP786433 DEO851969:DEP851969 DEO917505:DEP917505 DEO983041:DEP983041 DOK2:DOL2 DOK65537:DOL65537 DOK131073:DOL131073 DOK196609:DOL196609 DOK262145:DOL262145 DOK327681:DOL327681 DOK393217:DOL393217 DOK458753:DOL458753 DOK524289:DOL524289 DOK589825:DOL589825 DOK655361:DOL655361 DOK720897:DOL720897 DOK786433:DOL786433 DOK851969:DOL851969 DOK917505:DOL917505 DOK983041:DOL983041 DYG2:DYH2 DYG65537:DYH65537 DYG131073:DYH131073 DYG196609:DYH196609 DYG262145:DYH262145 DYG327681:DYH327681 DYG393217:DYH393217 DYG458753:DYH458753 DYG524289:DYH524289 DYG589825:DYH589825 DYG655361:DYH655361 DYG720897:DYH720897 DYG786433:DYH786433 DYG851969:DYH851969 DYG917505:DYH917505 DYG983041:DYH983041 EIC2:EID2 EIC65537:EID65537 EIC131073:EID131073 EIC196609:EID196609 EIC262145:EID262145 EIC327681:EID327681 EIC393217:EID393217 EIC458753:EID458753 EIC524289:EID524289 EIC589825:EID589825 EIC655361:EID655361 EIC720897:EID720897 EIC786433:EID786433 EIC851969:EID851969 EIC917505:EID917505 EIC983041:EID983041 ERY2:ERZ2 ERY65537:ERZ65537 ERY131073:ERZ131073 ERY196609:ERZ196609 ERY262145:ERZ262145 ERY327681:ERZ327681 ERY393217:ERZ393217 ERY458753:ERZ458753 ERY524289:ERZ524289 ERY589825:ERZ589825 ERY655361:ERZ655361 ERY720897:ERZ720897 ERY786433:ERZ786433 ERY851969:ERZ851969 ERY917505:ERZ917505 ERY983041:ERZ983041 FBU2:FBV2 FBU65537:FBV65537 FBU131073:FBV131073 FBU196609:FBV196609 FBU262145:FBV262145 FBU327681:FBV327681 FBU393217:FBV393217 FBU458753:FBV458753 FBU524289:FBV524289 FBU589825:FBV589825 FBU655361:FBV655361 FBU720897:FBV720897 FBU786433:FBV786433 FBU851969:FBV851969 FBU917505:FBV917505 FBU983041:FBV983041 FLQ2:FLR2 FLQ65537:FLR65537 FLQ131073:FLR131073 FLQ196609:FLR196609 FLQ262145:FLR262145 FLQ327681:FLR327681 FLQ393217:FLR393217 FLQ458753:FLR458753 FLQ524289:FLR524289 FLQ589825:FLR589825 FLQ655361:FLR655361 FLQ720897:FLR720897 FLQ786433:FLR786433 FLQ851969:FLR851969 FLQ917505:FLR917505 FLQ983041:FLR983041 FVM2:FVN2 FVM65537:FVN65537 FVM131073:FVN131073 FVM196609:FVN196609 FVM262145:FVN262145 FVM327681:FVN327681 FVM393217:FVN393217 FVM458753:FVN458753 FVM524289:FVN524289 FVM589825:FVN589825 FVM655361:FVN655361 FVM720897:FVN720897 FVM786433:FVN786433 FVM851969:FVN851969 FVM917505:FVN917505 FVM983041:FVN983041 GFI2:GFJ2 GFI65537:GFJ65537 GFI131073:GFJ131073 GFI196609:GFJ196609 GFI262145:GFJ262145 GFI327681:GFJ327681 GFI393217:GFJ393217 GFI458753:GFJ458753 GFI524289:GFJ524289 GFI589825:GFJ589825 GFI655361:GFJ655361 GFI720897:GFJ720897 GFI786433:GFJ786433 GFI851969:GFJ851969 GFI917505:GFJ917505 GFI983041:GFJ983041 GPE2:GPF2 GPE65537:GPF65537 GPE131073:GPF131073 GPE196609:GPF196609 GPE262145:GPF262145 GPE327681:GPF327681 GPE393217:GPF393217 GPE458753:GPF458753 GPE524289:GPF524289 GPE589825:GPF589825 GPE655361:GPF655361 GPE720897:GPF720897 GPE786433:GPF786433 GPE851969:GPF851969 GPE917505:GPF917505 GPE983041:GPF983041 GZA2:GZB2 GZA65537:GZB65537 GZA131073:GZB131073 GZA196609:GZB196609 GZA262145:GZB262145 GZA327681:GZB327681 GZA393217:GZB393217 GZA458753:GZB458753 GZA524289:GZB524289 GZA589825:GZB589825 GZA655361:GZB655361 GZA720897:GZB720897 GZA786433:GZB786433 GZA851969:GZB851969 GZA917505:GZB917505 GZA983041:GZB983041 HIW2:HIX2 HIW65537:HIX65537 HIW131073:HIX131073 HIW196609:HIX196609 HIW262145:HIX262145 HIW327681:HIX327681 HIW393217:HIX393217 HIW458753:HIX458753 HIW524289:HIX524289 HIW589825:HIX589825 HIW655361:HIX655361 HIW720897:HIX720897 HIW786433:HIX786433 HIW851969:HIX851969 HIW917505:HIX917505 HIW983041:HIX983041 HSS2:HST2 HSS65537:HST65537 HSS131073:HST131073 HSS196609:HST196609 HSS262145:HST262145 HSS327681:HST327681 HSS393217:HST393217 HSS458753:HST458753 HSS524289:HST524289 HSS589825:HST589825 HSS655361:HST655361 HSS720897:HST720897 HSS786433:HST786433 HSS851969:HST851969 HSS917505:HST917505 HSS983041:HST983041 ICO2:ICP2 ICO65537:ICP65537 ICO131073:ICP131073 ICO196609:ICP196609 ICO262145:ICP262145 ICO327681:ICP327681 ICO393217:ICP393217 ICO458753:ICP458753 ICO524289:ICP524289 ICO589825:ICP589825 ICO655361:ICP655361 ICO720897:ICP720897 ICO786433:ICP786433 ICO851969:ICP851969 ICO917505:ICP917505 ICO983041:ICP983041 IMK2:IML2 IMK65537:IML65537 IMK131073:IML131073 IMK196609:IML196609 IMK262145:IML262145 IMK327681:IML327681 IMK393217:IML393217 IMK458753:IML458753 IMK524289:IML524289 IMK589825:IML589825 IMK655361:IML655361 IMK720897:IML720897 IMK786433:IML786433 IMK851969:IML851969 IMK917505:IML917505 IMK983041:IML983041 IWG2:IWH2 IWG65537:IWH65537 IWG131073:IWH131073 IWG196609:IWH196609 IWG262145:IWH262145 IWG327681:IWH327681 IWG393217:IWH393217 IWG458753:IWH458753 IWG524289:IWH524289 IWG589825:IWH589825 IWG655361:IWH655361 IWG720897:IWH720897 IWG786433:IWH786433 IWG851969:IWH851969 IWG917505:IWH917505 IWG983041:IWH983041 JGC2:JGD2 JGC65537:JGD65537 JGC131073:JGD131073 JGC196609:JGD196609 JGC262145:JGD262145 JGC327681:JGD327681 JGC393217:JGD393217 JGC458753:JGD458753 JGC524289:JGD524289 JGC589825:JGD589825 JGC655361:JGD655361 JGC720897:JGD720897 JGC786433:JGD786433 JGC851969:JGD851969 JGC917505:JGD917505 JGC983041:JGD983041 JPY2:JPZ2 JPY65537:JPZ65537 JPY131073:JPZ131073 JPY196609:JPZ196609 JPY262145:JPZ262145 JPY327681:JPZ327681 JPY393217:JPZ393217 JPY458753:JPZ458753 JPY524289:JPZ524289 JPY589825:JPZ589825 JPY655361:JPZ655361 JPY720897:JPZ720897 JPY786433:JPZ786433 JPY851969:JPZ851969 JPY917505:JPZ917505 JPY983041:JPZ983041 JZU2:JZV2 JZU65537:JZV65537 JZU131073:JZV131073 JZU196609:JZV196609 JZU262145:JZV262145 JZU327681:JZV327681 JZU393217:JZV393217 JZU458753:JZV458753 JZU524289:JZV524289 JZU589825:JZV589825 JZU655361:JZV655361 JZU720897:JZV720897 JZU786433:JZV786433 JZU851969:JZV851969 JZU917505:JZV917505 JZU983041:JZV983041 KJQ2:KJR2 KJQ65537:KJR65537 KJQ131073:KJR131073 KJQ196609:KJR196609 KJQ262145:KJR262145 KJQ327681:KJR327681 KJQ393217:KJR393217 KJQ458753:KJR458753 KJQ524289:KJR524289 KJQ589825:KJR589825 KJQ655361:KJR655361 KJQ720897:KJR720897 KJQ786433:KJR786433 KJQ851969:KJR851969 KJQ917505:KJR917505 KJQ983041:KJR983041 KTM2:KTN2 KTM65537:KTN65537 KTM131073:KTN131073 KTM196609:KTN196609 KTM262145:KTN262145 KTM327681:KTN327681 KTM393217:KTN393217 KTM458753:KTN458753 KTM524289:KTN524289 KTM589825:KTN589825 KTM655361:KTN655361 KTM720897:KTN720897 KTM786433:KTN786433 KTM851969:KTN851969 KTM917505:KTN917505 KTM983041:KTN983041 LDI2:LDJ2 LDI65537:LDJ65537 LDI131073:LDJ131073 LDI196609:LDJ196609 LDI262145:LDJ262145 LDI327681:LDJ327681 LDI393217:LDJ393217 LDI458753:LDJ458753 LDI524289:LDJ524289 LDI589825:LDJ589825 LDI655361:LDJ655361 LDI720897:LDJ720897 LDI786433:LDJ786433 LDI851969:LDJ851969 LDI917505:LDJ917505 LDI983041:LDJ983041 LNE2:LNF2 LNE65537:LNF65537 LNE131073:LNF131073 LNE196609:LNF196609 LNE262145:LNF262145 LNE327681:LNF327681 LNE393217:LNF393217 LNE458753:LNF458753 LNE524289:LNF524289 LNE589825:LNF589825 LNE655361:LNF655361 LNE720897:LNF720897 LNE786433:LNF786433 LNE851969:LNF851969 LNE917505:LNF917505 LNE983041:LNF983041 LXA2:LXB2 LXA65537:LXB65537 LXA131073:LXB131073 LXA196609:LXB196609 LXA262145:LXB262145 LXA327681:LXB327681 LXA393217:LXB393217 LXA458753:LXB458753 LXA524289:LXB524289 LXA589825:LXB589825 LXA655361:LXB655361 LXA720897:LXB720897 LXA786433:LXB786433 LXA851969:LXB851969 LXA917505:LXB917505 LXA983041:LXB983041 MGW2:MGX2 MGW65537:MGX65537 MGW131073:MGX131073 MGW196609:MGX196609 MGW262145:MGX262145 MGW327681:MGX327681 MGW393217:MGX393217 MGW458753:MGX458753 MGW524289:MGX524289 MGW589825:MGX589825 MGW655361:MGX655361 MGW720897:MGX720897 MGW786433:MGX786433 MGW851969:MGX851969 MGW917505:MGX917505 MGW983041:MGX983041 MQS2:MQT2 MQS65537:MQT65537 MQS131073:MQT131073 MQS196609:MQT196609 MQS262145:MQT262145 MQS327681:MQT327681 MQS393217:MQT393217 MQS458753:MQT458753 MQS524289:MQT524289 MQS589825:MQT589825 MQS655361:MQT655361 MQS720897:MQT720897 MQS786433:MQT786433 MQS851969:MQT851969 MQS917505:MQT917505 MQS983041:MQT983041 NAO2:NAP2 NAO65537:NAP65537 NAO131073:NAP131073 NAO196609:NAP196609 NAO262145:NAP262145 NAO327681:NAP327681 NAO393217:NAP393217 NAO458753:NAP458753 NAO524289:NAP524289 NAO589825:NAP589825 NAO655361:NAP655361 NAO720897:NAP720897 NAO786433:NAP786433 NAO851969:NAP851969 NAO917505:NAP917505 NAO983041:NAP983041 NKK2:NKL2 NKK65537:NKL65537 NKK131073:NKL131073 NKK196609:NKL196609 NKK262145:NKL262145 NKK327681:NKL327681 NKK393217:NKL393217 NKK458753:NKL458753 NKK524289:NKL524289 NKK589825:NKL589825 NKK655361:NKL655361 NKK720897:NKL720897 NKK786433:NKL786433 NKK851969:NKL851969 NKK917505:NKL917505 NKK983041:NKL983041 NUG2:NUH2 NUG65537:NUH65537 NUG131073:NUH131073 NUG196609:NUH196609 NUG262145:NUH262145 NUG327681:NUH327681 NUG393217:NUH393217 NUG458753:NUH458753 NUG524289:NUH524289 NUG589825:NUH589825 NUG655361:NUH655361 NUG720897:NUH720897 NUG786433:NUH786433 NUG851969:NUH851969 NUG917505:NUH917505 NUG983041:NUH983041 OEC2:OED2 OEC65537:OED65537 OEC131073:OED131073 OEC196609:OED196609 OEC262145:OED262145 OEC327681:OED327681 OEC393217:OED393217 OEC458753:OED458753 OEC524289:OED524289 OEC589825:OED589825 OEC655361:OED655361 OEC720897:OED720897 OEC786433:OED786433 OEC851969:OED851969 OEC917505:OED917505 OEC983041:OED983041 ONY2:ONZ2 ONY65537:ONZ65537 ONY131073:ONZ131073 ONY196609:ONZ196609 ONY262145:ONZ262145 ONY327681:ONZ327681 ONY393217:ONZ393217 ONY458753:ONZ458753 ONY524289:ONZ524289 ONY589825:ONZ589825 ONY655361:ONZ655361 ONY720897:ONZ720897 ONY786433:ONZ786433 ONY851969:ONZ851969 ONY917505:ONZ917505 ONY983041:ONZ983041 OXU2:OXV2 OXU65537:OXV65537 OXU131073:OXV131073 OXU196609:OXV196609 OXU262145:OXV262145 OXU327681:OXV327681 OXU393217:OXV393217 OXU458753:OXV458753 OXU524289:OXV524289 OXU589825:OXV589825 OXU655361:OXV655361 OXU720897:OXV720897 OXU786433:OXV786433 OXU851969:OXV851969 OXU917505:OXV917505 OXU983041:OXV983041 PHQ2:PHR2 PHQ65537:PHR65537 PHQ131073:PHR131073 PHQ196609:PHR196609 PHQ262145:PHR262145 PHQ327681:PHR327681 PHQ393217:PHR393217 PHQ458753:PHR458753 PHQ524289:PHR524289 PHQ589825:PHR589825 PHQ655361:PHR655361 PHQ720897:PHR720897 PHQ786433:PHR786433 PHQ851969:PHR851969 PHQ917505:PHR917505 PHQ983041:PHR983041 PRM2:PRN2 PRM65537:PRN65537 PRM131073:PRN131073 PRM196609:PRN196609 PRM262145:PRN262145 PRM327681:PRN327681 PRM393217:PRN393217 PRM458753:PRN458753 PRM524289:PRN524289 PRM589825:PRN589825 PRM655361:PRN655361 PRM720897:PRN720897 PRM786433:PRN786433 PRM851969:PRN851969 PRM917505:PRN917505 PRM983041:PRN983041 QBI2:QBJ2 QBI65537:QBJ65537 QBI131073:QBJ131073 QBI196609:QBJ196609 QBI262145:QBJ262145 QBI327681:QBJ327681 QBI393217:QBJ393217 QBI458753:QBJ458753 QBI524289:QBJ524289 QBI589825:QBJ589825 QBI655361:QBJ655361 QBI720897:QBJ720897 QBI786433:QBJ786433 QBI851969:QBJ851969 QBI917505:QBJ917505 QBI983041:QBJ983041 QLE2:QLF2 QLE65537:QLF65537 QLE131073:QLF131073 QLE196609:QLF196609 QLE262145:QLF262145 QLE327681:QLF327681 QLE393217:QLF393217 QLE458753:QLF458753 QLE524289:QLF524289 QLE589825:QLF589825 QLE655361:QLF655361 QLE720897:QLF720897 QLE786433:QLF786433 QLE851969:QLF851969 QLE917505:QLF917505 QLE983041:QLF983041 QVA2:QVB2 QVA65537:QVB65537 QVA131073:QVB131073 QVA196609:QVB196609 QVA262145:QVB262145 QVA327681:QVB327681 QVA393217:QVB393217 QVA458753:QVB458753 QVA524289:QVB524289 QVA589825:QVB589825 QVA655361:QVB655361 QVA720897:QVB720897 QVA786433:QVB786433 QVA851969:QVB851969 QVA917505:QVB917505 QVA983041:QVB983041 REW2:REX2 REW65537:REX65537 REW131073:REX131073 REW196609:REX196609 REW262145:REX262145 REW327681:REX327681 REW393217:REX393217 REW458753:REX458753 REW524289:REX524289 REW589825:REX589825 REW655361:REX655361 REW720897:REX720897 REW786433:REX786433 REW851969:REX851969 REW917505:REX917505 REW983041:REX983041 ROS2:ROT2 ROS65537:ROT65537 ROS131073:ROT131073 ROS196609:ROT196609 ROS262145:ROT262145 ROS327681:ROT327681 ROS393217:ROT393217 ROS458753:ROT458753 ROS524289:ROT524289 ROS589825:ROT589825 ROS655361:ROT655361 ROS720897:ROT720897 ROS786433:ROT786433 ROS851969:ROT851969 ROS917505:ROT917505 ROS983041:ROT983041 RYO2:RYP2 RYO65537:RYP65537 RYO131073:RYP131073 RYO196609:RYP196609 RYO262145:RYP262145 RYO327681:RYP327681 RYO393217:RYP393217 RYO458753:RYP458753 RYO524289:RYP524289 RYO589825:RYP589825 RYO655361:RYP655361 RYO720897:RYP720897 RYO786433:RYP786433 RYO851969:RYP851969 RYO917505:RYP917505 RYO983041:RYP983041 SIK2:SIL2 SIK65537:SIL65537 SIK131073:SIL131073 SIK196609:SIL196609 SIK262145:SIL262145 SIK327681:SIL327681 SIK393217:SIL393217 SIK458753:SIL458753 SIK524289:SIL524289 SIK589825:SIL589825 SIK655361:SIL655361 SIK720897:SIL720897 SIK786433:SIL786433 SIK851969:SIL851969 SIK917505:SIL917505 SIK983041:SIL983041 SSG2:SSH2 SSG65537:SSH65537 SSG131073:SSH131073 SSG196609:SSH196609 SSG262145:SSH262145 SSG327681:SSH327681 SSG393217:SSH393217 SSG458753:SSH458753 SSG524289:SSH524289 SSG589825:SSH589825 SSG655361:SSH655361 SSG720897:SSH720897 SSG786433:SSH786433 SSG851969:SSH851969 SSG917505:SSH917505 SSG983041:SSH983041 TCC2:TCD2 TCC65537:TCD65537 TCC131073:TCD131073 TCC196609:TCD196609 TCC262145:TCD262145 TCC327681:TCD327681 TCC393217:TCD393217 TCC458753:TCD458753 TCC524289:TCD524289 TCC589825:TCD589825 TCC655361:TCD655361 TCC720897:TCD720897 TCC786433:TCD786433 TCC851969:TCD851969 TCC917505:TCD917505 TCC983041:TCD983041 TLY2:TLZ2 TLY65537:TLZ65537 TLY131073:TLZ131073 TLY196609:TLZ196609 TLY262145:TLZ262145 TLY327681:TLZ327681 TLY393217:TLZ393217 TLY458753:TLZ458753 TLY524289:TLZ524289 TLY589825:TLZ589825 TLY655361:TLZ655361 TLY720897:TLZ720897 TLY786433:TLZ786433 TLY851969:TLZ851969 TLY917505:TLZ917505 TLY983041:TLZ983041 TVU2:TVV2 TVU65537:TVV65537 TVU131073:TVV131073 TVU196609:TVV196609 TVU262145:TVV262145 TVU327681:TVV327681 TVU393217:TVV393217 TVU458753:TVV458753 TVU524289:TVV524289 TVU589825:TVV589825 TVU655361:TVV655361 TVU720897:TVV720897 TVU786433:TVV786433 TVU851969:TVV851969 TVU917505:TVV917505 TVU983041:TVV983041 UFQ2:UFR2 UFQ65537:UFR65537 UFQ131073:UFR131073 UFQ196609:UFR196609 UFQ262145:UFR262145 UFQ327681:UFR327681 UFQ393217:UFR393217 UFQ458753:UFR458753 UFQ524289:UFR524289 UFQ589825:UFR589825 UFQ655361:UFR655361 UFQ720897:UFR720897 UFQ786433:UFR786433 UFQ851969:UFR851969 UFQ917505:UFR917505 UFQ983041:UFR983041 UPM2:UPN2 UPM65537:UPN65537 UPM131073:UPN131073 UPM196609:UPN196609 UPM262145:UPN262145 UPM327681:UPN327681 UPM393217:UPN393217 UPM458753:UPN458753 UPM524289:UPN524289 UPM589825:UPN589825 UPM655361:UPN655361 UPM720897:UPN720897 UPM786433:UPN786433 UPM851969:UPN851969 UPM917505:UPN917505 UPM983041:UPN983041 UZI2:UZJ2 UZI65537:UZJ65537 UZI131073:UZJ131073 UZI196609:UZJ196609 UZI262145:UZJ262145 UZI327681:UZJ327681 UZI393217:UZJ393217 UZI458753:UZJ458753 UZI524289:UZJ524289 UZI589825:UZJ589825 UZI655361:UZJ655361 UZI720897:UZJ720897 UZI786433:UZJ786433 UZI851969:UZJ851969 UZI917505:UZJ917505 UZI983041:UZJ983041 VJE2:VJF2 VJE65537:VJF65537 VJE131073:VJF131073 VJE196609:VJF196609 VJE262145:VJF262145 VJE327681:VJF327681 VJE393217:VJF393217 VJE458753:VJF458753 VJE524289:VJF524289 VJE589825:VJF589825 VJE655361:VJF655361 VJE720897:VJF720897 VJE786433:VJF786433 VJE851969:VJF851969 VJE917505:VJF917505 VJE983041:VJF983041 VTA2:VTB2 VTA65537:VTB65537 VTA131073:VTB131073 VTA196609:VTB196609 VTA262145:VTB262145 VTA327681:VTB327681 VTA393217:VTB393217 VTA458753:VTB458753 VTA524289:VTB524289 VTA589825:VTB589825 VTA655361:VTB655361 VTA720897:VTB720897 VTA786433:VTB786433 VTA851969:VTB851969 VTA917505:VTB917505 VTA983041:VTB983041 WCW2:WCX2 WCW65537:WCX65537 WCW131073:WCX131073 WCW196609:WCX196609 WCW262145:WCX262145 WCW327681:WCX327681 WCW393217:WCX393217 WCW458753:WCX458753 WCW524289:WCX524289 WCW589825:WCX589825 WCW655361:WCX655361 WCW720897:WCX720897 WCW786433:WCX786433 WCW851969:WCX851969 WCW917505:WCX917505 WCW983041:WCX983041 WMS2:WMT2 WMS65537:WMT65537 WMS131073:WMT131073 WMS196609:WMT196609 WMS262145:WMT262145 WMS327681:WMT327681 WMS393217:WMT393217 WMS458753:WMT458753 WMS524289:WMT524289 WMS589825:WMT589825 WMS655361:WMT655361 WMS720897:WMT720897 WMS786433:WMT786433 WMS851969:WMT851969 WMS917505:WMT917505 WMS983041:WMT983041 WWO2:WWP2 WWO65537:WWP65537 WWO131073:WWP131073 WWO196609:WWP196609 WWO262145:WWP262145 WWO327681:WWP327681 WWO393217:WWP393217 WWO458753:WWP458753 WWO524289:WWP524289 WWO589825:WWP589825 WWO655361:WWP655361 WWO720897:WWP720897 WWO786433:WWP786433 WWO851969:WWP851969 WWO917505:WWP917505 WWO983041:WWP983041" xr:uid="{00000000-0002-0000-3000-000002000000}">
      <formula1>1</formula1>
      <formula2>31</formula2>
    </dataValidation>
    <dataValidation type="whole" allowBlank="1" showInputMessage="1" showErrorMessage="1" sqref="AD65537:AE65537 AD131073:AE131073 AD196609:AE196609 AD262145:AE262145 AD327681:AE327681 AD393217:AE393217 AD458753:AE458753 AD524289:AE524289 AD589825:AE589825 AD655361:AE655361 AD720897:AE720897 AD786433:AE786433 AD851969:AE851969 AD917505:AE917505 AD983041:AE983041 JZ2:KA2 JZ65537:KA65537 JZ131073:KA131073 JZ196609:KA196609 JZ262145:KA262145 JZ327681:KA327681 JZ393217:KA393217 JZ458753:KA458753 JZ524289:KA524289 JZ589825:KA589825 JZ655361:KA655361 JZ720897:KA720897 JZ786433:KA786433 JZ851969:KA851969 JZ917505:KA917505 JZ983041:KA983041 TV2:TW2 TV65537:TW65537 TV131073:TW131073 TV196609:TW196609 TV262145:TW262145 TV327681:TW327681 TV393217:TW393217 TV458753:TW458753 TV524289:TW524289 TV589825:TW589825 TV655361:TW655361 TV720897:TW720897 TV786433:TW786433 TV851969:TW851969 TV917505:TW917505 TV983041:TW983041 ADR2:ADS2 ADR65537:ADS65537 ADR131073:ADS131073 ADR196609:ADS196609 ADR262145:ADS262145 ADR327681:ADS327681 ADR393217:ADS393217 ADR458753:ADS458753 ADR524289:ADS524289 ADR589825:ADS589825 ADR655361:ADS655361 ADR720897:ADS720897 ADR786433:ADS786433 ADR851969:ADS851969 ADR917505:ADS917505 ADR983041:ADS983041 ANN2:ANO2 ANN65537:ANO65537 ANN131073:ANO131073 ANN196609:ANO196609 ANN262145:ANO262145 ANN327681:ANO327681 ANN393217:ANO393217 ANN458753:ANO458753 ANN524289:ANO524289 ANN589825:ANO589825 ANN655361:ANO655361 ANN720897:ANO720897 ANN786433:ANO786433 ANN851969:ANO851969 ANN917505:ANO917505 ANN983041:ANO983041 AXJ2:AXK2 AXJ65537:AXK65537 AXJ131073:AXK131073 AXJ196609:AXK196609 AXJ262145:AXK262145 AXJ327681:AXK327681 AXJ393217:AXK393217 AXJ458753:AXK458753 AXJ524289:AXK524289 AXJ589825:AXK589825 AXJ655361:AXK655361 AXJ720897:AXK720897 AXJ786433:AXK786433 AXJ851969:AXK851969 AXJ917505:AXK917505 AXJ983041:AXK983041 BHF2:BHG2 BHF65537:BHG65537 BHF131073:BHG131073 BHF196609:BHG196609 BHF262145:BHG262145 BHF327681:BHG327681 BHF393217:BHG393217 BHF458753:BHG458753 BHF524289:BHG524289 BHF589825:BHG589825 BHF655361:BHG655361 BHF720897:BHG720897 BHF786433:BHG786433 BHF851969:BHG851969 BHF917505:BHG917505 BHF983041:BHG983041 BRB2:BRC2 BRB65537:BRC65537 BRB131073:BRC131073 BRB196609:BRC196609 BRB262145:BRC262145 BRB327681:BRC327681 BRB393217:BRC393217 BRB458753:BRC458753 BRB524289:BRC524289 BRB589825:BRC589825 BRB655361:BRC655361 BRB720897:BRC720897 BRB786433:BRC786433 BRB851969:BRC851969 BRB917505:BRC917505 BRB983041:BRC983041 CAX2:CAY2 CAX65537:CAY65537 CAX131073:CAY131073 CAX196609:CAY196609 CAX262145:CAY262145 CAX327681:CAY327681 CAX393217:CAY393217 CAX458753:CAY458753 CAX524289:CAY524289 CAX589825:CAY589825 CAX655361:CAY655361 CAX720897:CAY720897 CAX786433:CAY786433 CAX851969:CAY851969 CAX917505:CAY917505 CAX983041:CAY983041 CKT2:CKU2 CKT65537:CKU65537 CKT131073:CKU131073 CKT196609:CKU196609 CKT262145:CKU262145 CKT327681:CKU327681 CKT393217:CKU393217 CKT458753:CKU458753 CKT524289:CKU524289 CKT589825:CKU589825 CKT655361:CKU655361 CKT720897:CKU720897 CKT786433:CKU786433 CKT851969:CKU851969 CKT917505:CKU917505 CKT983041:CKU983041 CUP2:CUQ2 CUP65537:CUQ65537 CUP131073:CUQ131073 CUP196609:CUQ196609 CUP262145:CUQ262145 CUP327681:CUQ327681 CUP393217:CUQ393217 CUP458753:CUQ458753 CUP524289:CUQ524289 CUP589825:CUQ589825 CUP655361:CUQ655361 CUP720897:CUQ720897 CUP786433:CUQ786433 CUP851969:CUQ851969 CUP917505:CUQ917505 CUP983041:CUQ983041 DEL2:DEM2 DEL65537:DEM65537 DEL131073:DEM131073 DEL196609:DEM196609 DEL262145:DEM262145 DEL327681:DEM327681 DEL393217:DEM393217 DEL458753:DEM458753 DEL524289:DEM524289 DEL589825:DEM589825 DEL655361:DEM655361 DEL720897:DEM720897 DEL786433:DEM786433 DEL851969:DEM851969 DEL917505:DEM917505 DEL983041:DEM983041 DOH2:DOI2 DOH65537:DOI65537 DOH131073:DOI131073 DOH196609:DOI196609 DOH262145:DOI262145 DOH327681:DOI327681 DOH393217:DOI393217 DOH458753:DOI458753 DOH524289:DOI524289 DOH589825:DOI589825 DOH655361:DOI655361 DOH720897:DOI720897 DOH786433:DOI786433 DOH851969:DOI851969 DOH917505:DOI917505 DOH983041:DOI983041 DYD2:DYE2 DYD65537:DYE65537 DYD131073:DYE131073 DYD196609:DYE196609 DYD262145:DYE262145 DYD327681:DYE327681 DYD393217:DYE393217 DYD458753:DYE458753 DYD524289:DYE524289 DYD589825:DYE589825 DYD655361:DYE655361 DYD720897:DYE720897 DYD786433:DYE786433 DYD851969:DYE851969 DYD917505:DYE917505 DYD983041:DYE983041 EHZ2:EIA2 EHZ65537:EIA65537 EHZ131073:EIA131073 EHZ196609:EIA196609 EHZ262145:EIA262145 EHZ327681:EIA327681 EHZ393217:EIA393217 EHZ458753:EIA458753 EHZ524289:EIA524289 EHZ589825:EIA589825 EHZ655361:EIA655361 EHZ720897:EIA720897 EHZ786433:EIA786433 EHZ851969:EIA851969 EHZ917505:EIA917505 EHZ983041:EIA983041 ERV2:ERW2 ERV65537:ERW65537 ERV131073:ERW131073 ERV196609:ERW196609 ERV262145:ERW262145 ERV327681:ERW327681 ERV393217:ERW393217 ERV458753:ERW458753 ERV524289:ERW524289 ERV589825:ERW589825 ERV655361:ERW655361 ERV720897:ERW720897 ERV786433:ERW786433 ERV851969:ERW851969 ERV917505:ERW917505 ERV983041:ERW983041 FBR2:FBS2 FBR65537:FBS65537 FBR131073:FBS131073 FBR196609:FBS196609 FBR262145:FBS262145 FBR327681:FBS327681 FBR393217:FBS393217 FBR458753:FBS458753 FBR524289:FBS524289 FBR589825:FBS589825 FBR655361:FBS655361 FBR720897:FBS720897 FBR786433:FBS786433 FBR851969:FBS851969 FBR917505:FBS917505 FBR983041:FBS983041 FLN2:FLO2 FLN65537:FLO65537 FLN131073:FLO131073 FLN196609:FLO196609 FLN262145:FLO262145 FLN327681:FLO327681 FLN393217:FLO393217 FLN458753:FLO458753 FLN524289:FLO524289 FLN589825:FLO589825 FLN655361:FLO655361 FLN720897:FLO720897 FLN786433:FLO786433 FLN851969:FLO851969 FLN917505:FLO917505 FLN983041:FLO983041 FVJ2:FVK2 FVJ65537:FVK65537 FVJ131073:FVK131073 FVJ196609:FVK196609 FVJ262145:FVK262145 FVJ327681:FVK327681 FVJ393217:FVK393217 FVJ458753:FVK458753 FVJ524289:FVK524289 FVJ589825:FVK589825 FVJ655361:FVK655361 FVJ720897:FVK720897 FVJ786433:FVK786433 FVJ851969:FVK851969 FVJ917505:FVK917505 FVJ983041:FVK983041 GFF2:GFG2 GFF65537:GFG65537 GFF131073:GFG131073 GFF196609:GFG196609 GFF262145:GFG262145 GFF327681:GFG327681 GFF393217:GFG393217 GFF458753:GFG458753 GFF524289:GFG524289 GFF589825:GFG589825 GFF655361:GFG655361 GFF720897:GFG720897 GFF786433:GFG786433 GFF851969:GFG851969 GFF917505:GFG917505 GFF983041:GFG983041 GPB2:GPC2 GPB65537:GPC65537 GPB131073:GPC131073 GPB196609:GPC196609 GPB262145:GPC262145 GPB327681:GPC327681 GPB393217:GPC393217 GPB458753:GPC458753 GPB524289:GPC524289 GPB589825:GPC589825 GPB655361:GPC655361 GPB720897:GPC720897 GPB786433:GPC786433 GPB851969:GPC851969 GPB917505:GPC917505 GPB983041:GPC983041 GYX2:GYY2 GYX65537:GYY65537 GYX131073:GYY131073 GYX196609:GYY196609 GYX262145:GYY262145 GYX327681:GYY327681 GYX393217:GYY393217 GYX458753:GYY458753 GYX524289:GYY524289 GYX589825:GYY589825 GYX655361:GYY655361 GYX720897:GYY720897 GYX786433:GYY786433 GYX851969:GYY851969 GYX917505:GYY917505 GYX983041:GYY983041 HIT2:HIU2 HIT65537:HIU65537 HIT131073:HIU131073 HIT196609:HIU196609 HIT262145:HIU262145 HIT327681:HIU327681 HIT393217:HIU393217 HIT458753:HIU458753 HIT524289:HIU524289 HIT589825:HIU589825 HIT655361:HIU655361 HIT720897:HIU720897 HIT786433:HIU786433 HIT851969:HIU851969 HIT917505:HIU917505 HIT983041:HIU983041 HSP2:HSQ2 HSP65537:HSQ65537 HSP131073:HSQ131073 HSP196609:HSQ196609 HSP262145:HSQ262145 HSP327681:HSQ327681 HSP393217:HSQ393217 HSP458753:HSQ458753 HSP524289:HSQ524289 HSP589825:HSQ589825 HSP655361:HSQ655361 HSP720897:HSQ720897 HSP786433:HSQ786433 HSP851969:HSQ851969 HSP917505:HSQ917505 HSP983041:HSQ983041 ICL2:ICM2 ICL65537:ICM65537 ICL131073:ICM131073 ICL196609:ICM196609 ICL262145:ICM262145 ICL327681:ICM327681 ICL393217:ICM393217 ICL458753:ICM458753 ICL524289:ICM524289 ICL589825:ICM589825 ICL655361:ICM655361 ICL720897:ICM720897 ICL786433:ICM786433 ICL851969:ICM851969 ICL917505:ICM917505 ICL983041:ICM983041 IMH2:IMI2 IMH65537:IMI65537 IMH131073:IMI131073 IMH196609:IMI196609 IMH262145:IMI262145 IMH327681:IMI327681 IMH393217:IMI393217 IMH458753:IMI458753 IMH524289:IMI524289 IMH589825:IMI589825 IMH655361:IMI655361 IMH720897:IMI720897 IMH786433:IMI786433 IMH851969:IMI851969 IMH917505:IMI917505 IMH983041:IMI983041 IWD2:IWE2 IWD65537:IWE65537 IWD131073:IWE131073 IWD196609:IWE196609 IWD262145:IWE262145 IWD327681:IWE327681 IWD393217:IWE393217 IWD458753:IWE458753 IWD524289:IWE524289 IWD589825:IWE589825 IWD655361:IWE655361 IWD720897:IWE720897 IWD786433:IWE786433 IWD851969:IWE851969 IWD917505:IWE917505 IWD983041:IWE983041 JFZ2:JGA2 JFZ65537:JGA65537 JFZ131073:JGA131073 JFZ196609:JGA196609 JFZ262145:JGA262145 JFZ327681:JGA327681 JFZ393217:JGA393217 JFZ458753:JGA458753 JFZ524289:JGA524289 JFZ589825:JGA589825 JFZ655361:JGA655361 JFZ720897:JGA720897 JFZ786433:JGA786433 JFZ851969:JGA851969 JFZ917505:JGA917505 JFZ983041:JGA983041 JPV2:JPW2 JPV65537:JPW65537 JPV131073:JPW131073 JPV196609:JPW196609 JPV262145:JPW262145 JPV327681:JPW327681 JPV393217:JPW393217 JPV458753:JPW458753 JPV524289:JPW524289 JPV589825:JPW589825 JPV655361:JPW655361 JPV720897:JPW720897 JPV786433:JPW786433 JPV851969:JPW851969 JPV917505:JPW917505 JPV983041:JPW983041 JZR2:JZS2 JZR65537:JZS65537 JZR131073:JZS131073 JZR196609:JZS196609 JZR262145:JZS262145 JZR327681:JZS327681 JZR393217:JZS393217 JZR458753:JZS458753 JZR524289:JZS524289 JZR589825:JZS589825 JZR655361:JZS655361 JZR720897:JZS720897 JZR786433:JZS786433 JZR851969:JZS851969 JZR917505:JZS917505 JZR983041:JZS983041 KJN2:KJO2 KJN65537:KJO65537 KJN131073:KJO131073 KJN196609:KJO196609 KJN262145:KJO262145 KJN327681:KJO327681 KJN393217:KJO393217 KJN458753:KJO458753 KJN524289:KJO524289 KJN589825:KJO589825 KJN655361:KJO655361 KJN720897:KJO720897 KJN786433:KJO786433 KJN851969:KJO851969 KJN917505:KJO917505 KJN983041:KJO983041 KTJ2:KTK2 KTJ65537:KTK65537 KTJ131073:KTK131073 KTJ196609:KTK196609 KTJ262145:KTK262145 KTJ327681:KTK327681 KTJ393217:KTK393217 KTJ458753:KTK458753 KTJ524289:KTK524289 KTJ589825:KTK589825 KTJ655361:KTK655361 KTJ720897:KTK720897 KTJ786433:KTK786433 KTJ851969:KTK851969 KTJ917505:KTK917505 KTJ983041:KTK983041 LDF2:LDG2 LDF65537:LDG65537 LDF131073:LDG131073 LDF196609:LDG196609 LDF262145:LDG262145 LDF327681:LDG327681 LDF393217:LDG393217 LDF458753:LDG458753 LDF524289:LDG524289 LDF589825:LDG589825 LDF655361:LDG655361 LDF720897:LDG720897 LDF786433:LDG786433 LDF851969:LDG851969 LDF917505:LDG917505 LDF983041:LDG983041 LNB2:LNC2 LNB65537:LNC65537 LNB131073:LNC131073 LNB196609:LNC196609 LNB262145:LNC262145 LNB327681:LNC327681 LNB393217:LNC393217 LNB458753:LNC458753 LNB524289:LNC524289 LNB589825:LNC589825 LNB655361:LNC655361 LNB720897:LNC720897 LNB786433:LNC786433 LNB851969:LNC851969 LNB917505:LNC917505 LNB983041:LNC983041 LWX2:LWY2 LWX65537:LWY65537 LWX131073:LWY131073 LWX196609:LWY196609 LWX262145:LWY262145 LWX327681:LWY327681 LWX393217:LWY393217 LWX458753:LWY458753 LWX524289:LWY524289 LWX589825:LWY589825 LWX655361:LWY655361 LWX720897:LWY720897 LWX786433:LWY786433 LWX851969:LWY851969 LWX917505:LWY917505 LWX983041:LWY983041 MGT2:MGU2 MGT65537:MGU65537 MGT131073:MGU131073 MGT196609:MGU196609 MGT262145:MGU262145 MGT327681:MGU327681 MGT393217:MGU393217 MGT458753:MGU458753 MGT524289:MGU524289 MGT589825:MGU589825 MGT655361:MGU655361 MGT720897:MGU720897 MGT786433:MGU786433 MGT851969:MGU851969 MGT917505:MGU917505 MGT983041:MGU983041 MQP2:MQQ2 MQP65537:MQQ65537 MQP131073:MQQ131073 MQP196609:MQQ196609 MQP262145:MQQ262145 MQP327681:MQQ327681 MQP393217:MQQ393217 MQP458753:MQQ458753 MQP524289:MQQ524289 MQP589825:MQQ589825 MQP655361:MQQ655361 MQP720897:MQQ720897 MQP786433:MQQ786433 MQP851969:MQQ851969 MQP917505:MQQ917505 MQP983041:MQQ983041 NAL2:NAM2 NAL65537:NAM65537 NAL131073:NAM131073 NAL196609:NAM196609 NAL262145:NAM262145 NAL327681:NAM327681 NAL393217:NAM393217 NAL458753:NAM458753 NAL524289:NAM524289 NAL589825:NAM589825 NAL655361:NAM655361 NAL720897:NAM720897 NAL786433:NAM786433 NAL851969:NAM851969 NAL917505:NAM917505 NAL983041:NAM983041 NKH2:NKI2 NKH65537:NKI65537 NKH131073:NKI131073 NKH196609:NKI196609 NKH262145:NKI262145 NKH327681:NKI327681 NKH393217:NKI393217 NKH458753:NKI458753 NKH524289:NKI524289 NKH589825:NKI589825 NKH655361:NKI655361 NKH720897:NKI720897 NKH786433:NKI786433 NKH851969:NKI851969 NKH917505:NKI917505 NKH983041:NKI983041 NUD2:NUE2 NUD65537:NUE65537 NUD131073:NUE131073 NUD196609:NUE196609 NUD262145:NUE262145 NUD327681:NUE327681 NUD393217:NUE393217 NUD458753:NUE458753 NUD524289:NUE524289 NUD589825:NUE589825 NUD655361:NUE655361 NUD720897:NUE720897 NUD786433:NUE786433 NUD851969:NUE851969 NUD917505:NUE917505 NUD983041:NUE983041 ODZ2:OEA2 ODZ65537:OEA65537 ODZ131073:OEA131073 ODZ196609:OEA196609 ODZ262145:OEA262145 ODZ327681:OEA327681 ODZ393217:OEA393217 ODZ458753:OEA458753 ODZ524289:OEA524289 ODZ589825:OEA589825 ODZ655361:OEA655361 ODZ720897:OEA720897 ODZ786433:OEA786433 ODZ851969:OEA851969 ODZ917505:OEA917505 ODZ983041:OEA983041 ONV2:ONW2 ONV65537:ONW65537 ONV131073:ONW131073 ONV196609:ONW196609 ONV262145:ONW262145 ONV327681:ONW327681 ONV393217:ONW393217 ONV458753:ONW458753 ONV524289:ONW524289 ONV589825:ONW589825 ONV655361:ONW655361 ONV720897:ONW720897 ONV786433:ONW786433 ONV851969:ONW851969 ONV917505:ONW917505 ONV983041:ONW983041 OXR2:OXS2 OXR65537:OXS65537 OXR131073:OXS131073 OXR196609:OXS196609 OXR262145:OXS262145 OXR327681:OXS327681 OXR393217:OXS393217 OXR458753:OXS458753 OXR524289:OXS524289 OXR589825:OXS589825 OXR655361:OXS655361 OXR720897:OXS720897 OXR786433:OXS786433 OXR851969:OXS851969 OXR917505:OXS917505 OXR983041:OXS983041 PHN2:PHO2 PHN65537:PHO65537 PHN131073:PHO131073 PHN196609:PHO196609 PHN262145:PHO262145 PHN327681:PHO327681 PHN393217:PHO393217 PHN458753:PHO458753 PHN524289:PHO524289 PHN589825:PHO589825 PHN655361:PHO655361 PHN720897:PHO720897 PHN786433:PHO786433 PHN851969:PHO851969 PHN917505:PHO917505 PHN983041:PHO983041 PRJ2:PRK2 PRJ65537:PRK65537 PRJ131073:PRK131073 PRJ196609:PRK196609 PRJ262145:PRK262145 PRJ327681:PRK327681 PRJ393217:PRK393217 PRJ458753:PRK458753 PRJ524289:PRK524289 PRJ589825:PRK589825 PRJ655361:PRK655361 PRJ720897:PRK720897 PRJ786433:PRK786433 PRJ851969:PRK851969 PRJ917505:PRK917505 PRJ983041:PRK983041 QBF2:QBG2 QBF65537:QBG65537 QBF131073:QBG131073 QBF196609:QBG196609 QBF262145:QBG262145 QBF327681:QBG327681 QBF393217:QBG393217 QBF458753:QBG458753 QBF524289:QBG524289 QBF589825:QBG589825 QBF655361:QBG655361 QBF720897:QBG720897 QBF786433:QBG786433 QBF851969:QBG851969 QBF917505:QBG917505 QBF983041:QBG983041 QLB2:QLC2 QLB65537:QLC65537 QLB131073:QLC131073 QLB196609:QLC196609 QLB262145:QLC262145 QLB327681:QLC327681 QLB393217:QLC393217 QLB458753:QLC458753 QLB524289:QLC524289 QLB589825:QLC589825 QLB655361:QLC655361 QLB720897:QLC720897 QLB786433:QLC786433 QLB851969:QLC851969 QLB917505:QLC917505 QLB983041:QLC983041 QUX2:QUY2 QUX65537:QUY65537 QUX131073:QUY131073 QUX196609:QUY196609 QUX262145:QUY262145 QUX327681:QUY327681 QUX393217:QUY393217 QUX458753:QUY458753 QUX524289:QUY524289 QUX589825:QUY589825 QUX655361:QUY655361 QUX720897:QUY720897 QUX786433:QUY786433 QUX851969:QUY851969 QUX917505:QUY917505 QUX983041:QUY983041 RET2:REU2 RET65537:REU65537 RET131073:REU131073 RET196609:REU196609 RET262145:REU262145 RET327681:REU327681 RET393217:REU393217 RET458753:REU458753 RET524289:REU524289 RET589825:REU589825 RET655361:REU655361 RET720897:REU720897 RET786433:REU786433 RET851969:REU851969 RET917505:REU917505 RET983041:REU983041 ROP2:ROQ2 ROP65537:ROQ65537 ROP131073:ROQ131073 ROP196609:ROQ196609 ROP262145:ROQ262145 ROP327681:ROQ327681 ROP393217:ROQ393217 ROP458753:ROQ458753 ROP524289:ROQ524289 ROP589825:ROQ589825 ROP655361:ROQ655361 ROP720897:ROQ720897 ROP786433:ROQ786433 ROP851969:ROQ851969 ROP917505:ROQ917505 ROP983041:ROQ983041 RYL2:RYM2 RYL65537:RYM65537 RYL131073:RYM131073 RYL196609:RYM196609 RYL262145:RYM262145 RYL327681:RYM327681 RYL393217:RYM393217 RYL458753:RYM458753 RYL524289:RYM524289 RYL589825:RYM589825 RYL655361:RYM655361 RYL720897:RYM720897 RYL786433:RYM786433 RYL851969:RYM851969 RYL917505:RYM917505 RYL983041:RYM983041 SIH2:SII2 SIH65537:SII65537 SIH131073:SII131073 SIH196609:SII196609 SIH262145:SII262145 SIH327681:SII327681 SIH393217:SII393217 SIH458753:SII458753 SIH524289:SII524289 SIH589825:SII589825 SIH655361:SII655361 SIH720897:SII720897 SIH786433:SII786433 SIH851969:SII851969 SIH917505:SII917505 SIH983041:SII983041 SSD2:SSE2 SSD65537:SSE65537 SSD131073:SSE131073 SSD196609:SSE196609 SSD262145:SSE262145 SSD327681:SSE327681 SSD393217:SSE393217 SSD458753:SSE458753 SSD524289:SSE524289 SSD589825:SSE589825 SSD655361:SSE655361 SSD720897:SSE720897 SSD786433:SSE786433 SSD851969:SSE851969 SSD917505:SSE917505 SSD983041:SSE983041 TBZ2:TCA2 TBZ65537:TCA65537 TBZ131073:TCA131073 TBZ196609:TCA196609 TBZ262145:TCA262145 TBZ327681:TCA327681 TBZ393217:TCA393217 TBZ458753:TCA458753 TBZ524289:TCA524289 TBZ589825:TCA589825 TBZ655361:TCA655361 TBZ720897:TCA720897 TBZ786433:TCA786433 TBZ851969:TCA851969 TBZ917505:TCA917505 TBZ983041:TCA983041 TLV2:TLW2 TLV65537:TLW65537 TLV131073:TLW131073 TLV196609:TLW196609 TLV262145:TLW262145 TLV327681:TLW327681 TLV393217:TLW393217 TLV458753:TLW458753 TLV524289:TLW524289 TLV589825:TLW589825 TLV655361:TLW655361 TLV720897:TLW720897 TLV786433:TLW786433 TLV851969:TLW851969 TLV917505:TLW917505 TLV983041:TLW983041 TVR2:TVS2 TVR65537:TVS65537 TVR131073:TVS131073 TVR196609:TVS196609 TVR262145:TVS262145 TVR327681:TVS327681 TVR393217:TVS393217 TVR458753:TVS458753 TVR524289:TVS524289 TVR589825:TVS589825 TVR655361:TVS655361 TVR720897:TVS720897 TVR786433:TVS786433 TVR851969:TVS851969 TVR917505:TVS917505 TVR983041:TVS983041 UFN2:UFO2 UFN65537:UFO65537 UFN131073:UFO131073 UFN196609:UFO196609 UFN262145:UFO262145 UFN327681:UFO327681 UFN393217:UFO393217 UFN458753:UFO458753 UFN524289:UFO524289 UFN589825:UFO589825 UFN655361:UFO655361 UFN720897:UFO720897 UFN786433:UFO786433 UFN851969:UFO851969 UFN917505:UFO917505 UFN983041:UFO983041 UPJ2:UPK2 UPJ65537:UPK65537 UPJ131073:UPK131073 UPJ196609:UPK196609 UPJ262145:UPK262145 UPJ327681:UPK327681 UPJ393217:UPK393217 UPJ458753:UPK458753 UPJ524289:UPK524289 UPJ589825:UPK589825 UPJ655361:UPK655361 UPJ720897:UPK720897 UPJ786433:UPK786433 UPJ851969:UPK851969 UPJ917505:UPK917505 UPJ983041:UPK983041 UZF2:UZG2 UZF65537:UZG65537 UZF131073:UZG131073 UZF196609:UZG196609 UZF262145:UZG262145 UZF327681:UZG327681 UZF393217:UZG393217 UZF458753:UZG458753 UZF524289:UZG524289 UZF589825:UZG589825 UZF655361:UZG655361 UZF720897:UZG720897 UZF786433:UZG786433 UZF851969:UZG851969 UZF917505:UZG917505 UZF983041:UZG983041 VJB2:VJC2 VJB65537:VJC65537 VJB131073:VJC131073 VJB196609:VJC196609 VJB262145:VJC262145 VJB327681:VJC327681 VJB393217:VJC393217 VJB458753:VJC458753 VJB524289:VJC524289 VJB589825:VJC589825 VJB655361:VJC655361 VJB720897:VJC720897 VJB786433:VJC786433 VJB851969:VJC851969 VJB917505:VJC917505 VJB983041:VJC983041 VSX2:VSY2 VSX65537:VSY65537 VSX131073:VSY131073 VSX196609:VSY196609 VSX262145:VSY262145 VSX327681:VSY327681 VSX393217:VSY393217 VSX458753:VSY458753 VSX524289:VSY524289 VSX589825:VSY589825 VSX655361:VSY655361 VSX720897:VSY720897 VSX786433:VSY786433 VSX851969:VSY851969 VSX917505:VSY917505 VSX983041:VSY983041 WCT2:WCU2 WCT65537:WCU65537 WCT131073:WCU131073 WCT196609:WCU196609 WCT262145:WCU262145 WCT327681:WCU327681 WCT393217:WCU393217 WCT458753:WCU458753 WCT524289:WCU524289 WCT589825:WCU589825 WCT655361:WCU655361 WCT720897:WCU720897 WCT786433:WCU786433 WCT851969:WCU851969 WCT917505:WCU917505 WCT983041:WCU983041 WMP2:WMQ2 WMP65537:WMQ65537 WMP131073:WMQ131073 WMP196609:WMQ196609 WMP262145:WMQ262145 WMP327681:WMQ327681 WMP393217:WMQ393217 WMP458753:WMQ458753 WMP524289:WMQ524289 WMP589825:WMQ589825 WMP655361:WMQ655361 WMP720897:WMQ720897 WMP786433:WMQ786433 WMP851969:WMQ851969 WMP917505:WMQ917505 WMP983041:WMQ983041 WWL2:WWM2 WWL65537:WWM65537 WWL131073:WWM131073 WWL196609:WWM196609 WWL262145:WWM262145 WWL327681:WWM327681 WWL393217:WWM393217 WWL458753:WWM458753 WWL524289:WWM524289 WWL589825:WWM589825 WWL655361:WWM655361 WWL720897:WWM720897 WWL786433:WWM786433 WWL851969:WWM851969 WWL917505:WWM917505 WWL983041:WWM983041" xr:uid="{00000000-0002-0000-3000-000003000000}">
      <formula1>1</formula1>
      <formula2>12</formula2>
    </dataValidation>
    <dataValidation type="whole" allowBlank="1" showInputMessage="1" showErrorMessage="1" sqref="AA65537:AB65537 AA131073:AB131073 AA196609:AB196609 AA262145:AB262145 AA327681:AB327681 AA393217:AB393217 AA458753:AB458753 AA524289:AB524289 AA589825:AB589825 AA655361:AB655361 AA720897:AB720897 AA786433:AB786433 AA851969:AB851969 AA917505:AB917505 AA983041:AB983041 JW2:JX2 JW65537:JX65537 JW131073:JX131073 JW196609:JX196609 JW262145:JX262145 JW327681:JX327681 JW393217:JX393217 JW458753:JX458753 JW524289:JX524289 JW589825:JX589825 JW655361:JX655361 JW720897:JX720897 JW786433:JX786433 JW851969:JX851969 JW917505:JX917505 JW983041:JX983041 TS2:TT2 TS65537:TT65537 TS131073:TT131073 TS196609:TT196609 TS262145:TT262145 TS327681:TT327681 TS393217:TT393217 TS458753:TT458753 TS524289:TT524289 TS589825:TT589825 TS655361:TT655361 TS720897:TT720897 TS786433:TT786433 TS851969:TT851969 TS917505:TT917505 TS983041:TT983041 ADO2:ADP2 ADO65537:ADP65537 ADO131073:ADP131073 ADO196609:ADP196609 ADO262145:ADP262145 ADO327681:ADP327681 ADO393217:ADP393217 ADO458753:ADP458753 ADO524289:ADP524289 ADO589825:ADP589825 ADO655361:ADP655361 ADO720897:ADP720897 ADO786433:ADP786433 ADO851969:ADP851969 ADO917505:ADP917505 ADO983041:ADP983041 ANK2:ANL2 ANK65537:ANL65537 ANK131073:ANL131073 ANK196609:ANL196609 ANK262145:ANL262145 ANK327681:ANL327681 ANK393217:ANL393217 ANK458753:ANL458753 ANK524289:ANL524289 ANK589825:ANL589825 ANK655361:ANL655361 ANK720897:ANL720897 ANK786433:ANL786433 ANK851969:ANL851969 ANK917505:ANL917505 ANK983041:ANL983041 AXG2:AXH2 AXG65537:AXH65537 AXG131073:AXH131073 AXG196609:AXH196609 AXG262145:AXH262145 AXG327681:AXH327681 AXG393217:AXH393217 AXG458753:AXH458753 AXG524289:AXH524289 AXG589825:AXH589825 AXG655361:AXH655361 AXG720897:AXH720897 AXG786433:AXH786433 AXG851969:AXH851969 AXG917505:AXH917505 AXG983041:AXH983041 BHC2:BHD2 BHC65537:BHD65537 BHC131073:BHD131073 BHC196609:BHD196609 BHC262145:BHD262145 BHC327681:BHD327681 BHC393217:BHD393217 BHC458753:BHD458753 BHC524289:BHD524289 BHC589825:BHD589825 BHC655361:BHD655361 BHC720897:BHD720897 BHC786433:BHD786433 BHC851969:BHD851969 BHC917505:BHD917505 BHC983041:BHD983041 BQY2:BQZ2 BQY65537:BQZ65537 BQY131073:BQZ131073 BQY196609:BQZ196609 BQY262145:BQZ262145 BQY327681:BQZ327681 BQY393217:BQZ393217 BQY458753:BQZ458753 BQY524289:BQZ524289 BQY589825:BQZ589825 BQY655361:BQZ655361 BQY720897:BQZ720897 BQY786433:BQZ786433 BQY851969:BQZ851969 BQY917505:BQZ917505 BQY983041:BQZ983041 CAU2:CAV2 CAU65537:CAV65537 CAU131073:CAV131073 CAU196609:CAV196609 CAU262145:CAV262145 CAU327681:CAV327681 CAU393217:CAV393217 CAU458753:CAV458753 CAU524289:CAV524289 CAU589825:CAV589825 CAU655361:CAV655361 CAU720897:CAV720897 CAU786433:CAV786433 CAU851969:CAV851969 CAU917505:CAV917505 CAU983041:CAV983041 CKQ2:CKR2 CKQ65537:CKR65537 CKQ131073:CKR131073 CKQ196609:CKR196609 CKQ262145:CKR262145 CKQ327681:CKR327681 CKQ393217:CKR393217 CKQ458753:CKR458753 CKQ524289:CKR524289 CKQ589825:CKR589825 CKQ655361:CKR655361 CKQ720897:CKR720897 CKQ786433:CKR786433 CKQ851969:CKR851969 CKQ917505:CKR917505 CKQ983041:CKR983041 CUM2:CUN2 CUM65537:CUN65537 CUM131073:CUN131073 CUM196609:CUN196609 CUM262145:CUN262145 CUM327681:CUN327681 CUM393217:CUN393217 CUM458753:CUN458753 CUM524289:CUN524289 CUM589825:CUN589825 CUM655361:CUN655361 CUM720897:CUN720897 CUM786433:CUN786433 CUM851969:CUN851969 CUM917505:CUN917505 CUM983041:CUN983041 DEI2:DEJ2 DEI65537:DEJ65537 DEI131073:DEJ131073 DEI196609:DEJ196609 DEI262145:DEJ262145 DEI327681:DEJ327681 DEI393217:DEJ393217 DEI458753:DEJ458753 DEI524289:DEJ524289 DEI589825:DEJ589825 DEI655361:DEJ655361 DEI720897:DEJ720897 DEI786433:DEJ786433 DEI851969:DEJ851969 DEI917505:DEJ917505 DEI983041:DEJ983041 DOE2:DOF2 DOE65537:DOF65537 DOE131073:DOF131073 DOE196609:DOF196609 DOE262145:DOF262145 DOE327681:DOF327681 DOE393217:DOF393217 DOE458753:DOF458753 DOE524289:DOF524289 DOE589825:DOF589825 DOE655361:DOF655361 DOE720897:DOF720897 DOE786433:DOF786433 DOE851969:DOF851969 DOE917505:DOF917505 DOE983041:DOF983041 DYA2:DYB2 DYA65537:DYB65537 DYA131073:DYB131073 DYA196609:DYB196609 DYA262145:DYB262145 DYA327681:DYB327681 DYA393217:DYB393217 DYA458753:DYB458753 DYA524289:DYB524289 DYA589825:DYB589825 DYA655361:DYB655361 DYA720897:DYB720897 DYA786433:DYB786433 DYA851969:DYB851969 DYA917505:DYB917505 DYA983041:DYB983041 EHW2:EHX2 EHW65537:EHX65537 EHW131073:EHX131073 EHW196609:EHX196609 EHW262145:EHX262145 EHW327681:EHX327681 EHW393217:EHX393217 EHW458753:EHX458753 EHW524289:EHX524289 EHW589825:EHX589825 EHW655361:EHX655361 EHW720897:EHX720897 EHW786433:EHX786433 EHW851969:EHX851969 EHW917505:EHX917505 EHW983041:EHX983041 ERS2:ERT2 ERS65537:ERT65537 ERS131073:ERT131073 ERS196609:ERT196609 ERS262145:ERT262145 ERS327681:ERT327681 ERS393217:ERT393217 ERS458753:ERT458753 ERS524289:ERT524289 ERS589825:ERT589825 ERS655361:ERT655361 ERS720897:ERT720897 ERS786433:ERT786433 ERS851969:ERT851969 ERS917505:ERT917505 ERS983041:ERT983041 FBO2:FBP2 FBO65537:FBP65537 FBO131073:FBP131073 FBO196609:FBP196609 FBO262145:FBP262145 FBO327681:FBP327681 FBO393217:FBP393217 FBO458753:FBP458753 FBO524289:FBP524289 FBO589825:FBP589825 FBO655361:FBP655361 FBO720897:FBP720897 FBO786433:FBP786433 FBO851969:FBP851969 FBO917505:FBP917505 FBO983041:FBP983041 FLK2:FLL2 FLK65537:FLL65537 FLK131073:FLL131073 FLK196609:FLL196609 FLK262145:FLL262145 FLK327681:FLL327681 FLK393217:FLL393217 FLK458753:FLL458753 FLK524289:FLL524289 FLK589825:FLL589825 FLK655361:FLL655361 FLK720897:FLL720897 FLK786433:FLL786433 FLK851969:FLL851969 FLK917505:FLL917505 FLK983041:FLL983041 FVG2:FVH2 FVG65537:FVH65537 FVG131073:FVH131073 FVG196609:FVH196609 FVG262145:FVH262145 FVG327681:FVH327681 FVG393217:FVH393217 FVG458753:FVH458753 FVG524289:FVH524289 FVG589825:FVH589825 FVG655361:FVH655361 FVG720897:FVH720897 FVG786433:FVH786433 FVG851969:FVH851969 FVG917505:FVH917505 FVG983041:FVH983041 GFC2:GFD2 GFC65537:GFD65537 GFC131073:GFD131073 GFC196609:GFD196609 GFC262145:GFD262145 GFC327681:GFD327681 GFC393217:GFD393217 GFC458753:GFD458753 GFC524289:GFD524289 GFC589825:GFD589825 GFC655361:GFD655361 GFC720897:GFD720897 GFC786433:GFD786433 GFC851969:GFD851969 GFC917505:GFD917505 GFC983041:GFD983041 GOY2:GOZ2 GOY65537:GOZ65537 GOY131073:GOZ131073 GOY196609:GOZ196609 GOY262145:GOZ262145 GOY327681:GOZ327681 GOY393217:GOZ393217 GOY458753:GOZ458753 GOY524289:GOZ524289 GOY589825:GOZ589825 GOY655361:GOZ655361 GOY720897:GOZ720897 GOY786433:GOZ786433 GOY851969:GOZ851969 GOY917505:GOZ917505 GOY983041:GOZ983041 GYU2:GYV2 GYU65537:GYV65537 GYU131073:GYV131073 GYU196609:GYV196609 GYU262145:GYV262145 GYU327681:GYV327681 GYU393217:GYV393217 GYU458753:GYV458753 GYU524289:GYV524289 GYU589825:GYV589825 GYU655361:GYV655361 GYU720897:GYV720897 GYU786433:GYV786433 GYU851969:GYV851969 GYU917505:GYV917505 GYU983041:GYV983041 HIQ2:HIR2 HIQ65537:HIR65537 HIQ131073:HIR131073 HIQ196609:HIR196609 HIQ262145:HIR262145 HIQ327681:HIR327681 HIQ393217:HIR393217 HIQ458753:HIR458753 HIQ524289:HIR524289 HIQ589825:HIR589825 HIQ655361:HIR655361 HIQ720897:HIR720897 HIQ786433:HIR786433 HIQ851969:HIR851969 HIQ917505:HIR917505 HIQ983041:HIR983041 HSM2:HSN2 HSM65537:HSN65537 HSM131073:HSN131073 HSM196609:HSN196609 HSM262145:HSN262145 HSM327681:HSN327681 HSM393217:HSN393217 HSM458753:HSN458753 HSM524289:HSN524289 HSM589825:HSN589825 HSM655361:HSN655361 HSM720897:HSN720897 HSM786433:HSN786433 HSM851969:HSN851969 HSM917505:HSN917505 HSM983041:HSN983041 ICI2:ICJ2 ICI65537:ICJ65537 ICI131073:ICJ131073 ICI196609:ICJ196609 ICI262145:ICJ262145 ICI327681:ICJ327681 ICI393217:ICJ393217 ICI458753:ICJ458753 ICI524289:ICJ524289 ICI589825:ICJ589825 ICI655361:ICJ655361 ICI720897:ICJ720897 ICI786433:ICJ786433 ICI851969:ICJ851969 ICI917505:ICJ917505 ICI983041:ICJ983041 IME2:IMF2 IME65537:IMF65537 IME131073:IMF131073 IME196609:IMF196609 IME262145:IMF262145 IME327681:IMF327681 IME393217:IMF393217 IME458753:IMF458753 IME524289:IMF524289 IME589825:IMF589825 IME655361:IMF655361 IME720897:IMF720897 IME786433:IMF786433 IME851969:IMF851969 IME917505:IMF917505 IME983041:IMF983041 IWA2:IWB2 IWA65537:IWB65537 IWA131073:IWB131073 IWA196609:IWB196609 IWA262145:IWB262145 IWA327681:IWB327681 IWA393217:IWB393217 IWA458753:IWB458753 IWA524289:IWB524289 IWA589825:IWB589825 IWA655361:IWB655361 IWA720897:IWB720897 IWA786433:IWB786433 IWA851969:IWB851969 IWA917505:IWB917505 IWA983041:IWB983041 JFW2:JFX2 JFW65537:JFX65537 JFW131073:JFX131073 JFW196609:JFX196609 JFW262145:JFX262145 JFW327681:JFX327681 JFW393217:JFX393217 JFW458753:JFX458753 JFW524289:JFX524289 JFW589825:JFX589825 JFW655361:JFX655361 JFW720897:JFX720897 JFW786433:JFX786433 JFW851969:JFX851969 JFW917505:JFX917505 JFW983041:JFX983041 JPS2:JPT2 JPS65537:JPT65537 JPS131073:JPT131073 JPS196609:JPT196609 JPS262145:JPT262145 JPS327681:JPT327681 JPS393217:JPT393217 JPS458753:JPT458753 JPS524289:JPT524289 JPS589825:JPT589825 JPS655361:JPT655361 JPS720897:JPT720897 JPS786433:JPT786433 JPS851969:JPT851969 JPS917505:JPT917505 JPS983041:JPT983041 JZO2:JZP2 JZO65537:JZP65537 JZO131073:JZP131073 JZO196609:JZP196609 JZO262145:JZP262145 JZO327681:JZP327681 JZO393217:JZP393217 JZO458753:JZP458753 JZO524289:JZP524289 JZO589825:JZP589825 JZO655361:JZP655361 JZO720897:JZP720897 JZO786433:JZP786433 JZO851969:JZP851969 JZO917505:JZP917505 JZO983041:JZP983041 KJK2:KJL2 KJK65537:KJL65537 KJK131073:KJL131073 KJK196609:KJL196609 KJK262145:KJL262145 KJK327681:KJL327681 KJK393217:KJL393217 KJK458753:KJL458753 KJK524289:KJL524289 KJK589825:KJL589825 KJK655361:KJL655361 KJK720897:KJL720897 KJK786433:KJL786433 KJK851969:KJL851969 KJK917505:KJL917505 KJK983041:KJL983041 KTG2:KTH2 KTG65537:KTH65537 KTG131073:KTH131073 KTG196609:KTH196609 KTG262145:KTH262145 KTG327681:KTH327681 KTG393217:KTH393217 KTG458753:KTH458753 KTG524289:KTH524289 KTG589825:KTH589825 KTG655361:KTH655361 KTG720897:KTH720897 KTG786433:KTH786433 KTG851969:KTH851969 KTG917505:KTH917505 KTG983041:KTH983041 LDC2:LDD2 LDC65537:LDD65537 LDC131073:LDD131073 LDC196609:LDD196609 LDC262145:LDD262145 LDC327681:LDD327681 LDC393217:LDD393217 LDC458753:LDD458753 LDC524289:LDD524289 LDC589825:LDD589825 LDC655361:LDD655361 LDC720897:LDD720897 LDC786433:LDD786433 LDC851969:LDD851969 LDC917505:LDD917505 LDC983041:LDD983041 LMY2:LMZ2 LMY65537:LMZ65537 LMY131073:LMZ131073 LMY196609:LMZ196609 LMY262145:LMZ262145 LMY327681:LMZ327681 LMY393217:LMZ393217 LMY458753:LMZ458753 LMY524289:LMZ524289 LMY589825:LMZ589825 LMY655361:LMZ655361 LMY720897:LMZ720897 LMY786433:LMZ786433 LMY851969:LMZ851969 LMY917505:LMZ917505 LMY983041:LMZ983041 LWU2:LWV2 LWU65537:LWV65537 LWU131073:LWV131073 LWU196609:LWV196609 LWU262145:LWV262145 LWU327681:LWV327681 LWU393217:LWV393217 LWU458753:LWV458753 LWU524289:LWV524289 LWU589825:LWV589825 LWU655361:LWV655361 LWU720897:LWV720897 LWU786433:LWV786433 LWU851969:LWV851969 LWU917505:LWV917505 LWU983041:LWV983041 MGQ2:MGR2 MGQ65537:MGR65537 MGQ131073:MGR131073 MGQ196609:MGR196609 MGQ262145:MGR262145 MGQ327681:MGR327681 MGQ393217:MGR393217 MGQ458753:MGR458753 MGQ524289:MGR524289 MGQ589825:MGR589825 MGQ655361:MGR655361 MGQ720897:MGR720897 MGQ786433:MGR786433 MGQ851969:MGR851969 MGQ917505:MGR917505 MGQ983041:MGR983041 MQM2:MQN2 MQM65537:MQN65537 MQM131073:MQN131073 MQM196609:MQN196609 MQM262145:MQN262145 MQM327681:MQN327681 MQM393217:MQN393217 MQM458753:MQN458753 MQM524289:MQN524289 MQM589825:MQN589825 MQM655361:MQN655361 MQM720897:MQN720897 MQM786433:MQN786433 MQM851969:MQN851969 MQM917505:MQN917505 MQM983041:MQN983041 NAI2:NAJ2 NAI65537:NAJ65537 NAI131073:NAJ131073 NAI196609:NAJ196609 NAI262145:NAJ262145 NAI327681:NAJ327681 NAI393217:NAJ393217 NAI458753:NAJ458753 NAI524289:NAJ524289 NAI589825:NAJ589825 NAI655361:NAJ655361 NAI720897:NAJ720897 NAI786433:NAJ786433 NAI851969:NAJ851969 NAI917505:NAJ917505 NAI983041:NAJ983041 NKE2:NKF2 NKE65537:NKF65537 NKE131073:NKF131073 NKE196609:NKF196609 NKE262145:NKF262145 NKE327681:NKF327681 NKE393217:NKF393217 NKE458753:NKF458753 NKE524289:NKF524289 NKE589825:NKF589825 NKE655361:NKF655361 NKE720897:NKF720897 NKE786433:NKF786433 NKE851969:NKF851969 NKE917505:NKF917505 NKE983041:NKF983041 NUA2:NUB2 NUA65537:NUB65537 NUA131073:NUB131073 NUA196609:NUB196609 NUA262145:NUB262145 NUA327681:NUB327681 NUA393217:NUB393217 NUA458753:NUB458753 NUA524289:NUB524289 NUA589825:NUB589825 NUA655361:NUB655361 NUA720897:NUB720897 NUA786433:NUB786433 NUA851969:NUB851969 NUA917505:NUB917505 NUA983041:NUB983041 ODW2:ODX2 ODW65537:ODX65537 ODW131073:ODX131073 ODW196609:ODX196609 ODW262145:ODX262145 ODW327681:ODX327681 ODW393217:ODX393217 ODW458753:ODX458753 ODW524289:ODX524289 ODW589825:ODX589825 ODW655361:ODX655361 ODW720897:ODX720897 ODW786433:ODX786433 ODW851969:ODX851969 ODW917505:ODX917505 ODW983041:ODX983041 ONS2:ONT2 ONS65537:ONT65537 ONS131073:ONT131073 ONS196609:ONT196609 ONS262145:ONT262145 ONS327681:ONT327681 ONS393217:ONT393217 ONS458753:ONT458753 ONS524289:ONT524289 ONS589825:ONT589825 ONS655361:ONT655361 ONS720897:ONT720897 ONS786433:ONT786433 ONS851969:ONT851969 ONS917505:ONT917505 ONS983041:ONT983041 OXO2:OXP2 OXO65537:OXP65537 OXO131073:OXP131073 OXO196609:OXP196609 OXO262145:OXP262145 OXO327681:OXP327681 OXO393217:OXP393217 OXO458753:OXP458753 OXO524289:OXP524289 OXO589825:OXP589825 OXO655361:OXP655361 OXO720897:OXP720897 OXO786433:OXP786433 OXO851969:OXP851969 OXO917505:OXP917505 OXO983041:OXP983041 PHK2:PHL2 PHK65537:PHL65537 PHK131073:PHL131073 PHK196609:PHL196609 PHK262145:PHL262145 PHK327681:PHL327681 PHK393217:PHL393217 PHK458753:PHL458753 PHK524289:PHL524289 PHK589825:PHL589825 PHK655361:PHL655361 PHK720897:PHL720897 PHK786433:PHL786433 PHK851969:PHL851969 PHK917505:PHL917505 PHK983041:PHL983041 PRG2:PRH2 PRG65537:PRH65537 PRG131073:PRH131073 PRG196609:PRH196609 PRG262145:PRH262145 PRG327681:PRH327681 PRG393217:PRH393217 PRG458753:PRH458753 PRG524289:PRH524289 PRG589825:PRH589825 PRG655361:PRH655361 PRG720897:PRH720897 PRG786433:PRH786433 PRG851969:PRH851969 PRG917505:PRH917505 PRG983041:PRH983041 QBC2:QBD2 QBC65537:QBD65537 QBC131073:QBD131073 QBC196609:QBD196609 QBC262145:QBD262145 QBC327681:QBD327681 QBC393217:QBD393217 QBC458753:QBD458753 QBC524289:QBD524289 QBC589825:QBD589825 QBC655361:QBD655361 QBC720897:QBD720897 QBC786433:QBD786433 QBC851969:QBD851969 QBC917505:QBD917505 QBC983041:QBD983041 QKY2:QKZ2 QKY65537:QKZ65537 QKY131073:QKZ131073 QKY196609:QKZ196609 QKY262145:QKZ262145 QKY327681:QKZ327681 QKY393217:QKZ393217 QKY458753:QKZ458753 QKY524289:QKZ524289 QKY589825:QKZ589825 QKY655361:QKZ655361 QKY720897:QKZ720897 QKY786433:QKZ786433 QKY851969:QKZ851969 QKY917505:QKZ917505 QKY983041:QKZ983041 QUU2:QUV2 QUU65537:QUV65537 QUU131073:QUV131073 QUU196609:QUV196609 QUU262145:QUV262145 QUU327681:QUV327681 QUU393217:QUV393217 QUU458753:QUV458753 QUU524289:QUV524289 QUU589825:QUV589825 QUU655361:QUV655361 QUU720897:QUV720897 QUU786433:QUV786433 QUU851969:QUV851969 QUU917505:QUV917505 QUU983041:QUV983041 REQ2:RER2 REQ65537:RER65537 REQ131073:RER131073 REQ196609:RER196609 REQ262145:RER262145 REQ327681:RER327681 REQ393217:RER393217 REQ458753:RER458753 REQ524289:RER524289 REQ589825:RER589825 REQ655361:RER655361 REQ720897:RER720897 REQ786433:RER786433 REQ851969:RER851969 REQ917505:RER917505 REQ983041:RER983041 ROM2:RON2 ROM65537:RON65537 ROM131073:RON131073 ROM196609:RON196609 ROM262145:RON262145 ROM327681:RON327681 ROM393217:RON393217 ROM458753:RON458753 ROM524289:RON524289 ROM589825:RON589825 ROM655361:RON655361 ROM720897:RON720897 ROM786433:RON786433 ROM851969:RON851969 ROM917505:RON917505 ROM983041:RON983041 RYI2:RYJ2 RYI65537:RYJ65537 RYI131073:RYJ131073 RYI196609:RYJ196609 RYI262145:RYJ262145 RYI327681:RYJ327681 RYI393217:RYJ393217 RYI458753:RYJ458753 RYI524289:RYJ524289 RYI589825:RYJ589825 RYI655361:RYJ655361 RYI720897:RYJ720897 RYI786433:RYJ786433 RYI851969:RYJ851969 RYI917505:RYJ917505 RYI983041:RYJ983041 SIE2:SIF2 SIE65537:SIF65537 SIE131073:SIF131073 SIE196609:SIF196609 SIE262145:SIF262145 SIE327681:SIF327681 SIE393217:SIF393217 SIE458753:SIF458753 SIE524289:SIF524289 SIE589825:SIF589825 SIE655361:SIF655361 SIE720897:SIF720897 SIE786433:SIF786433 SIE851969:SIF851969 SIE917505:SIF917505 SIE983041:SIF983041 SSA2:SSB2 SSA65537:SSB65537 SSA131073:SSB131073 SSA196609:SSB196609 SSA262145:SSB262145 SSA327681:SSB327681 SSA393217:SSB393217 SSA458753:SSB458753 SSA524289:SSB524289 SSA589825:SSB589825 SSA655361:SSB655361 SSA720897:SSB720897 SSA786433:SSB786433 SSA851969:SSB851969 SSA917505:SSB917505 SSA983041:SSB983041 TBW2:TBX2 TBW65537:TBX65537 TBW131073:TBX131073 TBW196609:TBX196609 TBW262145:TBX262145 TBW327681:TBX327681 TBW393217:TBX393217 TBW458753:TBX458753 TBW524289:TBX524289 TBW589825:TBX589825 TBW655361:TBX655361 TBW720897:TBX720897 TBW786433:TBX786433 TBW851969:TBX851969 TBW917505:TBX917505 TBW983041:TBX983041 TLS2:TLT2 TLS65537:TLT65537 TLS131073:TLT131073 TLS196609:TLT196609 TLS262145:TLT262145 TLS327681:TLT327681 TLS393217:TLT393217 TLS458753:TLT458753 TLS524289:TLT524289 TLS589825:TLT589825 TLS655361:TLT655361 TLS720897:TLT720897 TLS786433:TLT786433 TLS851969:TLT851969 TLS917505:TLT917505 TLS983041:TLT983041 TVO2:TVP2 TVO65537:TVP65537 TVO131073:TVP131073 TVO196609:TVP196609 TVO262145:TVP262145 TVO327681:TVP327681 TVO393217:TVP393217 TVO458753:TVP458753 TVO524289:TVP524289 TVO589825:TVP589825 TVO655361:TVP655361 TVO720897:TVP720897 TVO786433:TVP786433 TVO851969:TVP851969 TVO917505:TVP917505 TVO983041:TVP983041 UFK2:UFL2 UFK65537:UFL65537 UFK131073:UFL131073 UFK196609:UFL196609 UFK262145:UFL262145 UFK327681:UFL327681 UFK393217:UFL393217 UFK458753:UFL458753 UFK524289:UFL524289 UFK589825:UFL589825 UFK655361:UFL655361 UFK720897:UFL720897 UFK786433:UFL786433 UFK851969:UFL851969 UFK917505:UFL917505 UFK983041:UFL983041 UPG2:UPH2 UPG65537:UPH65537 UPG131073:UPH131073 UPG196609:UPH196609 UPG262145:UPH262145 UPG327681:UPH327681 UPG393217:UPH393217 UPG458753:UPH458753 UPG524289:UPH524289 UPG589825:UPH589825 UPG655361:UPH655361 UPG720897:UPH720897 UPG786433:UPH786433 UPG851969:UPH851969 UPG917505:UPH917505 UPG983041:UPH983041 UZC2:UZD2 UZC65537:UZD65537 UZC131073:UZD131073 UZC196609:UZD196609 UZC262145:UZD262145 UZC327681:UZD327681 UZC393217:UZD393217 UZC458753:UZD458753 UZC524289:UZD524289 UZC589825:UZD589825 UZC655361:UZD655361 UZC720897:UZD720897 UZC786433:UZD786433 UZC851969:UZD851969 UZC917505:UZD917505 UZC983041:UZD983041 VIY2:VIZ2 VIY65537:VIZ65537 VIY131073:VIZ131073 VIY196609:VIZ196609 VIY262145:VIZ262145 VIY327681:VIZ327681 VIY393217:VIZ393217 VIY458753:VIZ458753 VIY524289:VIZ524289 VIY589825:VIZ589825 VIY655361:VIZ655361 VIY720897:VIZ720897 VIY786433:VIZ786433 VIY851969:VIZ851969 VIY917505:VIZ917505 VIY983041:VIZ983041 VSU2:VSV2 VSU65537:VSV65537 VSU131073:VSV131073 VSU196609:VSV196609 VSU262145:VSV262145 VSU327681:VSV327681 VSU393217:VSV393217 VSU458753:VSV458753 VSU524289:VSV524289 VSU589825:VSV589825 VSU655361:VSV655361 VSU720897:VSV720897 VSU786433:VSV786433 VSU851969:VSV851969 VSU917505:VSV917505 VSU983041:VSV983041 WCQ2:WCR2 WCQ65537:WCR65537 WCQ131073:WCR131073 WCQ196609:WCR196609 WCQ262145:WCR262145 WCQ327681:WCR327681 WCQ393217:WCR393217 WCQ458753:WCR458753 WCQ524289:WCR524289 WCQ589825:WCR589825 WCQ655361:WCR655361 WCQ720897:WCR720897 WCQ786433:WCR786433 WCQ851969:WCR851969 WCQ917505:WCR917505 WCQ983041:WCR983041 WMM2:WMN2 WMM65537:WMN65537 WMM131073:WMN131073 WMM196609:WMN196609 WMM262145:WMN262145 WMM327681:WMN327681 WMM393217:WMN393217 WMM458753:WMN458753 WMM524289:WMN524289 WMM589825:WMN589825 WMM655361:WMN655361 WMM720897:WMN720897 WMM786433:WMN786433 WMM851969:WMN851969 WMM917505:WMN917505 WMM983041:WMN983041 WWI2:WWJ2 WWI65537:WWJ65537 WWI131073:WWJ131073 WWI196609:WWJ196609 WWI262145:WWJ262145 WWI327681:WWJ327681 WWI393217:WWJ393217 WWI458753:WWJ458753 WWI524289:WWJ524289 WWI589825:WWJ589825 WWI655361:WWJ655361 WWI720897:WWJ720897 WWI786433:WWJ786433 WWI851969:WWJ851969 WWI917505:WWJ917505 WWI983041:WWJ983041" xr:uid="{00000000-0002-0000-3000-000004000000}">
      <formula1>1</formula1>
      <formula2>99</formula2>
    </dataValidation>
  </dataValidations>
  <pageMargins left="0.6692913385826772" right="0.39370078740157483" top="0.39370078740157483" bottom="0.39370078740157483" header="0.51181102362204722" footer="0.19685039370078741"/>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2165" r:id="rId4" name="Check Box 5">
              <controlPr defaultSize="0" autoFill="0" autoLine="0" autoPict="0" altText="">
                <anchor moveWithCells="1">
                  <from>
                    <xdr:col>1</xdr:col>
                    <xdr:colOff>137160</xdr:colOff>
                    <xdr:row>29</xdr:row>
                    <xdr:rowOff>22860</xdr:rowOff>
                  </from>
                  <to>
                    <xdr:col>3</xdr:col>
                    <xdr:colOff>22860</xdr:colOff>
                    <xdr:row>29</xdr:row>
                    <xdr:rowOff>220980</xdr:rowOff>
                  </to>
                </anchor>
              </controlPr>
            </control>
          </mc:Choice>
        </mc:AlternateContent>
        <mc:AlternateContent xmlns:mc="http://schemas.openxmlformats.org/markup-compatibility/2006">
          <mc:Choice Requires="x14">
            <control shapeId="92166" r:id="rId5" name="Check Box 6">
              <controlPr defaultSize="0" autoFill="0" autoLine="0" autoPict="0" altText="">
                <anchor moveWithCells="1">
                  <from>
                    <xdr:col>1</xdr:col>
                    <xdr:colOff>137160</xdr:colOff>
                    <xdr:row>30</xdr:row>
                    <xdr:rowOff>22860</xdr:rowOff>
                  </from>
                  <to>
                    <xdr:col>3</xdr:col>
                    <xdr:colOff>22860</xdr:colOff>
                    <xdr:row>30</xdr:row>
                    <xdr:rowOff>220980</xdr:rowOff>
                  </to>
                </anchor>
              </controlPr>
            </control>
          </mc:Choice>
        </mc:AlternateContent>
        <mc:AlternateContent xmlns:mc="http://schemas.openxmlformats.org/markup-compatibility/2006">
          <mc:Choice Requires="x14">
            <control shapeId="92167" r:id="rId6" name="Check Box 7">
              <controlPr defaultSize="0" autoFill="0" autoLine="0" autoPict="0" altText="">
                <anchor moveWithCells="1">
                  <from>
                    <xdr:col>1</xdr:col>
                    <xdr:colOff>137160</xdr:colOff>
                    <xdr:row>31</xdr:row>
                    <xdr:rowOff>22860</xdr:rowOff>
                  </from>
                  <to>
                    <xdr:col>3</xdr:col>
                    <xdr:colOff>22860</xdr:colOff>
                    <xdr:row>31</xdr:row>
                    <xdr:rowOff>220980</xdr:rowOff>
                  </to>
                </anchor>
              </controlPr>
            </control>
          </mc:Choice>
        </mc:AlternateContent>
        <mc:AlternateContent xmlns:mc="http://schemas.openxmlformats.org/markup-compatibility/2006">
          <mc:Choice Requires="x14">
            <control shapeId="92168" r:id="rId7" name="Check Box 8">
              <controlPr defaultSize="0" autoFill="0" autoLine="0" autoPict="0" altText="">
                <anchor moveWithCells="1">
                  <from>
                    <xdr:col>15</xdr:col>
                    <xdr:colOff>137160</xdr:colOff>
                    <xdr:row>29</xdr:row>
                    <xdr:rowOff>22860</xdr:rowOff>
                  </from>
                  <to>
                    <xdr:col>17</xdr:col>
                    <xdr:colOff>22860</xdr:colOff>
                    <xdr:row>29</xdr:row>
                    <xdr:rowOff>220980</xdr:rowOff>
                  </to>
                </anchor>
              </controlPr>
            </control>
          </mc:Choice>
        </mc:AlternateContent>
        <mc:AlternateContent xmlns:mc="http://schemas.openxmlformats.org/markup-compatibility/2006">
          <mc:Choice Requires="x14">
            <control shapeId="92169" r:id="rId8" name="Check Box 9">
              <controlPr defaultSize="0" autoFill="0" autoLine="0" autoPict="0" altText="">
                <anchor moveWithCells="1">
                  <from>
                    <xdr:col>15</xdr:col>
                    <xdr:colOff>137160</xdr:colOff>
                    <xdr:row>30</xdr:row>
                    <xdr:rowOff>22860</xdr:rowOff>
                  </from>
                  <to>
                    <xdr:col>17</xdr:col>
                    <xdr:colOff>22860</xdr:colOff>
                    <xdr:row>30</xdr:row>
                    <xdr:rowOff>220980</xdr:rowOff>
                  </to>
                </anchor>
              </controlPr>
            </control>
          </mc:Choice>
        </mc:AlternateContent>
        <mc:AlternateContent xmlns:mc="http://schemas.openxmlformats.org/markup-compatibility/2006">
          <mc:Choice Requires="x14">
            <control shapeId="92170" r:id="rId9" name="Check Box 10">
              <controlPr defaultSize="0" autoFill="0" autoLine="0" autoPict="0" altText="">
                <anchor moveWithCells="1">
                  <from>
                    <xdr:col>15</xdr:col>
                    <xdr:colOff>137160</xdr:colOff>
                    <xdr:row>31</xdr:row>
                    <xdr:rowOff>22860</xdr:rowOff>
                  </from>
                  <to>
                    <xdr:col>17</xdr:col>
                    <xdr:colOff>22860</xdr:colOff>
                    <xdr:row>31</xdr:row>
                    <xdr:rowOff>220980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R49"/>
  <sheetViews>
    <sheetView zoomScaleNormal="100" zoomScaleSheetLayoutView="100" workbookViewId="0"/>
  </sheetViews>
  <sheetFormatPr defaultColWidth="2.109375" defaultRowHeight="18" customHeight="1"/>
  <cols>
    <col min="1" max="1" width="3" style="606" customWidth="1"/>
    <col min="2" max="2" width="2.109375" style="606" customWidth="1"/>
    <col min="3" max="16384" width="2.109375" style="606"/>
  </cols>
  <sheetData>
    <row r="1" spans="1:44" ht="7.5" customHeight="1"/>
    <row r="2" spans="1:44" ht="18" customHeight="1">
      <c r="A2" s="653" t="s">
        <v>3317</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row>
    <row r="3" spans="1:44" ht="13.2"/>
    <row r="4" spans="1:44" ht="13.2">
      <c r="AR4" s="652"/>
    </row>
    <row r="5" spans="1:44" ht="18" customHeight="1">
      <c r="A5" s="606" t="s">
        <v>3316</v>
      </c>
      <c r="AR5" s="652"/>
    </row>
    <row r="6" spans="1:44" ht="18" customHeight="1">
      <c r="AD6" s="1889" t="s">
        <v>3276</v>
      </c>
      <c r="AE6" s="1889"/>
      <c r="AF6" s="1889"/>
      <c r="AG6" s="1889"/>
      <c r="AH6" s="1889"/>
      <c r="AI6" s="1889"/>
      <c r="AJ6" s="1889"/>
      <c r="AK6" s="1889"/>
      <c r="AL6" s="1889"/>
      <c r="AM6" s="1889"/>
      <c r="AN6" s="1889"/>
    </row>
    <row r="7" spans="1:44" ht="9" customHeight="1"/>
    <row r="8" spans="1:44" ht="18" customHeight="1">
      <c r="N8" s="1891" t="s">
        <v>3315</v>
      </c>
      <c r="O8" s="1891"/>
      <c r="P8" s="1891"/>
      <c r="Q8" s="1891"/>
      <c r="R8" s="1891"/>
      <c r="S8" s="1891"/>
      <c r="T8" s="1891"/>
      <c r="V8" s="1890" t="str">
        <f>cst_wsecoteki_dairi1__address</f>
        <v/>
      </c>
      <c r="W8" s="1857"/>
      <c r="X8" s="1857"/>
      <c r="Y8" s="1857"/>
      <c r="Z8" s="1857"/>
      <c r="AA8" s="1857"/>
      <c r="AB8" s="1857"/>
      <c r="AC8" s="1857"/>
      <c r="AD8" s="1857"/>
      <c r="AE8" s="1857"/>
      <c r="AF8" s="1857"/>
      <c r="AG8" s="1857"/>
      <c r="AH8" s="1857"/>
      <c r="AI8" s="1857"/>
      <c r="AJ8" s="1857"/>
      <c r="AK8" s="1857"/>
      <c r="AL8" s="1857"/>
      <c r="AM8" s="1857"/>
      <c r="AN8" s="1857"/>
    </row>
    <row r="9" spans="1:44" ht="18" customHeight="1">
      <c r="V9" s="1890" t="str">
        <f>cst_wsecoteki_dairi1_JIMU_NAME</f>
        <v/>
      </c>
      <c r="W9" s="1857"/>
      <c r="X9" s="1857"/>
      <c r="Y9" s="1857"/>
      <c r="Z9" s="1857"/>
      <c r="AA9" s="1857"/>
      <c r="AB9" s="1857"/>
      <c r="AC9" s="1857"/>
      <c r="AD9" s="1857"/>
      <c r="AE9" s="1857"/>
      <c r="AF9" s="1857"/>
      <c r="AG9" s="1857"/>
      <c r="AH9" s="1857"/>
      <c r="AI9" s="1857"/>
      <c r="AJ9" s="1857"/>
      <c r="AK9" s="1857"/>
      <c r="AL9" s="1857"/>
      <c r="AM9" s="1857"/>
      <c r="AN9" s="1857"/>
    </row>
    <row r="10" spans="1:44" ht="18" customHeight="1">
      <c r="N10" s="1891" t="s">
        <v>7</v>
      </c>
      <c r="O10" s="1891"/>
      <c r="P10" s="1891"/>
      <c r="Q10" s="1891"/>
      <c r="R10" s="1891"/>
      <c r="S10" s="1891"/>
      <c r="T10" s="1891"/>
      <c r="V10" s="1890" t="str">
        <f>cst_wsecoteki_dairi1_NAME</f>
        <v/>
      </c>
      <c r="W10" s="1890"/>
      <c r="X10" s="1890"/>
      <c r="Y10" s="1890"/>
      <c r="Z10" s="1890"/>
      <c r="AA10" s="1890"/>
      <c r="AB10" s="1890"/>
      <c r="AC10" s="1890"/>
      <c r="AD10" s="1890"/>
      <c r="AE10" s="1890"/>
      <c r="AF10" s="1890"/>
      <c r="AG10" s="1890"/>
      <c r="AH10" s="1890"/>
      <c r="AI10" s="1890"/>
      <c r="AJ10" s="1890"/>
      <c r="AK10" s="1890"/>
      <c r="AL10" s="1890"/>
      <c r="AM10" s="1890"/>
      <c r="AN10" s="754"/>
    </row>
    <row r="11" spans="1:44" ht="9" customHeight="1"/>
    <row r="12" spans="1:44" ht="18" customHeight="1">
      <c r="A12" s="650" t="s">
        <v>3287</v>
      </c>
      <c r="B12" s="650"/>
      <c r="C12" s="650"/>
      <c r="D12" s="650"/>
      <c r="E12" s="650"/>
      <c r="F12" s="650"/>
      <c r="G12" s="650"/>
      <c r="H12" s="650"/>
      <c r="I12" s="650"/>
      <c r="J12" s="650"/>
      <c r="K12" s="650"/>
      <c r="L12" s="650"/>
      <c r="M12" s="650"/>
      <c r="N12" s="650"/>
      <c r="O12" s="650"/>
      <c r="P12" s="650"/>
      <c r="Q12" s="650"/>
      <c r="R12" s="650"/>
      <c r="S12" s="650"/>
      <c r="T12" s="650"/>
      <c r="U12" s="650"/>
      <c r="V12" s="650"/>
      <c r="W12" s="650"/>
      <c r="X12" s="650"/>
      <c r="Y12" s="650"/>
      <c r="Z12" s="650"/>
      <c r="AA12" s="650"/>
      <c r="AB12" s="650"/>
      <c r="AC12" s="650"/>
      <c r="AD12" s="650"/>
      <c r="AE12" s="650"/>
      <c r="AF12" s="650"/>
      <c r="AG12" s="650"/>
      <c r="AH12" s="650"/>
      <c r="AI12" s="650"/>
      <c r="AJ12" s="650"/>
      <c r="AK12" s="650"/>
      <c r="AL12" s="650"/>
      <c r="AM12" s="650"/>
      <c r="AN12" s="650"/>
    </row>
    <row r="13" spans="1:44" ht="8.25" customHeight="1"/>
    <row r="14" spans="1:44" ht="18" customHeight="1">
      <c r="A14" s="606" t="s">
        <v>3314</v>
      </c>
    </row>
    <row r="15" spans="1:44" ht="24" customHeight="1">
      <c r="A15" s="635" t="s">
        <v>1184</v>
      </c>
      <c r="B15" s="606" t="s">
        <v>3313</v>
      </c>
      <c r="O15" s="2090" t="s">
        <v>3312</v>
      </c>
      <c r="P15" s="2090"/>
      <c r="Q15" s="648" t="s">
        <v>3062</v>
      </c>
      <c r="R15" s="648" t="s">
        <v>154</v>
      </c>
      <c r="S15" s="648" t="s">
        <v>3062</v>
      </c>
      <c r="T15" s="2090"/>
      <c r="U15" s="2090"/>
      <c r="V15" s="2090"/>
      <c r="W15" s="649" t="s">
        <v>3062</v>
      </c>
      <c r="X15" s="2090"/>
      <c r="Y15" s="2090"/>
      <c r="Z15" s="649" t="s">
        <v>3062</v>
      </c>
      <c r="AA15" s="2090"/>
      <c r="AB15" s="2090"/>
      <c r="AC15" s="649" t="s">
        <v>3062</v>
      </c>
      <c r="AD15" s="2090"/>
      <c r="AE15" s="2090"/>
      <c r="AF15" s="2090"/>
      <c r="AG15" s="2090"/>
      <c r="AH15" s="635"/>
      <c r="AO15" s="647" t="s">
        <v>3311</v>
      </c>
    </row>
    <row r="16" spans="1:44" ht="24" customHeight="1">
      <c r="A16" s="635" t="s">
        <v>1191</v>
      </c>
      <c r="B16" s="606" t="s">
        <v>3310</v>
      </c>
      <c r="L16" s="636"/>
      <c r="M16" s="646"/>
      <c r="N16" s="825"/>
      <c r="O16" s="2087"/>
      <c r="P16" s="2087"/>
      <c r="Q16" s="2087"/>
      <c r="R16" s="2087"/>
      <c r="S16" s="2087"/>
      <c r="T16" s="2087"/>
      <c r="U16" s="2087"/>
      <c r="V16" s="2087"/>
      <c r="W16" s="2087"/>
      <c r="X16" s="2087"/>
      <c r="Y16" s="2087"/>
    </row>
    <row r="17" spans="1:43" ht="24" customHeight="1">
      <c r="A17" s="635" t="s">
        <v>1195</v>
      </c>
      <c r="B17" s="606" t="s">
        <v>3309</v>
      </c>
      <c r="O17" s="1914"/>
      <c r="P17" s="1914"/>
      <c r="Q17" s="1914"/>
      <c r="R17" s="1914"/>
      <c r="S17" s="1914"/>
      <c r="T17" s="1914"/>
      <c r="U17" s="1914"/>
      <c r="V17" s="1914"/>
      <c r="W17" s="1914"/>
      <c r="X17" s="1914"/>
      <c r="Y17" s="1914"/>
      <c r="Z17" s="1914"/>
      <c r="AA17" s="1914"/>
      <c r="AB17" s="1914"/>
      <c r="AC17" s="1914"/>
      <c r="AD17" s="1914"/>
      <c r="AE17" s="1914"/>
      <c r="AF17" s="1914"/>
      <c r="AG17" s="1914"/>
      <c r="AH17" s="1914"/>
      <c r="AI17" s="1914"/>
      <c r="AJ17" s="1914"/>
      <c r="AK17" s="1914"/>
      <c r="AL17" s="1914"/>
      <c r="AM17" s="1914"/>
      <c r="AQ17" s="645"/>
    </row>
    <row r="18" spans="1:43" ht="24" customHeight="1">
      <c r="A18" s="635" t="s">
        <v>2370</v>
      </c>
      <c r="B18" s="606" t="s">
        <v>3308</v>
      </c>
      <c r="H18" s="1871" t="str">
        <f>cst_wsecoteki_BUILD__address</f>
        <v/>
      </c>
      <c r="I18" s="1871"/>
      <c r="J18" s="1871"/>
      <c r="K18" s="1871"/>
      <c r="L18" s="1871"/>
      <c r="M18" s="1871"/>
      <c r="N18" s="1871"/>
      <c r="O18" s="1871"/>
      <c r="P18" s="1871"/>
      <c r="Q18" s="1871"/>
      <c r="R18" s="1871"/>
      <c r="S18" s="1871"/>
      <c r="T18" s="1871"/>
      <c r="U18" s="1871"/>
      <c r="V18" s="1871"/>
      <c r="W18" s="1871"/>
      <c r="X18" s="1871"/>
      <c r="Y18" s="1871"/>
      <c r="Z18" s="1871"/>
      <c r="AA18" s="1871"/>
      <c r="AB18" s="1871"/>
      <c r="AC18" s="1871"/>
      <c r="AD18" s="1871"/>
      <c r="AE18" s="1871"/>
      <c r="AF18" s="1871"/>
      <c r="AG18" s="1871"/>
      <c r="AH18" s="1871"/>
      <c r="AI18" s="1871"/>
      <c r="AJ18" s="1871"/>
      <c r="AK18" s="1871"/>
      <c r="AL18" s="1871"/>
      <c r="AM18" s="1871"/>
      <c r="AN18" s="1871"/>
    </row>
    <row r="19" spans="1:43" ht="24" customHeight="1">
      <c r="B19" s="2091"/>
      <c r="C19" s="2091"/>
      <c r="D19" s="2091"/>
      <c r="E19" s="2091"/>
      <c r="F19" s="2091"/>
      <c r="G19" s="2091"/>
      <c r="H19" s="2091"/>
      <c r="I19" s="2091"/>
      <c r="J19" s="2091"/>
      <c r="K19" s="2091"/>
      <c r="L19" s="2091"/>
      <c r="M19" s="2091"/>
      <c r="N19" s="2091"/>
      <c r="O19" s="2091"/>
      <c r="P19" s="2091"/>
      <c r="Q19" s="2091"/>
      <c r="R19" s="2091"/>
      <c r="S19" s="2091"/>
      <c r="T19" s="2091"/>
      <c r="U19" s="2091"/>
      <c r="V19" s="2091"/>
      <c r="W19" s="2091"/>
      <c r="X19" s="2091"/>
      <c r="Y19" s="2091"/>
      <c r="Z19" s="2091"/>
      <c r="AA19" s="2091"/>
      <c r="AB19" s="2091"/>
      <c r="AC19" s="2091"/>
      <c r="AD19" s="2091"/>
      <c r="AE19" s="2091"/>
      <c r="AF19" s="2091"/>
      <c r="AG19" s="2091"/>
      <c r="AH19" s="2091"/>
      <c r="AI19" s="2091"/>
      <c r="AJ19" s="2091"/>
      <c r="AK19" s="2091"/>
      <c r="AL19" s="2091"/>
      <c r="AM19" s="2091"/>
      <c r="AN19" s="2091"/>
      <c r="AO19" s="606" t="s">
        <v>3307</v>
      </c>
    </row>
    <row r="20" spans="1:43" ht="16.5" customHeight="1"/>
    <row r="21" spans="1:43" ht="18" customHeight="1">
      <c r="A21" s="606" t="s">
        <v>3306</v>
      </c>
      <c r="B21" s="606" t="s">
        <v>3305</v>
      </c>
    </row>
    <row r="22" spans="1:43" ht="18" customHeight="1">
      <c r="A22" s="644" t="s">
        <v>3304</v>
      </c>
      <c r="B22" s="643"/>
      <c r="C22" s="643"/>
      <c r="D22" s="643"/>
      <c r="E22" s="643"/>
      <c r="F22" s="643"/>
      <c r="G22" s="643"/>
      <c r="H22" s="643"/>
      <c r="I22" s="643"/>
      <c r="J22" s="643"/>
      <c r="K22" s="643"/>
      <c r="L22" s="643"/>
      <c r="M22" s="643"/>
      <c r="N22" s="643"/>
      <c r="O22" s="643"/>
      <c r="P22" s="643"/>
      <c r="Q22" s="643"/>
      <c r="R22" s="643"/>
      <c r="S22" s="643"/>
      <c r="T22" s="642"/>
      <c r="U22" s="644" t="s">
        <v>3303</v>
      </c>
      <c r="V22" s="643"/>
      <c r="W22" s="643"/>
      <c r="X22" s="643"/>
      <c r="Y22" s="643"/>
      <c r="Z22" s="643"/>
      <c r="AA22" s="643"/>
      <c r="AB22" s="643"/>
      <c r="AC22" s="643"/>
      <c r="AD22" s="643"/>
      <c r="AE22" s="643"/>
      <c r="AF22" s="643"/>
      <c r="AG22" s="643"/>
      <c r="AH22" s="643"/>
      <c r="AI22" s="643"/>
      <c r="AJ22" s="643"/>
      <c r="AK22" s="643"/>
      <c r="AL22" s="643"/>
      <c r="AM22" s="643"/>
      <c r="AN22" s="642"/>
    </row>
    <row r="23" spans="1:43" ht="18" customHeight="1">
      <c r="A23" s="641"/>
      <c r="B23" s="640"/>
      <c r="C23" s="640"/>
      <c r="D23" s="640"/>
      <c r="E23" s="640"/>
      <c r="F23" s="640"/>
      <c r="G23" s="640"/>
      <c r="H23" s="640"/>
      <c r="I23" s="640"/>
      <c r="J23" s="640"/>
      <c r="K23" s="640"/>
      <c r="L23" s="640"/>
      <c r="M23" s="640"/>
      <c r="N23" s="640"/>
      <c r="O23" s="640"/>
      <c r="P23" s="640"/>
      <c r="Q23" s="640"/>
      <c r="R23" s="640"/>
      <c r="S23" s="640"/>
      <c r="T23" s="640"/>
      <c r="U23" s="641"/>
      <c r="V23" s="640"/>
      <c r="W23" s="640"/>
      <c r="X23" s="640"/>
      <c r="Y23" s="640"/>
      <c r="Z23" s="640"/>
      <c r="AA23" s="640"/>
      <c r="AB23" s="640"/>
      <c r="AC23" s="640"/>
      <c r="AD23" s="640"/>
      <c r="AE23" s="640"/>
      <c r="AF23" s="640"/>
      <c r="AG23" s="640"/>
      <c r="AH23" s="640"/>
      <c r="AI23" s="640"/>
      <c r="AJ23" s="640"/>
      <c r="AK23" s="640"/>
      <c r="AL23" s="640"/>
      <c r="AM23" s="640"/>
      <c r="AN23" s="639"/>
    </row>
    <row r="24" spans="1:43" ht="18" customHeight="1">
      <c r="A24" s="618"/>
      <c r="U24" s="618"/>
      <c r="AN24" s="638"/>
    </row>
    <row r="25" spans="1:43" ht="18" customHeight="1">
      <c r="A25" s="618"/>
      <c r="U25" s="618"/>
      <c r="AN25" s="638"/>
    </row>
    <row r="26" spans="1:43" ht="18" customHeight="1">
      <c r="A26" s="618"/>
      <c r="U26" s="618"/>
      <c r="AN26" s="638"/>
    </row>
    <row r="27" spans="1:43" ht="18" customHeight="1">
      <c r="A27" s="618"/>
      <c r="U27" s="618"/>
      <c r="AN27" s="638"/>
    </row>
    <row r="28" spans="1:43" ht="18" customHeight="1">
      <c r="A28" s="618"/>
      <c r="U28" s="618"/>
      <c r="AN28" s="638"/>
    </row>
    <row r="29" spans="1:43" ht="18" customHeight="1">
      <c r="A29" s="618"/>
      <c r="U29" s="618"/>
      <c r="AN29" s="638"/>
    </row>
    <row r="30" spans="1:43" ht="18" customHeight="1">
      <c r="A30" s="618"/>
      <c r="U30" s="618"/>
      <c r="AN30" s="638"/>
    </row>
    <row r="31" spans="1:43" ht="18" customHeight="1">
      <c r="A31" s="618"/>
      <c r="U31" s="618"/>
      <c r="AN31" s="638"/>
    </row>
    <row r="32" spans="1:43" ht="18" customHeight="1">
      <c r="A32" s="618"/>
      <c r="U32" s="618"/>
      <c r="AN32" s="638"/>
    </row>
    <row r="33" spans="1:40" ht="18" customHeight="1">
      <c r="A33" s="618"/>
      <c r="U33" s="618"/>
      <c r="AN33" s="638"/>
    </row>
    <row r="34" spans="1:40" ht="18" customHeight="1">
      <c r="A34" s="612"/>
      <c r="B34" s="611"/>
      <c r="C34" s="611"/>
      <c r="D34" s="611"/>
      <c r="E34" s="611"/>
      <c r="F34" s="611"/>
      <c r="G34" s="611"/>
      <c r="H34" s="611"/>
      <c r="I34" s="611"/>
      <c r="J34" s="611"/>
      <c r="K34" s="611"/>
      <c r="L34" s="611"/>
      <c r="M34" s="611"/>
      <c r="N34" s="611"/>
      <c r="O34" s="611"/>
      <c r="P34" s="611"/>
      <c r="Q34" s="611"/>
      <c r="R34" s="611"/>
      <c r="S34" s="611"/>
      <c r="T34" s="611"/>
      <c r="U34" s="612"/>
      <c r="V34" s="611"/>
      <c r="W34" s="611"/>
      <c r="X34" s="611"/>
      <c r="Y34" s="611"/>
      <c r="Z34" s="611"/>
      <c r="AA34" s="611"/>
      <c r="AB34" s="611"/>
      <c r="AC34" s="611"/>
      <c r="AD34" s="611"/>
      <c r="AE34" s="611"/>
      <c r="AF34" s="611"/>
      <c r="AG34" s="611"/>
      <c r="AH34" s="611"/>
      <c r="AI34" s="611"/>
      <c r="AJ34" s="611"/>
      <c r="AK34" s="611"/>
      <c r="AL34" s="611"/>
      <c r="AM34" s="611"/>
      <c r="AN34" s="637"/>
    </row>
    <row r="35" spans="1:40" ht="13.2">
      <c r="P35" s="2088"/>
      <c r="Q35" s="2089"/>
      <c r="S35" s="2088"/>
      <c r="T35" s="2089"/>
    </row>
    <row r="36" spans="1:40" ht="13.2">
      <c r="A36" s="606" t="s">
        <v>3302</v>
      </c>
      <c r="B36" s="606" t="s">
        <v>3301</v>
      </c>
      <c r="L36" s="636"/>
      <c r="M36" s="2088"/>
      <c r="N36" s="2089"/>
    </row>
    <row r="37" spans="1:40" ht="13.2">
      <c r="C37" s="634"/>
      <c r="D37" s="634"/>
      <c r="E37" s="634"/>
      <c r="F37" s="634"/>
      <c r="G37" s="634"/>
      <c r="H37" s="634"/>
      <c r="I37" s="634"/>
      <c r="J37" s="634"/>
      <c r="K37" s="634"/>
      <c r="L37" s="634"/>
      <c r="M37" s="634"/>
      <c r="N37" s="634"/>
      <c r="O37" s="634"/>
      <c r="P37" s="634"/>
      <c r="Q37" s="634"/>
      <c r="R37" s="634"/>
      <c r="S37" s="634"/>
      <c r="T37" s="634"/>
      <c r="U37" s="634"/>
      <c r="V37" s="634"/>
      <c r="W37" s="634"/>
      <c r="X37" s="634"/>
      <c r="Y37" s="634"/>
      <c r="Z37" s="634"/>
      <c r="AA37" s="634"/>
      <c r="AB37" s="634"/>
      <c r="AC37" s="634"/>
      <c r="AD37" s="634"/>
      <c r="AE37" s="634"/>
      <c r="AF37" s="634"/>
      <c r="AG37" s="634"/>
      <c r="AH37" s="634"/>
      <c r="AI37" s="634"/>
      <c r="AJ37" s="634"/>
      <c r="AK37" s="634"/>
      <c r="AL37" s="634"/>
      <c r="AM37" s="634"/>
      <c r="AN37" s="634"/>
    </row>
    <row r="38" spans="1:40" ht="13.2">
      <c r="B38" s="2093"/>
      <c r="C38" s="2093"/>
      <c r="D38" s="2093"/>
      <c r="E38" s="2093"/>
      <c r="F38" s="634" t="s">
        <v>380</v>
      </c>
      <c r="G38" s="2092"/>
      <c r="H38" s="2092"/>
      <c r="I38" s="634" t="s">
        <v>0</v>
      </c>
      <c r="J38" s="2092"/>
      <c r="K38" s="2092"/>
      <c r="L38" s="634" t="s">
        <v>3057</v>
      </c>
      <c r="M38" s="634"/>
      <c r="N38" s="2091"/>
      <c r="O38" s="2091"/>
      <c r="P38" s="2091"/>
      <c r="Q38" s="2091"/>
      <c r="R38" s="2091"/>
      <c r="S38" s="2091"/>
      <c r="T38" s="2091"/>
      <c r="U38" s="2091"/>
      <c r="V38" s="2091"/>
      <c r="W38" s="2091"/>
      <c r="X38" s="2091"/>
      <c r="Y38" s="2091"/>
      <c r="Z38" s="2091"/>
      <c r="AA38" s="2091"/>
      <c r="AB38" s="2091"/>
      <c r="AC38" s="2091"/>
      <c r="AD38" s="2091"/>
      <c r="AE38" s="2091"/>
      <c r="AF38" s="2091"/>
      <c r="AG38" s="2091"/>
      <c r="AH38" s="2091"/>
      <c r="AI38" s="2091"/>
      <c r="AJ38" s="2091"/>
      <c r="AK38" s="2091"/>
      <c r="AL38" s="2091"/>
      <c r="AM38" s="2091"/>
      <c r="AN38" s="2091"/>
    </row>
    <row r="39" spans="1:40" ht="13.2">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634"/>
      <c r="AM39" s="634"/>
      <c r="AN39" s="634"/>
    </row>
    <row r="40" spans="1:40" ht="13.2">
      <c r="C40" s="634"/>
      <c r="D40" s="634"/>
      <c r="E40" s="634"/>
      <c r="F40" s="634"/>
      <c r="G40" s="634"/>
      <c r="H40" s="634"/>
      <c r="I40" s="634"/>
      <c r="J40" s="634"/>
      <c r="K40" s="634"/>
      <c r="L40" s="634"/>
      <c r="M40" s="634"/>
      <c r="N40" s="634"/>
      <c r="O40" s="634"/>
      <c r="P40" s="634"/>
      <c r="Q40" s="634"/>
      <c r="R40" s="634"/>
      <c r="S40" s="634"/>
      <c r="T40" s="634"/>
      <c r="U40" s="634"/>
      <c r="V40" s="634"/>
      <c r="W40" s="634"/>
      <c r="X40" s="634"/>
      <c r="Y40" s="634"/>
      <c r="Z40" s="634"/>
      <c r="AA40" s="634"/>
      <c r="AB40" s="634"/>
      <c r="AC40" s="634"/>
      <c r="AD40" s="634"/>
      <c r="AE40" s="634"/>
      <c r="AF40" s="634"/>
      <c r="AG40" s="634"/>
      <c r="AH40" s="634"/>
      <c r="AI40" s="634"/>
      <c r="AJ40" s="634"/>
      <c r="AK40" s="634"/>
      <c r="AL40" s="634"/>
      <c r="AM40" s="634"/>
      <c r="AN40" s="634"/>
    </row>
    <row r="41" spans="1:40" ht="13.2">
      <c r="A41" s="606" t="s">
        <v>3300</v>
      </c>
    </row>
    <row r="42" spans="1:40" ht="18" customHeight="1">
      <c r="A42" s="632" t="s">
        <v>3258</v>
      </c>
      <c r="B42" s="631"/>
      <c r="C42" s="631"/>
      <c r="D42" s="631"/>
      <c r="E42" s="631"/>
      <c r="F42" s="631"/>
      <c r="G42" s="631"/>
      <c r="H42" s="631"/>
      <c r="I42" s="631"/>
      <c r="J42" s="631"/>
      <c r="K42" s="633"/>
      <c r="L42" s="632"/>
      <c r="M42" s="631"/>
      <c r="N42" s="631"/>
      <c r="O42" s="631"/>
      <c r="P42" s="631"/>
      <c r="Q42" s="631"/>
      <c r="R42" s="631"/>
      <c r="S42" s="631"/>
      <c r="T42" s="631"/>
      <c r="U42" s="631"/>
      <c r="V42" s="631"/>
      <c r="W42" s="631"/>
      <c r="X42" s="631"/>
      <c r="Y42" s="630"/>
      <c r="Z42" s="630"/>
      <c r="AA42" s="630"/>
      <c r="AB42" s="630"/>
      <c r="AC42" s="630"/>
      <c r="AD42" s="630"/>
      <c r="AE42" s="630"/>
      <c r="AF42" s="630"/>
      <c r="AG42" s="630"/>
      <c r="AH42" s="630"/>
      <c r="AI42" s="630"/>
      <c r="AJ42" s="630"/>
      <c r="AK42" s="630"/>
      <c r="AL42" s="630"/>
      <c r="AM42" s="630"/>
      <c r="AN42" s="629"/>
    </row>
    <row r="43" spans="1:40" ht="18" customHeight="1">
      <c r="A43" s="628" t="s">
        <v>3299</v>
      </c>
      <c r="B43" s="627"/>
      <c r="C43" s="627"/>
      <c r="D43" s="627"/>
      <c r="E43" s="627"/>
      <c r="F43" s="627"/>
      <c r="G43" s="627"/>
      <c r="H43" s="627"/>
      <c r="I43" s="627"/>
      <c r="J43" s="627"/>
      <c r="K43" s="626"/>
      <c r="L43" s="625"/>
      <c r="M43" s="624"/>
      <c r="N43" s="624"/>
      <c r="O43" s="624"/>
      <c r="P43" s="624"/>
      <c r="Q43" s="624"/>
      <c r="R43" s="624"/>
      <c r="Y43" s="624"/>
      <c r="Z43" s="624"/>
      <c r="AA43" s="624"/>
      <c r="AB43" s="624"/>
      <c r="AC43" s="624"/>
      <c r="AD43" s="624"/>
      <c r="AE43" s="623"/>
      <c r="AF43" s="623"/>
      <c r="AG43" s="623"/>
      <c r="AH43" s="623"/>
      <c r="AI43" s="623"/>
      <c r="AJ43" s="623"/>
      <c r="AK43" s="623"/>
      <c r="AL43" s="623"/>
      <c r="AM43" s="623"/>
      <c r="AN43" s="622"/>
    </row>
    <row r="44" spans="1:40" ht="18" customHeight="1">
      <c r="A44" s="621"/>
      <c r="B44" s="620"/>
      <c r="C44" s="620"/>
      <c r="D44" s="620"/>
      <c r="E44" s="620"/>
      <c r="F44" s="620"/>
      <c r="G44" s="620"/>
      <c r="H44" s="620"/>
      <c r="I44" s="620"/>
      <c r="J44" s="620"/>
      <c r="K44" s="619"/>
      <c r="L44" s="618"/>
      <c r="Y44" s="617"/>
      <c r="Z44" s="617"/>
      <c r="AA44" s="617"/>
      <c r="AB44" s="617"/>
      <c r="AC44" s="617"/>
      <c r="AD44" s="617"/>
      <c r="AE44" s="617"/>
      <c r="AF44" s="617"/>
      <c r="AG44" s="617"/>
      <c r="AH44" s="617"/>
      <c r="AI44" s="617"/>
      <c r="AJ44" s="617"/>
      <c r="AK44" s="617"/>
      <c r="AL44" s="617"/>
      <c r="AM44" s="617"/>
      <c r="AN44" s="616"/>
    </row>
    <row r="45" spans="1:40" ht="18" customHeight="1">
      <c r="A45" s="615" t="s">
        <v>3298</v>
      </c>
      <c r="B45" s="614"/>
      <c r="C45" s="614"/>
      <c r="D45" s="614"/>
      <c r="E45" s="614"/>
      <c r="F45" s="614"/>
      <c r="G45" s="614"/>
      <c r="H45" s="614"/>
      <c r="I45" s="614"/>
      <c r="J45" s="614"/>
      <c r="K45" s="613"/>
      <c r="L45" s="612"/>
      <c r="M45" s="611"/>
      <c r="N45" s="611"/>
      <c r="O45" s="611"/>
      <c r="P45" s="611"/>
      <c r="Q45" s="611"/>
      <c r="R45" s="611"/>
      <c r="S45" s="611"/>
      <c r="T45" s="611"/>
      <c r="U45" s="611"/>
      <c r="V45" s="611"/>
      <c r="W45" s="611"/>
      <c r="X45" s="611"/>
      <c r="Y45" s="610"/>
      <c r="Z45" s="610"/>
      <c r="AA45" s="610"/>
      <c r="AB45" s="610"/>
      <c r="AC45" s="610"/>
      <c r="AD45" s="610"/>
      <c r="AE45" s="610"/>
      <c r="AF45" s="610"/>
      <c r="AG45" s="610"/>
      <c r="AH45" s="610"/>
      <c r="AI45" s="610"/>
      <c r="AJ45" s="610"/>
      <c r="AK45" s="610"/>
      <c r="AL45" s="610"/>
      <c r="AM45" s="610"/>
      <c r="AN45" s="609"/>
    </row>
    <row r="46" spans="1:40" ht="6" customHeight="1"/>
    <row r="47" spans="1:40" ht="12" customHeight="1">
      <c r="A47" s="608" t="s">
        <v>2676</v>
      </c>
      <c r="D47" s="608" t="s">
        <v>3297</v>
      </c>
    </row>
    <row r="48" spans="1:40" ht="12" customHeight="1">
      <c r="D48" s="608" t="s">
        <v>3296</v>
      </c>
    </row>
    <row r="49" ht="12" customHeight="1"/>
  </sheetData>
  <mergeCells count="22">
    <mergeCell ref="O17:AM17"/>
    <mergeCell ref="N38:AN38"/>
    <mergeCell ref="G38:H38"/>
    <mergeCell ref="J38:K38"/>
    <mergeCell ref="B38:E38"/>
    <mergeCell ref="M36:N36"/>
    <mergeCell ref="O16:Y16"/>
    <mergeCell ref="AD6:AN6"/>
    <mergeCell ref="P35:Q35"/>
    <mergeCell ref="S35:T35"/>
    <mergeCell ref="V8:AN8"/>
    <mergeCell ref="N10:T10"/>
    <mergeCell ref="V9:AN9"/>
    <mergeCell ref="T15:V15"/>
    <mergeCell ref="X15:Y15"/>
    <mergeCell ref="AA15:AB15"/>
    <mergeCell ref="AD15:AG15"/>
    <mergeCell ref="O15:P15"/>
    <mergeCell ref="B19:AN19"/>
    <mergeCell ref="V10:AM10"/>
    <mergeCell ref="H18:AN18"/>
    <mergeCell ref="N8:T8"/>
  </mergeCells>
  <phoneticPr fontId="122"/>
  <dataValidations count="1">
    <dataValidation type="list" allowBlank="1" showInputMessage="1" sqref="O17:AM17" xr:uid="{00000000-0002-0000-3100-000000000000}">
      <formula1>"株式会社都市居住評価センター"</formula1>
    </dataValidation>
  </dataValidations>
  <pageMargins left="0.78740157480314965" right="0.59055118110236227" top="0.27559055118110237" bottom="0.23622047244094491" header="0.19685039370078741" footer="0.31496062992125984"/>
  <pageSetup paperSize="9" scale="99" orientation="portrait"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sheetPr>
  <dimension ref="A3:J29"/>
  <sheetViews>
    <sheetView workbookViewId="0"/>
  </sheetViews>
  <sheetFormatPr defaultColWidth="9" defaultRowHeight="15" customHeight="1"/>
  <cols>
    <col min="1" max="5" width="2.6640625" style="14" customWidth="1"/>
    <col min="6" max="7" width="10.6640625" style="14" customWidth="1"/>
    <col min="8" max="8" width="18.33203125" style="14" customWidth="1"/>
    <col min="9" max="12" width="20.6640625" style="14" customWidth="1"/>
    <col min="13" max="13" width="9" style="14" customWidth="1"/>
    <col min="14" max="16384" width="9" style="14"/>
  </cols>
  <sheetData>
    <row r="3" spans="1:9" ht="15" customHeight="1">
      <c r="A3" s="14" t="s">
        <v>1211</v>
      </c>
    </row>
    <row r="4" spans="1:9" ht="15" customHeight="1">
      <c r="H4" s="125" t="s">
        <v>1233</v>
      </c>
      <c r="I4" s="121" t="s">
        <v>1234</v>
      </c>
    </row>
    <row r="5" spans="1:9" ht="15" customHeight="1">
      <c r="H5" s="118">
        <v>0</v>
      </c>
      <c r="I5" s="122" t="s">
        <v>1235</v>
      </c>
    </row>
    <row r="6" spans="1:9" ht="15" customHeight="1">
      <c r="H6" s="119">
        <v>100</v>
      </c>
      <c r="I6" s="123" t="s">
        <v>1236</v>
      </c>
    </row>
    <row r="7" spans="1:9" ht="15" customHeight="1">
      <c r="H7" s="119">
        <v>200</v>
      </c>
      <c r="I7" s="123" t="s">
        <v>1237</v>
      </c>
    </row>
    <row r="8" spans="1:9" ht="15" customHeight="1">
      <c r="H8" s="119">
        <v>300</v>
      </c>
      <c r="I8" s="123" t="s">
        <v>1238</v>
      </c>
    </row>
    <row r="9" spans="1:9" ht="15" customHeight="1">
      <c r="H9" s="120" t="s">
        <v>1214</v>
      </c>
      <c r="I9" s="124"/>
    </row>
    <row r="12" spans="1:9" ht="15" customHeight="1">
      <c r="A12" s="14" t="s">
        <v>1211</v>
      </c>
    </row>
    <row r="13" spans="1:9" ht="15" customHeight="1">
      <c r="H13" s="125" t="s">
        <v>1220</v>
      </c>
      <c r="I13" s="121" t="s">
        <v>1221</v>
      </c>
    </row>
    <row r="14" spans="1:9" ht="15" customHeight="1">
      <c r="H14" s="118">
        <v>1</v>
      </c>
      <c r="I14" s="122" t="s">
        <v>1215</v>
      </c>
    </row>
    <row r="15" spans="1:9" ht="15" customHeight="1">
      <c r="H15" s="119">
        <v>2</v>
      </c>
      <c r="I15" s="123" t="s">
        <v>1216</v>
      </c>
    </row>
    <row r="16" spans="1:9" ht="15" customHeight="1">
      <c r="H16" s="119">
        <v>3</v>
      </c>
      <c r="I16" s="123" t="s">
        <v>1217</v>
      </c>
    </row>
    <row r="17" spans="1:10" ht="15" customHeight="1">
      <c r="H17" s="119">
        <v>4</v>
      </c>
      <c r="I17" s="123" t="s">
        <v>1218</v>
      </c>
    </row>
    <row r="18" spans="1:10" ht="15" customHeight="1">
      <c r="H18" s="119">
        <v>5</v>
      </c>
      <c r="I18" s="123" t="s">
        <v>1219</v>
      </c>
    </row>
    <row r="19" spans="1:10" ht="15" customHeight="1">
      <c r="H19" s="120" t="s">
        <v>1214</v>
      </c>
      <c r="I19" s="124"/>
    </row>
    <row r="21" spans="1:10" ht="15" customHeight="1">
      <c r="H21" s="55"/>
    </row>
    <row r="22" spans="1:10" ht="15" customHeight="1">
      <c r="A22" s="14" t="s">
        <v>1209</v>
      </c>
    </row>
    <row r="23" spans="1:10" ht="15" customHeight="1">
      <c r="H23" s="125" t="s">
        <v>1228</v>
      </c>
      <c r="I23" s="121" t="s">
        <v>1229</v>
      </c>
      <c r="J23" s="188" t="s">
        <v>1236</v>
      </c>
    </row>
    <row r="24" spans="1:10" ht="15" customHeight="1">
      <c r="H24" s="118">
        <v>101</v>
      </c>
      <c r="I24" s="127" t="s">
        <v>1227</v>
      </c>
      <c r="J24" s="185">
        <v>1</v>
      </c>
    </row>
    <row r="25" spans="1:10" ht="15" customHeight="1">
      <c r="H25" s="119">
        <v>102</v>
      </c>
      <c r="I25" s="128" t="s">
        <v>1223</v>
      </c>
      <c r="J25" s="186">
        <v>1</v>
      </c>
    </row>
    <row r="26" spans="1:10" ht="15" customHeight="1">
      <c r="H26" s="119">
        <v>103</v>
      </c>
      <c r="I26" s="128" t="s">
        <v>1224</v>
      </c>
      <c r="J26" s="186">
        <v>3</v>
      </c>
    </row>
    <row r="27" spans="1:10" ht="15" customHeight="1">
      <c r="H27" s="119">
        <v>104</v>
      </c>
      <c r="I27" s="128" t="s">
        <v>1225</v>
      </c>
      <c r="J27" s="186">
        <v>4</v>
      </c>
    </row>
    <row r="28" spans="1:10" ht="15" customHeight="1">
      <c r="H28" s="119">
        <v>999</v>
      </c>
      <c r="I28" s="128" t="s">
        <v>1226</v>
      </c>
      <c r="J28" s="186"/>
    </row>
    <row r="29" spans="1:10" ht="15" customHeight="1">
      <c r="H29" s="126" t="s">
        <v>1214</v>
      </c>
      <c r="I29" s="129"/>
      <c r="J29" s="187"/>
    </row>
  </sheetData>
  <phoneticPr fontId="122"/>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H39"/>
  <sheetViews>
    <sheetView zoomScaleNormal="100" zoomScaleSheetLayoutView="100" workbookViewId="0"/>
  </sheetViews>
  <sheetFormatPr defaultColWidth="8.88671875" defaultRowHeight="13.2"/>
  <cols>
    <col min="1" max="32" width="2.44140625" style="755" customWidth="1"/>
    <col min="33" max="33" width="8.88671875" style="755" customWidth="1"/>
    <col min="34" max="16384" width="8.88671875" style="755"/>
  </cols>
  <sheetData>
    <row r="1" spans="1:34" ht="18.75" customHeight="1">
      <c r="AE1" s="762"/>
    </row>
    <row r="2" spans="1:34" ht="18.75" customHeight="1">
      <c r="I2" s="762"/>
    </row>
    <row r="3" spans="1:34" ht="18.75" customHeight="1">
      <c r="S3" s="773"/>
      <c r="T3" s="773"/>
      <c r="U3" s="773"/>
      <c r="V3" s="773"/>
      <c r="W3" s="773"/>
      <c r="X3" s="773"/>
      <c r="Y3" s="773"/>
      <c r="Z3" s="773"/>
      <c r="AA3" s="773"/>
      <c r="AB3" s="773"/>
      <c r="AF3" s="657"/>
    </row>
    <row r="4" spans="1:34" ht="18.75" customHeight="1">
      <c r="I4" s="759"/>
      <c r="W4" s="2095" t="s">
        <v>3276</v>
      </c>
      <c r="X4" s="2095"/>
      <c r="Y4" s="2095"/>
      <c r="Z4" s="2095"/>
      <c r="AA4" s="2095"/>
      <c r="AB4" s="2095"/>
      <c r="AC4" s="2095"/>
      <c r="AD4" s="2095"/>
      <c r="AE4" s="2095"/>
      <c r="AF4" s="2095"/>
    </row>
    <row r="5" spans="1:34" ht="18.75" customHeight="1">
      <c r="I5" s="759"/>
      <c r="AB5" s="762"/>
    </row>
    <row r="6" spans="1:34" ht="18.75" customHeight="1">
      <c r="A6" s="2096" t="s">
        <v>3325</v>
      </c>
      <c r="B6" s="2096"/>
      <c r="C6" s="2096"/>
      <c r="D6" s="2096"/>
      <c r="E6" s="2096"/>
      <c r="F6" s="2096"/>
      <c r="G6" s="2096"/>
      <c r="H6" s="2096"/>
      <c r="I6" s="2096"/>
      <c r="J6" s="2096"/>
      <c r="K6" s="2096"/>
      <c r="L6" s="2096"/>
      <c r="M6" s="2096"/>
      <c r="N6" s="2096"/>
      <c r="O6" s="2096"/>
      <c r="P6" s="2096"/>
      <c r="Q6" s="2096"/>
      <c r="R6" s="2096"/>
      <c r="S6" s="2096"/>
      <c r="T6" s="2096"/>
      <c r="U6" s="2096"/>
      <c r="V6" s="2096"/>
      <c r="W6" s="2096"/>
      <c r="X6" s="2096"/>
      <c r="Y6" s="2096"/>
      <c r="Z6" s="2096"/>
      <c r="AA6" s="2096"/>
      <c r="AB6" s="2096"/>
      <c r="AC6" s="2096"/>
      <c r="AD6" s="2096"/>
      <c r="AE6" s="2096"/>
      <c r="AF6" s="2096"/>
    </row>
    <row r="7" spans="1:34" ht="18.75" customHeight="1"/>
    <row r="8" spans="1:34" ht="18.75" customHeight="1">
      <c r="B8" s="655"/>
      <c r="D8" s="656"/>
      <c r="E8" s="656"/>
      <c r="F8" s="656"/>
      <c r="AH8" s="656"/>
    </row>
    <row r="9" spans="1:34" ht="18.75" customHeight="1">
      <c r="B9" s="655" t="s">
        <v>3324</v>
      </c>
      <c r="D9" s="655"/>
      <c r="E9" s="655"/>
      <c r="F9" s="655"/>
      <c r="AH9" s="655"/>
    </row>
    <row r="10" spans="1:34" ht="18.75" customHeight="1">
      <c r="B10" s="655"/>
      <c r="D10" s="655"/>
      <c r="E10" s="655"/>
      <c r="F10" s="655"/>
      <c r="AH10" s="656"/>
    </row>
    <row r="11" spans="1:34" ht="18.75" customHeight="1">
      <c r="B11" s="655"/>
      <c r="D11" s="655"/>
      <c r="E11" s="655"/>
      <c r="F11" s="655"/>
      <c r="Q11" s="755" t="s">
        <v>3323</v>
      </c>
      <c r="AH11" s="656"/>
    </row>
    <row r="12" spans="1:34" ht="18.75" customHeight="1">
      <c r="B12" s="655"/>
      <c r="D12" s="655"/>
      <c r="E12" s="655"/>
      <c r="F12" s="655"/>
      <c r="R12" s="755" t="s">
        <v>9</v>
      </c>
      <c r="T12" s="2098" t="str">
        <f>cst_wsecoteki_owner1__address</f>
        <v/>
      </c>
      <c r="U12" s="2098"/>
      <c r="V12" s="2098"/>
      <c r="W12" s="2098"/>
      <c r="X12" s="2098"/>
      <c r="Y12" s="2098"/>
      <c r="Z12" s="2098"/>
      <c r="AA12" s="2098"/>
      <c r="AB12" s="2098"/>
      <c r="AC12" s="2098"/>
      <c r="AD12" s="2098"/>
      <c r="AE12" s="2098"/>
      <c r="AF12" s="2098"/>
      <c r="AH12" s="655"/>
    </row>
    <row r="13" spans="1:34" ht="18.75" customHeight="1">
      <c r="B13" s="655"/>
      <c r="D13" s="655"/>
      <c r="E13" s="655"/>
      <c r="F13" s="655"/>
      <c r="R13" s="755" t="s">
        <v>7</v>
      </c>
      <c r="T13" s="2102" t="str">
        <f>cst_wsecoteki_owner1_NAME</f>
        <v/>
      </c>
      <c r="U13" s="2102"/>
      <c r="V13" s="2102"/>
      <c r="W13" s="2102"/>
      <c r="X13" s="2102"/>
      <c r="Y13" s="2102"/>
      <c r="Z13" s="2102"/>
      <c r="AA13" s="2102"/>
      <c r="AB13" s="2102"/>
      <c r="AC13" s="2102"/>
      <c r="AD13" s="2102"/>
      <c r="AE13" s="2102"/>
      <c r="AF13" s="2102"/>
    </row>
    <row r="14" spans="1:34" ht="18.75" customHeight="1">
      <c r="C14" s="756"/>
      <c r="D14" s="756"/>
      <c r="T14" s="2102"/>
      <c r="U14" s="2102"/>
      <c r="V14" s="2102"/>
      <c r="W14" s="2102"/>
      <c r="X14" s="2102"/>
      <c r="Y14" s="2102"/>
      <c r="Z14" s="2102"/>
      <c r="AA14" s="2102"/>
      <c r="AB14" s="2102"/>
      <c r="AC14" s="2102"/>
      <c r="AD14" s="2102"/>
      <c r="AE14" s="2102"/>
      <c r="AF14" s="2102"/>
    </row>
    <row r="15" spans="1:34" ht="18.75" customHeight="1">
      <c r="E15" s="762"/>
      <c r="F15" s="762"/>
      <c r="H15" s="760"/>
      <c r="I15" s="762"/>
      <c r="T15" s="655"/>
    </row>
    <row r="16" spans="1:34" ht="18.75" customHeight="1">
      <c r="H16" s="760"/>
      <c r="I16" s="762"/>
    </row>
    <row r="17" spans="1:32" ht="18.75" customHeight="1">
      <c r="I17" s="762"/>
    </row>
    <row r="18" spans="1:32" ht="18.75" customHeight="1"/>
    <row r="19" spans="1:32" ht="18.75" customHeight="1">
      <c r="C19" s="2101" t="s">
        <v>3322</v>
      </c>
      <c r="D19" s="2101"/>
      <c r="E19" s="2101"/>
      <c r="F19" s="2101"/>
      <c r="G19" s="2101"/>
      <c r="H19" s="2101"/>
      <c r="I19" s="2101"/>
      <c r="J19" s="2101"/>
      <c r="K19" s="2101"/>
      <c r="L19" s="2101"/>
      <c r="M19" s="2101"/>
      <c r="N19" s="2101"/>
      <c r="O19" s="2101"/>
      <c r="P19" s="2101"/>
      <c r="Q19" s="2101"/>
      <c r="R19" s="2101"/>
      <c r="S19" s="2101"/>
      <c r="T19" s="2101"/>
      <c r="U19" s="2101"/>
      <c r="V19" s="2101"/>
      <c r="W19" s="2101"/>
      <c r="X19" s="2101"/>
      <c r="Y19" s="2101"/>
      <c r="Z19" s="2101"/>
      <c r="AA19" s="2101"/>
      <c r="AB19" s="2101"/>
      <c r="AC19" s="2101"/>
      <c r="AD19" s="771"/>
      <c r="AE19" s="771"/>
      <c r="AF19" s="772"/>
    </row>
    <row r="20" spans="1:32" ht="18.75" customHeight="1">
      <c r="A20" s="760"/>
      <c r="B20" s="771"/>
      <c r="C20" s="2101"/>
      <c r="D20" s="2101"/>
      <c r="E20" s="2101"/>
      <c r="F20" s="2101"/>
      <c r="G20" s="2101"/>
      <c r="H20" s="2101"/>
      <c r="I20" s="2101"/>
      <c r="J20" s="2101"/>
      <c r="K20" s="2101"/>
      <c r="L20" s="2101"/>
      <c r="M20" s="2101"/>
      <c r="N20" s="2101"/>
      <c r="O20" s="2101"/>
      <c r="P20" s="2101"/>
      <c r="Q20" s="2101"/>
      <c r="R20" s="2101"/>
      <c r="S20" s="2101"/>
      <c r="T20" s="2101"/>
      <c r="U20" s="2101"/>
      <c r="V20" s="2101"/>
      <c r="W20" s="2101"/>
      <c r="X20" s="2101"/>
      <c r="Y20" s="2101"/>
      <c r="Z20" s="2101"/>
      <c r="AA20" s="2101"/>
      <c r="AB20" s="2101"/>
      <c r="AC20" s="2101"/>
      <c r="AD20" s="771"/>
      <c r="AE20" s="771"/>
      <c r="AF20" s="770"/>
    </row>
    <row r="21" spans="1:32" ht="18.75" customHeight="1">
      <c r="A21" s="760"/>
      <c r="B21" s="770"/>
      <c r="C21" s="770"/>
      <c r="D21" s="770"/>
      <c r="E21" s="770"/>
      <c r="F21" s="770"/>
      <c r="G21" s="770"/>
      <c r="H21" s="770"/>
      <c r="I21" s="770"/>
      <c r="J21" s="770"/>
      <c r="K21" s="770"/>
      <c r="L21" s="770"/>
      <c r="M21" s="770"/>
      <c r="N21" s="770"/>
      <c r="O21" s="770"/>
      <c r="P21" s="770"/>
      <c r="Q21" s="770"/>
      <c r="R21" s="770"/>
      <c r="S21" s="770"/>
      <c r="T21" s="770"/>
      <c r="U21" s="770"/>
      <c r="V21" s="770"/>
      <c r="W21" s="770"/>
      <c r="X21" s="770"/>
      <c r="Y21" s="770"/>
      <c r="Z21" s="770"/>
      <c r="AA21" s="770"/>
      <c r="AB21" s="770"/>
      <c r="AC21" s="770"/>
      <c r="AD21" s="770"/>
      <c r="AE21" s="770"/>
      <c r="AF21" s="756"/>
    </row>
    <row r="22" spans="1:32" ht="18.75" customHeight="1">
      <c r="A22" s="760"/>
      <c r="B22" s="769"/>
      <c r="C22" s="760"/>
      <c r="D22" s="760"/>
      <c r="F22" s="756"/>
      <c r="G22" s="756"/>
    </row>
    <row r="23" spans="1:32" ht="18.75" customHeight="1">
      <c r="A23" s="2097" t="s">
        <v>3287</v>
      </c>
      <c r="B23" s="2097"/>
      <c r="C23" s="2097"/>
      <c r="D23" s="2097"/>
      <c r="E23" s="2097"/>
      <c r="F23" s="2097"/>
      <c r="G23" s="2097"/>
      <c r="H23" s="2097"/>
      <c r="I23" s="2097"/>
      <c r="J23" s="2097"/>
      <c r="K23" s="2097"/>
      <c r="L23" s="2097"/>
      <c r="M23" s="2097"/>
      <c r="N23" s="2097"/>
      <c r="O23" s="2097"/>
      <c r="P23" s="2097"/>
      <c r="Q23" s="2097"/>
      <c r="R23" s="2097"/>
      <c r="S23" s="2097"/>
      <c r="T23" s="2097"/>
      <c r="U23" s="2097"/>
      <c r="V23" s="2097"/>
      <c r="W23" s="2097"/>
      <c r="X23" s="2097"/>
      <c r="Y23" s="2097"/>
      <c r="Z23" s="2097"/>
      <c r="AA23" s="2097"/>
      <c r="AB23" s="2097"/>
      <c r="AC23" s="2097"/>
      <c r="AD23" s="2097"/>
      <c r="AE23" s="2097"/>
      <c r="AF23" s="2097"/>
    </row>
    <row r="24" spans="1:32" ht="18.75" customHeight="1">
      <c r="A24" s="760"/>
      <c r="B24" s="760"/>
      <c r="C24" s="760"/>
      <c r="D24" s="760"/>
      <c r="E24" s="760"/>
      <c r="F24" s="760"/>
      <c r="G24" s="760"/>
      <c r="H24" s="760"/>
      <c r="I24" s="760"/>
      <c r="J24" s="760"/>
      <c r="K24" s="760"/>
      <c r="L24" s="760"/>
      <c r="M24" s="760"/>
      <c r="N24" s="760"/>
      <c r="O24" s="760"/>
      <c r="P24" s="760"/>
      <c r="Q24" s="760"/>
      <c r="R24" s="760"/>
      <c r="S24" s="760"/>
      <c r="T24" s="760"/>
      <c r="U24" s="760"/>
      <c r="V24" s="760"/>
      <c r="W24" s="760"/>
      <c r="X24" s="760"/>
      <c r="Y24" s="760"/>
      <c r="Z24" s="760"/>
      <c r="AA24" s="760"/>
      <c r="AB24" s="760"/>
      <c r="AC24" s="760"/>
      <c r="AD24" s="760"/>
      <c r="AE24" s="760"/>
      <c r="AF24" s="760"/>
    </row>
    <row r="25" spans="1:32" ht="18.75" customHeight="1">
      <c r="B25" s="761" t="s">
        <v>3321</v>
      </c>
    </row>
    <row r="26" spans="1:32" ht="18.75" customHeight="1">
      <c r="B26" s="763"/>
      <c r="C26" s="761"/>
      <c r="D26" s="2099" t="str">
        <f>cst_wsecoteki_BUILD_NAME</f>
        <v/>
      </c>
      <c r="E26" s="2099"/>
      <c r="F26" s="2099"/>
      <c r="G26" s="2099"/>
      <c r="H26" s="2099"/>
      <c r="I26" s="2099"/>
      <c r="J26" s="2099"/>
      <c r="K26" s="2099"/>
      <c r="L26" s="2099"/>
      <c r="M26" s="2099"/>
      <c r="N26" s="2099"/>
      <c r="O26" s="2099"/>
      <c r="P26" s="2099"/>
      <c r="Q26" s="2099"/>
      <c r="R26" s="2099"/>
      <c r="S26" s="2099"/>
      <c r="T26" s="2099"/>
      <c r="U26" s="2099"/>
      <c r="V26" s="2099"/>
      <c r="W26" s="2099"/>
      <c r="X26" s="2099"/>
      <c r="Y26" s="2099"/>
      <c r="Z26" s="2099"/>
      <c r="AA26" s="2099"/>
      <c r="AB26" s="2099"/>
      <c r="AC26" s="2099"/>
    </row>
    <row r="27" spans="1:32" ht="18.75" customHeight="1">
      <c r="B27" s="763"/>
      <c r="C27" s="761"/>
      <c r="D27" s="761"/>
      <c r="E27" s="761"/>
      <c r="F27" s="768"/>
      <c r="G27" s="768"/>
      <c r="H27" s="767"/>
      <c r="I27" s="767"/>
      <c r="J27" s="763"/>
      <c r="K27" s="763"/>
      <c r="L27" s="763"/>
      <c r="M27" s="763"/>
      <c r="N27" s="763"/>
      <c r="O27" s="763"/>
      <c r="P27" s="763"/>
      <c r="Q27" s="763"/>
      <c r="R27" s="763"/>
      <c r="S27" s="763"/>
      <c r="T27" s="763"/>
      <c r="U27" s="763"/>
      <c r="V27" s="763"/>
      <c r="W27" s="763"/>
      <c r="X27" s="763"/>
      <c r="Y27" s="763"/>
      <c r="Z27" s="763"/>
      <c r="AA27" s="763"/>
      <c r="AB27" s="763"/>
      <c r="AC27" s="763"/>
    </row>
    <row r="28" spans="1:32" ht="18.75" customHeight="1">
      <c r="B28" s="763" t="s">
        <v>3320</v>
      </c>
      <c r="C28" s="761"/>
      <c r="D28" s="761"/>
      <c r="E28" s="761"/>
      <c r="F28" s="768"/>
      <c r="G28" s="768"/>
      <c r="H28" s="767"/>
      <c r="I28" s="767"/>
      <c r="J28" s="763"/>
      <c r="K28" s="763"/>
      <c r="L28" s="763"/>
      <c r="M28" s="763"/>
      <c r="N28" s="763"/>
      <c r="O28" s="763"/>
      <c r="P28" s="761"/>
      <c r="Q28" s="763"/>
      <c r="R28" s="763"/>
      <c r="S28" s="763"/>
      <c r="T28" s="763"/>
      <c r="U28" s="763"/>
      <c r="V28" s="763"/>
      <c r="W28" s="763"/>
      <c r="X28" s="763"/>
      <c r="Y28" s="763"/>
      <c r="Z28" s="763"/>
      <c r="AA28" s="763"/>
      <c r="AB28" s="763"/>
      <c r="AC28" s="763"/>
    </row>
    <row r="29" spans="1:32" ht="33.6" customHeight="1">
      <c r="B29" s="763"/>
      <c r="C29" s="763"/>
      <c r="D29" s="2099" t="str">
        <f>cst_wsecoteki_BUILD__address</f>
        <v/>
      </c>
      <c r="E29" s="2099"/>
      <c r="F29" s="2099"/>
      <c r="G29" s="2099"/>
      <c r="H29" s="2099"/>
      <c r="I29" s="2099"/>
      <c r="J29" s="2099"/>
      <c r="K29" s="2099"/>
      <c r="L29" s="2099"/>
      <c r="M29" s="2099"/>
      <c r="N29" s="2099"/>
      <c r="O29" s="2099"/>
      <c r="P29" s="2099"/>
      <c r="Q29" s="2099"/>
      <c r="R29" s="2099"/>
      <c r="S29" s="2099"/>
      <c r="T29" s="2099"/>
      <c r="U29" s="2099"/>
      <c r="V29" s="2099"/>
      <c r="W29" s="2099"/>
      <c r="X29" s="2099"/>
      <c r="Y29" s="2099"/>
      <c r="Z29" s="2099"/>
      <c r="AA29" s="2099"/>
      <c r="AB29" s="2099"/>
      <c r="AC29" s="2099"/>
    </row>
    <row r="30" spans="1:32" ht="18.600000000000001" customHeight="1">
      <c r="B30" s="761"/>
      <c r="E30" s="760"/>
      <c r="F30" s="759"/>
      <c r="G30" s="759"/>
      <c r="H30" s="759"/>
      <c r="I30" s="759"/>
      <c r="J30" s="759"/>
      <c r="K30" s="759"/>
      <c r="L30" s="759"/>
      <c r="M30" s="759"/>
      <c r="R30" s="760"/>
      <c r="S30" s="760"/>
      <c r="T30" s="760"/>
      <c r="U30" s="760"/>
    </row>
    <row r="31" spans="1:32" ht="18.75" customHeight="1">
      <c r="B31" s="761" t="s">
        <v>3319</v>
      </c>
      <c r="C31" s="763"/>
      <c r="D31" s="766"/>
      <c r="E31" s="763"/>
      <c r="F31" s="765"/>
      <c r="G31" s="765"/>
      <c r="H31" s="763"/>
      <c r="I31" s="763"/>
      <c r="J31" s="763"/>
      <c r="K31" s="763"/>
      <c r="L31" s="763"/>
      <c r="M31" s="763"/>
      <c r="N31" s="763"/>
      <c r="O31" s="763"/>
      <c r="P31" s="763"/>
      <c r="Q31" s="763"/>
      <c r="R31" s="763"/>
      <c r="S31" s="763"/>
      <c r="T31" s="763"/>
      <c r="U31" s="763"/>
      <c r="V31" s="763"/>
      <c r="W31" s="763"/>
      <c r="X31" s="763"/>
      <c r="Y31" s="763"/>
      <c r="Z31" s="763"/>
      <c r="AA31" s="763"/>
      <c r="AB31" s="763"/>
      <c r="AC31" s="763"/>
    </row>
    <row r="32" spans="1:32" ht="18.75" customHeight="1">
      <c r="B32" s="763"/>
      <c r="C32" s="764"/>
      <c r="D32" s="2100"/>
      <c r="E32" s="2100"/>
      <c r="F32" s="2100"/>
      <c r="G32" s="2100"/>
      <c r="H32" s="2100"/>
      <c r="I32" s="2100"/>
      <c r="J32" s="2100"/>
      <c r="K32" s="2100"/>
      <c r="L32" s="2100"/>
      <c r="M32" s="2100"/>
      <c r="N32" s="2100"/>
      <c r="O32" s="2100"/>
      <c r="P32" s="2100"/>
      <c r="Q32" s="2100"/>
      <c r="R32" s="2100"/>
      <c r="S32" s="2100"/>
      <c r="T32" s="2100"/>
      <c r="U32" s="2100"/>
      <c r="V32" s="2100"/>
      <c r="W32" s="2100"/>
      <c r="X32" s="2100"/>
      <c r="Y32" s="2100"/>
      <c r="Z32" s="2100"/>
      <c r="AA32" s="2100"/>
      <c r="AB32" s="2100"/>
      <c r="AC32" s="2100"/>
    </row>
    <row r="33" spans="2:29" ht="18.75" customHeight="1">
      <c r="B33" s="763"/>
      <c r="C33" s="764"/>
      <c r="D33" s="763"/>
      <c r="E33" s="763"/>
      <c r="I33" s="760"/>
      <c r="J33" s="760"/>
      <c r="K33" s="760"/>
      <c r="L33" s="760"/>
      <c r="N33" s="654"/>
      <c r="O33" s="763"/>
      <c r="P33" s="763"/>
      <c r="Q33" s="763"/>
      <c r="R33" s="763"/>
      <c r="S33" s="763"/>
      <c r="T33" s="763"/>
      <c r="U33" s="763"/>
      <c r="V33" s="763"/>
      <c r="W33" s="763"/>
      <c r="X33" s="763"/>
      <c r="Y33" s="763"/>
      <c r="Z33" s="763"/>
      <c r="AA33" s="763"/>
      <c r="AB33" s="763"/>
      <c r="AC33" s="763"/>
    </row>
    <row r="34" spans="2:29" ht="18.75" customHeight="1">
      <c r="B34" s="761" t="s">
        <v>3318</v>
      </c>
      <c r="E34" s="760"/>
      <c r="F34" s="760"/>
      <c r="G34" s="762"/>
      <c r="H34" s="760"/>
      <c r="I34" s="760"/>
    </row>
    <row r="35" spans="2:29" ht="18.75" customHeight="1">
      <c r="B35" s="761"/>
      <c r="D35" s="2094"/>
      <c r="E35" s="2094"/>
      <c r="F35" s="2094"/>
      <c r="G35" s="2094"/>
      <c r="H35" s="2094"/>
      <c r="I35" s="2094"/>
      <c r="J35" s="2094"/>
      <c r="K35" s="2094"/>
      <c r="L35" s="2094"/>
      <c r="M35" s="2094"/>
    </row>
    <row r="36" spans="2:29" ht="18.75" customHeight="1">
      <c r="B36" s="761"/>
      <c r="E36" s="760"/>
      <c r="F36" s="759"/>
      <c r="G36" s="759"/>
      <c r="H36" s="759"/>
      <c r="I36" s="759"/>
      <c r="J36" s="759"/>
      <c r="K36" s="759"/>
      <c r="L36" s="759"/>
      <c r="M36" s="759"/>
    </row>
    <row r="37" spans="2:29" ht="18.75" customHeight="1">
      <c r="C37" s="756"/>
      <c r="D37" s="756"/>
      <c r="E37" s="756"/>
      <c r="F37" s="756"/>
      <c r="G37" s="756"/>
      <c r="H37" s="756"/>
      <c r="J37" s="756"/>
      <c r="K37" s="756"/>
      <c r="L37" s="756"/>
      <c r="M37" s="756"/>
      <c r="N37" s="758"/>
      <c r="O37" s="756"/>
      <c r="Q37" s="757"/>
    </row>
    <row r="38" spans="2:29" ht="18.75" customHeight="1">
      <c r="C38" s="756"/>
      <c r="D38" s="756"/>
      <c r="E38" s="756"/>
      <c r="F38" s="756"/>
      <c r="G38" s="756"/>
      <c r="H38" s="756"/>
      <c r="J38" s="756"/>
      <c r="K38" s="756"/>
      <c r="L38" s="756"/>
      <c r="M38" s="756"/>
      <c r="N38" s="756"/>
      <c r="O38" s="756"/>
    </row>
    <row r="39" spans="2:29" ht="18.75" customHeight="1">
      <c r="C39" s="756"/>
      <c r="D39" s="756"/>
      <c r="E39" s="756"/>
      <c r="F39" s="756"/>
      <c r="G39" s="756"/>
      <c r="H39" s="756"/>
      <c r="J39" s="756"/>
      <c r="K39" s="756"/>
      <c r="L39" s="756"/>
      <c r="M39" s="756"/>
      <c r="N39" s="756"/>
      <c r="O39" s="756"/>
    </row>
  </sheetData>
  <mergeCells count="10">
    <mergeCell ref="D35:M35"/>
    <mergeCell ref="W4:AF4"/>
    <mergeCell ref="A6:AF6"/>
    <mergeCell ref="A23:AF23"/>
    <mergeCell ref="T12:AF12"/>
    <mergeCell ref="D29:AC29"/>
    <mergeCell ref="D26:AC26"/>
    <mergeCell ref="D32:AC32"/>
    <mergeCell ref="C19:AC20"/>
    <mergeCell ref="T13:AF14"/>
  </mergeCells>
  <phoneticPr fontId="122"/>
  <conditionalFormatting sqref="D35:M35">
    <cfRule type="containsBlanks" dxfId="2" priority="6">
      <formula>LEN(TRIM(D35))=0</formula>
    </cfRule>
  </conditionalFormatting>
  <conditionalFormatting sqref="D32:AC32">
    <cfRule type="containsBlanks" dxfId="1" priority="5">
      <formula>LEN(TRIM(D32))=0</formula>
    </cfRule>
  </conditionalFormatting>
  <conditionalFormatting sqref="W4:AF4">
    <cfRule type="containsBlanks" dxfId="0" priority="2">
      <formula>LEN(TRIM(W4))=0</formula>
    </cfRule>
  </conditionalFormatting>
  <printOptions horizontalCentered="1"/>
  <pageMargins left="0.47244094488188981" right="0.39370078740157483" top="0.70866141732283472" bottom="0.6692913385826772" header="0.51181102362204722" footer="0.51181102362204722"/>
  <pageSetup paperSize="9" scale="99" orientation="portrait" blackAndWhite="1"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3:AI45"/>
  <sheetViews>
    <sheetView zoomScaleNormal="100" zoomScaleSheetLayoutView="100" workbookViewId="0"/>
  </sheetViews>
  <sheetFormatPr defaultColWidth="2.33203125" defaultRowHeight="18" customHeight="1"/>
  <cols>
    <col min="1" max="1" width="2.33203125" style="774" customWidth="1"/>
    <col min="2" max="16384" width="2.33203125" style="774"/>
  </cols>
  <sheetData>
    <row r="3" spans="1:35" ht="18" customHeight="1">
      <c r="A3" s="2124" t="s">
        <v>3269</v>
      </c>
      <c r="B3" s="2124"/>
      <c r="C3" s="2124"/>
      <c r="D3" s="2124"/>
      <c r="E3" s="2124"/>
      <c r="F3" s="2124"/>
      <c r="G3" s="2124"/>
      <c r="H3" s="2124"/>
      <c r="I3" s="2124"/>
      <c r="J3" s="2124"/>
      <c r="K3" s="2124"/>
      <c r="L3" s="2124"/>
      <c r="M3" s="2124"/>
      <c r="N3" s="2124"/>
      <c r="O3" s="2124"/>
      <c r="P3" s="2124"/>
      <c r="Q3" s="2124"/>
      <c r="R3" s="2124"/>
      <c r="S3" s="2124"/>
      <c r="T3" s="2124"/>
      <c r="U3" s="2124"/>
      <c r="V3" s="2124"/>
      <c r="W3" s="2124"/>
      <c r="X3" s="2124"/>
      <c r="Y3" s="2124"/>
      <c r="Z3" s="2124"/>
      <c r="AA3" s="2124"/>
      <c r="AB3" s="2124"/>
      <c r="AC3" s="2124"/>
      <c r="AD3" s="2124"/>
      <c r="AE3" s="2124"/>
      <c r="AF3" s="2124"/>
      <c r="AG3" s="2124"/>
      <c r="AH3" s="2124"/>
      <c r="AI3" s="2124"/>
    </row>
    <row r="4" spans="1:35" ht="18" customHeight="1">
      <c r="A4" s="2125"/>
      <c r="B4" s="2125"/>
      <c r="C4" s="2125"/>
      <c r="D4" s="2125"/>
      <c r="E4" s="2125"/>
      <c r="F4" s="2125"/>
      <c r="G4" s="2125"/>
      <c r="H4" s="2125"/>
      <c r="I4" s="2125"/>
      <c r="J4" s="2125"/>
      <c r="K4" s="2125"/>
      <c r="L4" s="2125"/>
      <c r="M4" s="2125"/>
      <c r="N4" s="2125"/>
      <c r="O4" s="2125"/>
      <c r="P4" s="2125"/>
      <c r="Q4" s="2125"/>
      <c r="R4" s="2125"/>
      <c r="S4" s="2125"/>
      <c r="T4" s="2125"/>
      <c r="U4" s="2125"/>
      <c r="V4" s="2125"/>
      <c r="W4" s="2125"/>
      <c r="X4" s="2125"/>
      <c r="Y4" s="2125"/>
      <c r="Z4" s="2125"/>
      <c r="AA4" s="2125"/>
      <c r="AB4" s="2125"/>
      <c r="AC4" s="2125"/>
      <c r="AD4" s="2125"/>
      <c r="AE4" s="2125"/>
      <c r="AF4" s="2125"/>
      <c r="AG4" s="2125"/>
      <c r="AH4" s="2125"/>
      <c r="AI4" s="2125"/>
    </row>
    <row r="5" spans="1:35" ht="18" customHeight="1">
      <c r="Y5" s="2128" t="s">
        <v>3332</v>
      </c>
      <c r="Z5" s="2128"/>
      <c r="AA5" s="2128"/>
      <c r="AB5" s="2128"/>
      <c r="AC5" s="2128"/>
      <c r="AD5" s="2128"/>
      <c r="AE5" s="2128"/>
      <c r="AF5" s="2128"/>
      <c r="AG5" s="2128"/>
      <c r="AH5" s="2128"/>
      <c r="AI5" s="2128"/>
    </row>
    <row r="6" spans="1:35" ht="18" customHeight="1">
      <c r="A6" s="774" t="s">
        <v>3331</v>
      </c>
    </row>
    <row r="9" spans="1:35" ht="18" customHeight="1">
      <c r="S9" s="822"/>
      <c r="U9" s="824"/>
      <c r="V9" s="824"/>
      <c r="W9" s="824"/>
      <c r="X9" s="824"/>
      <c r="Y9" s="824"/>
      <c r="Z9" s="824"/>
      <c r="AA9" s="824"/>
      <c r="AB9" s="824"/>
      <c r="AC9" s="824"/>
      <c r="AD9" s="824"/>
      <c r="AE9" s="824"/>
      <c r="AF9" s="824"/>
      <c r="AG9" s="824"/>
      <c r="AH9" s="824"/>
    </row>
    <row r="10" spans="1:35" ht="18" customHeight="1">
      <c r="AI10" s="822"/>
    </row>
    <row r="11" spans="1:35" ht="18" customHeight="1">
      <c r="S11" s="822" t="s">
        <v>3330</v>
      </c>
      <c r="U11" s="2127" t="str">
        <f>cst_wsecoteki_dairi1_JIMU_NAME</f>
        <v/>
      </c>
      <c r="V11" s="2127"/>
      <c r="W11" s="2127"/>
      <c r="X11" s="2127"/>
      <c r="Y11" s="2127"/>
      <c r="Z11" s="2127"/>
      <c r="AA11" s="2127"/>
      <c r="AB11" s="2127"/>
      <c r="AC11" s="2127"/>
      <c r="AD11" s="2127"/>
      <c r="AE11" s="2127"/>
      <c r="AF11" s="2127"/>
      <c r="AG11" s="2127"/>
      <c r="AH11" s="2127"/>
      <c r="AI11" s="822"/>
    </row>
    <row r="12" spans="1:35" ht="18" customHeight="1">
      <c r="S12" s="822"/>
      <c r="U12" s="2126" t="str">
        <f>cst_wsecoteki_dairi1_NAME</f>
        <v/>
      </c>
      <c r="V12" s="2126"/>
      <c r="W12" s="2126"/>
      <c r="X12" s="2126"/>
      <c r="Y12" s="2126"/>
      <c r="Z12" s="2126"/>
      <c r="AA12" s="2126"/>
      <c r="AB12" s="2126"/>
      <c r="AC12" s="2126"/>
      <c r="AD12" s="2126"/>
      <c r="AE12" s="2126"/>
      <c r="AF12" s="2126"/>
      <c r="AG12" s="2126"/>
      <c r="AH12" s="2126"/>
      <c r="AI12" s="822"/>
    </row>
    <row r="13" spans="1:35" ht="18" customHeight="1">
      <c r="S13" s="822"/>
      <c r="U13" s="823"/>
      <c r="V13" s="823"/>
      <c r="W13" s="823"/>
      <c r="X13" s="823"/>
      <c r="Y13" s="823"/>
      <c r="Z13" s="823"/>
      <c r="AA13" s="823"/>
      <c r="AB13" s="823"/>
      <c r="AC13" s="823"/>
      <c r="AD13" s="823"/>
      <c r="AE13" s="823"/>
      <c r="AF13" s="823"/>
      <c r="AG13" s="823"/>
      <c r="AH13" s="823"/>
      <c r="AI13" s="822"/>
    </row>
    <row r="14" spans="1:35" ht="18" customHeight="1">
      <c r="S14" s="822"/>
      <c r="U14" s="823"/>
      <c r="V14" s="823"/>
      <c r="W14" s="823"/>
      <c r="X14" s="823"/>
      <c r="Y14" s="823"/>
      <c r="Z14" s="823"/>
      <c r="AA14" s="823"/>
      <c r="AB14" s="823"/>
      <c r="AC14" s="823"/>
      <c r="AD14" s="823"/>
      <c r="AE14" s="823"/>
      <c r="AF14" s="823"/>
      <c r="AG14" s="823"/>
      <c r="AH14" s="823"/>
      <c r="AI14" s="822"/>
    </row>
    <row r="15" spans="1:35" ht="18" customHeight="1">
      <c r="S15" s="822"/>
      <c r="U15" s="823"/>
      <c r="V15" s="823"/>
      <c r="W15" s="823"/>
      <c r="X15" s="823"/>
      <c r="Y15" s="823"/>
      <c r="Z15" s="823"/>
      <c r="AA15" s="823"/>
      <c r="AB15" s="823"/>
      <c r="AC15" s="823"/>
      <c r="AD15" s="823"/>
      <c r="AE15" s="823"/>
      <c r="AF15" s="823"/>
      <c r="AG15" s="823"/>
      <c r="AH15" s="823"/>
      <c r="AI15" s="822"/>
    </row>
    <row r="17" spans="1:35" ht="18" customHeight="1">
      <c r="A17" s="816" t="s">
        <v>3263</v>
      </c>
      <c r="B17" s="821"/>
      <c r="C17" s="821"/>
      <c r="D17" s="821"/>
      <c r="E17" s="821"/>
      <c r="F17" s="821"/>
      <c r="G17" s="821"/>
      <c r="H17" s="821"/>
      <c r="I17" s="821"/>
      <c r="J17" s="821"/>
      <c r="K17" s="821"/>
      <c r="L17" s="821"/>
      <c r="M17" s="2121" t="str">
        <f>cst_wsecoteki_BUILD_NAME</f>
        <v/>
      </c>
      <c r="N17" s="2122"/>
      <c r="O17" s="2122"/>
      <c r="P17" s="2122"/>
      <c r="Q17" s="2122"/>
      <c r="R17" s="2122"/>
      <c r="S17" s="2122"/>
      <c r="T17" s="2122"/>
      <c r="U17" s="2122"/>
      <c r="V17" s="2122"/>
      <c r="W17" s="2122"/>
      <c r="X17" s="2122"/>
      <c r="Y17" s="2122"/>
      <c r="Z17" s="2122"/>
      <c r="AA17" s="2122"/>
      <c r="AB17" s="2122"/>
      <c r="AC17" s="2122"/>
      <c r="AD17" s="2122"/>
      <c r="AE17" s="2122"/>
      <c r="AF17" s="2122"/>
      <c r="AG17" s="2122"/>
      <c r="AH17" s="2122"/>
      <c r="AI17" s="2123"/>
    </row>
    <row r="18" spans="1:35" ht="21" customHeight="1">
      <c r="A18" s="2115" t="s">
        <v>3262</v>
      </c>
      <c r="B18" s="2116"/>
      <c r="C18" s="2116"/>
      <c r="D18" s="2116"/>
      <c r="E18" s="2116"/>
      <c r="F18" s="2116"/>
      <c r="G18" s="2116"/>
      <c r="H18" s="2116"/>
      <c r="I18" s="2116"/>
      <c r="J18" s="2116"/>
      <c r="K18" s="2116"/>
      <c r="L18" s="2117"/>
      <c r="M18" s="2119" t="s">
        <v>3329</v>
      </c>
      <c r="N18" s="2120"/>
      <c r="O18" s="2120"/>
      <c r="P18" s="2120"/>
      <c r="Q18" s="2120"/>
      <c r="R18" s="2120"/>
      <c r="S18" s="2120"/>
      <c r="T18" s="2120"/>
      <c r="U18" s="2120"/>
      <c r="V18" s="2120"/>
      <c r="W18" s="2120"/>
      <c r="X18" s="820"/>
      <c r="Y18" s="818"/>
      <c r="Z18" s="819"/>
      <c r="AA18" s="818"/>
      <c r="AB18" s="2116"/>
      <c r="AC18" s="2118"/>
      <c r="AD18" s="2118"/>
      <c r="AE18" s="2118"/>
      <c r="AF18" s="2118"/>
      <c r="AG18" s="2118"/>
      <c r="AH18" s="2118"/>
      <c r="AI18" s="817"/>
    </row>
    <row r="19" spans="1:35" ht="21" customHeight="1">
      <c r="A19" s="2112" t="s">
        <v>3328</v>
      </c>
      <c r="B19" s="2113"/>
      <c r="C19" s="2113"/>
      <c r="D19" s="2113"/>
      <c r="E19" s="2113"/>
      <c r="F19" s="2113"/>
      <c r="G19" s="2113"/>
      <c r="H19" s="2113"/>
      <c r="I19" s="2113"/>
      <c r="J19" s="2113"/>
      <c r="K19" s="2113"/>
      <c r="L19" s="2114"/>
      <c r="M19" s="2121" t="str">
        <f>cst_wsecoteki_APPLICANT_NAME</f>
        <v/>
      </c>
      <c r="N19" s="2122"/>
      <c r="O19" s="2122"/>
      <c r="P19" s="2122"/>
      <c r="Q19" s="2122"/>
      <c r="R19" s="2122"/>
      <c r="S19" s="2122"/>
      <c r="T19" s="2122"/>
      <c r="U19" s="2122"/>
      <c r="V19" s="2122"/>
      <c r="W19" s="2122"/>
      <c r="X19" s="2122"/>
      <c r="Y19" s="2122"/>
      <c r="Z19" s="2122"/>
      <c r="AA19" s="2122"/>
      <c r="AB19" s="2122"/>
      <c r="AC19" s="2122"/>
      <c r="AD19" s="2122"/>
      <c r="AE19" s="2122"/>
      <c r="AF19" s="2122"/>
      <c r="AG19" s="2122"/>
      <c r="AH19" s="2122"/>
      <c r="AI19" s="2123"/>
    </row>
    <row r="20" spans="1:35" ht="18" customHeight="1">
      <c r="A20" s="2110" t="s">
        <v>3260</v>
      </c>
      <c r="B20" s="2111"/>
      <c r="C20" s="815"/>
      <c r="D20" s="814"/>
      <c r="E20" s="814"/>
      <c r="F20" s="813"/>
      <c r="G20" s="813"/>
      <c r="H20" s="813"/>
      <c r="I20" s="813"/>
      <c r="J20" s="813"/>
      <c r="K20" s="813"/>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2"/>
    </row>
    <row r="21" spans="1:35" ht="18" customHeight="1">
      <c r="A21" s="2106"/>
      <c r="B21" s="2107"/>
      <c r="C21" s="801"/>
      <c r="D21" s="800"/>
      <c r="E21" s="800"/>
      <c r="AB21" s="811"/>
      <c r="AC21" s="811"/>
      <c r="AD21" s="811"/>
      <c r="AE21" s="811"/>
      <c r="AF21" s="811"/>
      <c r="AG21" s="811"/>
      <c r="AH21" s="811"/>
      <c r="AI21" s="810"/>
    </row>
    <row r="22" spans="1:35" ht="18" customHeight="1">
      <c r="A22" s="2106"/>
      <c r="B22" s="2107"/>
      <c r="C22" s="801"/>
      <c r="D22" s="800"/>
      <c r="E22" s="800"/>
      <c r="AI22" s="795"/>
    </row>
    <row r="23" spans="1:35" ht="18" customHeight="1">
      <c r="A23" s="2106"/>
      <c r="B23" s="2107"/>
      <c r="C23" s="801"/>
      <c r="D23" s="800"/>
      <c r="E23" s="800"/>
      <c r="AI23" s="795"/>
    </row>
    <row r="24" spans="1:35" ht="18" customHeight="1">
      <c r="A24" s="2106"/>
      <c r="B24" s="2107"/>
      <c r="C24" s="801"/>
      <c r="D24" s="800"/>
      <c r="E24" s="800"/>
      <c r="AI24" s="795"/>
    </row>
    <row r="25" spans="1:35" ht="18" customHeight="1">
      <c r="A25" s="2106"/>
      <c r="B25" s="2107"/>
      <c r="C25" s="801"/>
      <c r="D25" s="800"/>
      <c r="E25" s="800"/>
      <c r="AI25" s="795"/>
    </row>
    <row r="26" spans="1:35" ht="18" customHeight="1">
      <c r="A26" s="2106"/>
      <c r="B26" s="2107"/>
      <c r="C26" s="801"/>
      <c r="D26" s="800"/>
      <c r="E26" s="800"/>
      <c r="AI26" s="795"/>
    </row>
    <row r="27" spans="1:35" ht="18" customHeight="1">
      <c r="A27" s="2108"/>
      <c r="B27" s="2109"/>
      <c r="C27" s="809"/>
      <c r="D27" s="808"/>
      <c r="E27" s="808"/>
      <c r="F27" s="807"/>
      <c r="G27" s="807"/>
      <c r="H27" s="807"/>
      <c r="I27" s="806"/>
      <c r="J27" s="806"/>
      <c r="K27" s="806"/>
      <c r="L27" s="806"/>
      <c r="M27" s="806"/>
      <c r="N27" s="806"/>
      <c r="O27" s="806"/>
      <c r="P27" s="806"/>
      <c r="Q27" s="806"/>
      <c r="R27" s="806"/>
      <c r="S27" s="806"/>
      <c r="T27" s="806"/>
      <c r="U27" s="806"/>
      <c r="V27" s="806"/>
      <c r="W27" s="806"/>
      <c r="X27" s="806"/>
      <c r="Y27" s="806"/>
      <c r="Z27" s="806"/>
      <c r="AA27" s="806"/>
      <c r="AB27" s="806"/>
      <c r="AC27" s="806"/>
      <c r="AD27" s="806"/>
      <c r="AE27" s="806"/>
      <c r="AF27" s="806"/>
      <c r="AG27" s="806"/>
      <c r="AH27" s="806"/>
      <c r="AI27" s="805"/>
    </row>
    <row r="28" spans="1:35" ht="18" customHeight="1">
      <c r="A28" s="2106" t="s">
        <v>3259</v>
      </c>
      <c r="B28" s="2107"/>
      <c r="C28" s="801"/>
      <c r="D28" s="800"/>
      <c r="E28" s="800"/>
      <c r="F28" s="802"/>
      <c r="G28" s="799"/>
      <c r="H28" s="799"/>
      <c r="I28" s="798"/>
      <c r="J28" s="798"/>
      <c r="K28" s="798"/>
      <c r="L28" s="797"/>
      <c r="M28" s="796"/>
      <c r="N28" s="796"/>
      <c r="O28" s="796"/>
      <c r="P28" s="796"/>
      <c r="Q28" s="796"/>
      <c r="R28" s="796"/>
      <c r="AI28" s="795"/>
    </row>
    <row r="29" spans="1:35" ht="18" customHeight="1">
      <c r="A29" s="2106"/>
      <c r="B29" s="2107"/>
      <c r="C29" s="801"/>
      <c r="D29" s="800"/>
      <c r="E29" s="800"/>
      <c r="F29" s="799"/>
      <c r="G29" s="799"/>
      <c r="H29" s="799"/>
      <c r="I29" s="798"/>
      <c r="J29" s="798"/>
      <c r="K29" s="798"/>
      <c r="L29" s="797"/>
      <c r="M29" s="796"/>
      <c r="N29" s="796"/>
      <c r="O29" s="796"/>
      <c r="P29" s="796"/>
      <c r="Q29" s="796"/>
      <c r="R29" s="796"/>
      <c r="AI29" s="795"/>
    </row>
    <row r="30" spans="1:35" ht="18" customHeight="1">
      <c r="A30" s="2106"/>
      <c r="B30" s="2107"/>
      <c r="C30" s="801"/>
      <c r="D30" s="800"/>
      <c r="E30" s="800"/>
      <c r="I30" s="804"/>
      <c r="J30" s="804"/>
      <c r="K30" s="804"/>
      <c r="L30" s="798"/>
      <c r="M30" s="798"/>
      <c r="N30" s="798"/>
      <c r="O30" s="798"/>
      <c r="P30" s="798"/>
      <c r="Q30" s="798"/>
      <c r="R30" s="798"/>
      <c r="S30" s="798"/>
      <c r="T30" s="798"/>
      <c r="U30" s="798"/>
      <c r="V30" s="798"/>
      <c r="W30" s="798"/>
      <c r="X30" s="798"/>
      <c r="Y30" s="798"/>
      <c r="Z30" s="798"/>
      <c r="AA30" s="798"/>
      <c r="AB30" s="798"/>
      <c r="AC30" s="798"/>
      <c r="AD30" s="798"/>
      <c r="AE30" s="798"/>
      <c r="AF30" s="798"/>
      <c r="AG30" s="798"/>
      <c r="AH30" s="798"/>
      <c r="AI30" s="803"/>
    </row>
    <row r="31" spans="1:35" ht="18" customHeight="1">
      <c r="A31" s="2106"/>
      <c r="B31" s="2107"/>
      <c r="C31" s="801"/>
      <c r="D31" s="800"/>
      <c r="E31" s="800"/>
      <c r="F31" s="802"/>
      <c r="G31" s="799"/>
      <c r="H31" s="799"/>
      <c r="I31" s="798"/>
      <c r="J31" s="798"/>
      <c r="K31" s="798"/>
      <c r="L31" s="797"/>
      <c r="M31" s="796"/>
      <c r="N31" s="796"/>
      <c r="O31" s="796"/>
      <c r="P31" s="796"/>
      <c r="Q31" s="796"/>
      <c r="R31" s="796"/>
      <c r="T31" s="797"/>
      <c r="U31" s="796"/>
      <c r="V31" s="796"/>
      <c r="W31" s="796"/>
      <c r="X31" s="796"/>
      <c r="Y31" s="796"/>
      <c r="Z31" s="796"/>
      <c r="AB31" s="797"/>
      <c r="AC31" s="796"/>
      <c r="AD31" s="796"/>
      <c r="AE31" s="796"/>
      <c r="AF31" s="796"/>
      <c r="AG31" s="796"/>
      <c r="AH31" s="796"/>
      <c r="AI31" s="795"/>
    </row>
    <row r="32" spans="1:35" ht="18" customHeight="1">
      <c r="A32" s="2106"/>
      <c r="B32" s="2107"/>
      <c r="C32" s="801"/>
      <c r="D32" s="800"/>
      <c r="E32" s="800"/>
      <c r="F32" s="802"/>
      <c r="G32" s="799"/>
      <c r="H32" s="799"/>
      <c r="I32" s="798"/>
      <c r="J32" s="798"/>
      <c r="K32" s="798"/>
      <c r="L32" s="797"/>
      <c r="M32" s="796"/>
      <c r="N32" s="796"/>
      <c r="O32" s="796"/>
      <c r="P32" s="796"/>
      <c r="Q32" s="796"/>
      <c r="R32" s="796"/>
      <c r="T32" s="797"/>
      <c r="U32" s="796"/>
      <c r="V32" s="796"/>
      <c r="W32" s="796"/>
      <c r="X32" s="796"/>
      <c r="Y32" s="796"/>
      <c r="Z32" s="796"/>
      <c r="AB32" s="797"/>
      <c r="AC32" s="796"/>
      <c r="AD32" s="796"/>
      <c r="AE32" s="796"/>
      <c r="AF32" s="796"/>
      <c r="AG32" s="796"/>
      <c r="AH32" s="796"/>
      <c r="AI32" s="795"/>
    </row>
    <row r="33" spans="1:35" ht="18" customHeight="1">
      <c r="A33" s="2106"/>
      <c r="B33" s="2107"/>
      <c r="C33" s="801"/>
      <c r="D33" s="800"/>
      <c r="E33" s="800"/>
      <c r="F33" s="802"/>
      <c r="G33" s="799"/>
      <c r="H33" s="799"/>
      <c r="I33" s="798"/>
      <c r="J33" s="798"/>
      <c r="K33" s="798"/>
      <c r="L33" s="797"/>
      <c r="M33" s="796"/>
      <c r="N33" s="796"/>
      <c r="O33" s="796"/>
      <c r="P33" s="796"/>
      <c r="Q33" s="796"/>
      <c r="R33" s="796"/>
      <c r="T33" s="797"/>
      <c r="U33" s="796"/>
      <c r="V33" s="796"/>
      <c r="W33" s="796"/>
      <c r="X33" s="796"/>
      <c r="Y33" s="796"/>
      <c r="Z33" s="796"/>
      <c r="AB33" s="797"/>
      <c r="AC33" s="796"/>
      <c r="AD33" s="796"/>
      <c r="AE33" s="796"/>
      <c r="AF33" s="796"/>
      <c r="AG33" s="796"/>
      <c r="AH33" s="796"/>
      <c r="AI33" s="795"/>
    </row>
    <row r="34" spans="1:35" ht="18" customHeight="1">
      <c r="A34" s="2106"/>
      <c r="B34" s="2107"/>
      <c r="C34" s="801"/>
      <c r="D34" s="800"/>
      <c r="E34" s="800"/>
      <c r="F34" s="802"/>
      <c r="G34" s="799"/>
      <c r="H34" s="799"/>
      <c r="I34" s="798"/>
      <c r="J34" s="798"/>
      <c r="K34" s="798"/>
      <c r="L34" s="797"/>
      <c r="M34" s="796"/>
      <c r="N34" s="796"/>
      <c r="O34" s="796"/>
      <c r="P34" s="796"/>
      <c r="Q34" s="796"/>
      <c r="R34" s="796"/>
      <c r="T34" s="797"/>
      <c r="U34" s="796"/>
      <c r="V34" s="796"/>
      <c r="W34" s="796"/>
      <c r="X34" s="796"/>
      <c r="Y34" s="796"/>
      <c r="Z34" s="796"/>
      <c r="AB34" s="797"/>
      <c r="AC34" s="796"/>
      <c r="AD34" s="796"/>
      <c r="AE34" s="796"/>
      <c r="AF34" s="796"/>
      <c r="AG34" s="796"/>
      <c r="AH34" s="796"/>
      <c r="AI34" s="795"/>
    </row>
    <row r="35" spans="1:35" ht="18" customHeight="1">
      <c r="A35" s="2106"/>
      <c r="B35" s="2107"/>
      <c r="C35" s="801"/>
      <c r="D35" s="800"/>
      <c r="E35" s="800"/>
      <c r="F35" s="802"/>
      <c r="G35" s="799"/>
      <c r="H35" s="799"/>
      <c r="I35" s="798"/>
      <c r="J35" s="798"/>
      <c r="K35" s="798"/>
      <c r="L35" s="797"/>
      <c r="M35" s="796"/>
      <c r="N35" s="796"/>
      <c r="O35" s="796"/>
      <c r="P35" s="796"/>
      <c r="Q35" s="796"/>
      <c r="R35" s="796"/>
      <c r="T35" s="797"/>
      <c r="U35" s="796"/>
      <c r="V35" s="796"/>
      <c r="W35" s="796"/>
      <c r="X35" s="796"/>
      <c r="Y35" s="796"/>
      <c r="Z35" s="796"/>
      <c r="AB35" s="797"/>
      <c r="AC35" s="796"/>
      <c r="AD35" s="796"/>
      <c r="AE35" s="796"/>
      <c r="AF35" s="796"/>
      <c r="AG35" s="796"/>
      <c r="AH35" s="796"/>
      <c r="AI35" s="795"/>
    </row>
    <row r="36" spans="1:35" ht="18" customHeight="1">
      <c r="A36" s="2106"/>
      <c r="B36" s="2107"/>
      <c r="C36" s="801"/>
      <c r="D36" s="800"/>
      <c r="E36" s="800"/>
      <c r="F36" s="799"/>
      <c r="G36" s="799"/>
      <c r="H36" s="799"/>
      <c r="I36" s="798"/>
      <c r="J36" s="798"/>
      <c r="K36" s="798"/>
      <c r="L36" s="797"/>
      <c r="M36" s="796"/>
      <c r="N36" s="796"/>
      <c r="O36" s="796"/>
      <c r="P36" s="796"/>
      <c r="Q36" s="796"/>
      <c r="R36" s="796"/>
      <c r="T36" s="797"/>
      <c r="U36" s="796"/>
      <c r="V36" s="796"/>
      <c r="W36" s="796"/>
      <c r="X36" s="796"/>
      <c r="Y36" s="796"/>
      <c r="Z36" s="796"/>
      <c r="AB36" s="797"/>
      <c r="AC36" s="796"/>
      <c r="AD36" s="796"/>
      <c r="AE36" s="796"/>
      <c r="AF36" s="796"/>
      <c r="AG36" s="796"/>
      <c r="AH36" s="796"/>
      <c r="AI36" s="795"/>
    </row>
    <row r="37" spans="1:35" ht="18" customHeight="1">
      <c r="A37" s="2108"/>
      <c r="B37" s="2109"/>
      <c r="C37" s="794"/>
      <c r="D37" s="793"/>
      <c r="E37" s="793"/>
      <c r="F37" s="793"/>
      <c r="G37" s="793"/>
      <c r="H37" s="793"/>
      <c r="I37" s="793"/>
      <c r="J37" s="793"/>
      <c r="K37" s="793"/>
      <c r="L37" s="793"/>
      <c r="M37" s="793"/>
      <c r="N37" s="793"/>
      <c r="O37" s="793"/>
      <c r="P37" s="793"/>
      <c r="Q37" s="793"/>
      <c r="R37" s="793"/>
      <c r="S37" s="793"/>
      <c r="T37" s="793"/>
      <c r="U37" s="793"/>
      <c r="V37" s="793"/>
      <c r="W37" s="793"/>
      <c r="X37" s="793"/>
      <c r="Y37" s="793"/>
      <c r="Z37" s="793"/>
      <c r="AA37" s="793"/>
      <c r="AB37" s="793"/>
      <c r="AC37" s="793"/>
      <c r="AD37" s="793"/>
      <c r="AE37" s="793"/>
      <c r="AF37" s="793"/>
      <c r="AG37" s="793"/>
      <c r="AH37" s="793"/>
      <c r="AI37" s="792"/>
    </row>
    <row r="38" spans="1:35" ht="6" customHeight="1"/>
    <row r="39" spans="1:35" ht="18" customHeight="1">
      <c r="A39" s="791" t="s">
        <v>3258</v>
      </c>
      <c r="B39" s="790"/>
      <c r="C39" s="790"/>
      <c r="D39" s="790"/>
      <c r="E39" s="790"/>
      <c r="F39" s="790"/>
      <c r="G39" s="790"/>
      <c r="H39" s="790"/>
      <c r="I39" s="790"/>
      <c r="J39" s="790"/>
      <c r="K39" s="789"/>
      <c r="L39" s="2103" t="s">
        <v>3257</v>
      </c>
      <c r="M39" s="2104"/>
      <c r="N39" s="2104"/>
      <c r="O39" s="2104"/>
      <c r="P39" s="2104"/>
      <c r="Q39" s="2104"/>
      <c r="R39" s="2104"/>
      <c r="S39" s="2104"/>
      <c r="T39" s="2104"/>
      <c r="U39" s="2104"/>
      <c r="V39" s="2104"/>
      <c r="W39" s="2104"/>
      <c r="X39" s="2104"/>
      <c r="Y39" s="2104"/>
      <c r="Z39" s="2104"/>
      <c r="AA39" s="2104"/>
      <c r="AB39" s="2104"/>
      <c r="AC39" s="2104"/>
      <c r="AD39" s="2104"/>
      <c r="AE39" s="2104"/>
      <c r="AF39" s="2104"/>
      <c r="AG39" s="2104"/>
      <c r="AH39" s="2104"/>
      <c r="AI39" s="2105"/>
    </row>
    <row r="40" spans="1:35" ht="27.75" customHeight="1">
      <c r="A40" s="788"/>
      <c r="B40" s="785"/>
      <c r="C40" s="785"/>
      <c r="D40" s="785"/>
      <c r="E40" s="785"/>
      <c r="F40" s="785"/>
      <c r="G40" s="785"/>
      <c r="H40" s="785"/>
      <c r="I40" s="785"/>
      <c r="J40" s="785"/>
      <c r="K40" s="784"/>
      <c r="L40" s="787"/>
      <c r="M40" s="786"/>
      <c r="N40" s="786"/>
      <c r="O40" s="786"/>
      <c r="P40" s="786"/>
      <c r="Q40" s="786"/>
      <c r="R40" s="786"/>
      <c r="S40" s="786"/>
      <c r="T40" s="786"/>
      <c r="U40" s="785"/>
      <c r="V40" s="785"/>
      <c r="W40" s="785"/>
      <c r="X40" s="785"/>
      <c r="Y40" s="785"/>
      <c r="Z40" s="785"/>
      <c r="AA40" s="785"/>
      <c r="AB40" s="785"/>
      <c r="AC40" s="785"/>
      <c r="AD40" s="785"/>
      <c r="AE40" s="785"/>
      <c r="AF40" s="785"/>
      <c r="AG40" s="785"/>
      <c r="AH40" s="785"/>
      <c r="AI40" s="784"/>
    </row>
    <row r="41" spans="1:35" ht="27.75" customHeight="1">
      <c r="A41" s="783"/>
      <c r="B41" s="780"/>
      <c r="C41" s="780"/>
      <c r="D41" s="780"/>
      <c r="E41" s="780"/>
      <c r="F41" s="780"/>
      <c r="G41" s="780"/>
      <c r="H41" s="780"/>
      <c r="I41" s="780"/>
      <c r="J41" s="780"/>
      <c r="K41" s="779"/>
      <c r="L41" s="782"/>
      <c r="M41" s="781"/>
      <c r="N41" s="781"/>
      <c r="O41" s="781"/>
      <c r="P41" s="781"/>
      <c r="Q41" s="781"/>
      <c r="R41" s="781"/>
      <c r="S41" s="781"/>
      <c r="T41" s="781"/>
      <c r="U41" s="780"/>
      <c r="V41" s="780"/>
      <c r="W41" s="780"/>
      <c r="X41" s="780"/>
      <c r="Y41" s="780"/>
      <c r="Z41" s="780"/>
      <c r="AA41" s="780"/>
      <c r="AB41" s="780"/>
      <c r="AC41" s="780"/>
      <c r="AD41" s="780"/>
      <c r="AE41" s="780"/>
      <c r="AF41" s="780"/>
      <c r="AG41" s="780"/>
      <c r="AH41" s="780"/>
      <c r="AI41" s="779"/>
    </row>
    <row r="42" spans="1:35" ht="27.75" customHeight="1">
      <c r="A42" s="778"/>
      <c r="B42" s="777"/>
      <c r="C42" s="777"/>
      <c r="D42" s="777"/>
      <c r="E42" s="777"/>
      <c r="F42" s="777"/>
      <c r="G42" s="777"/>
      <c r="H42" s="777"/>
      <c r="I42" s="777"/>
      <c r="J42" s="777"/>
      <c r="K42" s="776"/>
      <c r="L42" s="778"/>
      <c r="M42" s="777"/>
      <c r="N42" s="777"/>
      <c r="O42" s="777"/>
      <c r="P42" s="777"/>
      <c r="Q42" s="777"/>
      <c r="R42" s="777"/>
      <c r="S42" s="777"/>
      <c r="T42" s="777"/>
      <c r="U42" s="777"/>
      <c r="V42" s="777"/>
      <c r="W42" s="777"/>
      <c r="X42" s="777"/>
      <c r="Y42" s="777"/>
      <c r="Z42" s="777"/>
      <c r="AA42" s="777"/>
      <c r="AB42" s="777"/>
      <c r="AC42" s="777"/>
      <c r="AD42" s="777"/>
      <c r="AE42" s="777"/>
      <c r="AF42" s="777"/>
      <c r="AG42" s="777"/>
      <c r="AH42" s="777"/>
      <c r="AI42" s="776"/>
    </row>
    <row r="43" spans="1:35" ht="18" customHeight="1">
      <c r="A43" s="775" t="s">
        <v>3253</v>
      </c>
    </row>
    <row r="44" spans="1:35" ht="18" customHeight="1">
      <c r="A44" s="774" t="s">
        <v>3327</v>
      </c>
    </row>
    <row r="45" spans="1:35" ht="18" customHeight="1">
      <c r="A45" s="774" t="s">
        <v>3326</v>
      </c>
    </row>
  </sheetData>
  <mergeCells count="14">
    <mergeCell ref="A3:AI3"/>
    <mergeCell ref="A4:AI4"/>
    <mergeCell ref="M17:AI17"/>
    <mergeCell ref="U12:AH12"/>
    <mergeCell ref="U11:AH11"/>
    <mergeCell ref="Y5:AI5"/>
    <mergeCell ref="L39:AI39"/>
    <mergeCell ref="A28:B37"/>
    <mergeCell ref="A20:B27"/>
    <mergeCell ref="A19:L19"/>
    <mergeCell ref="A18:L18"/>
    <mergeCell ref="AB18:AH18"/>
    <mergeCell ref="M18:W18"/>
    <mergeCell ref="M19:AI19"/>
  </mergeCells>
  <phoneticPr fontId="122"/>
  <printOptions horizontalCentered="1"/>
  <pageMargins left="0.98425196850393704" right="0.78740157480314965" top="0.39370078740157483" bottom="0.39370078740157483" header="0.51181102362204722" footer="0.51181102362204722"/>
  <pageSetup paperSize="9" orientation="portrait" blackAndWhite="1"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5050"/>
  </sheetPr>
  <dimension ref="B1:AS56"/>
  <sheetViews>
    <sheetView zoomScaleNormal="100" zoomScaleSheetLayoutView="100" workbookViewId="0">
      <selection activeCell="B1" sqref="B1"/>
    </sheetView>
  </sheetViews>
  <sheetFormatPr defaultColWidth="9" defaultRowHeight="13.2"/>
  <cols>
    <col min="1" max="1" width="0.6640625" style="658" customWidth="1"/>
    <col min="2" max="2" width="1.6640625" style="658" customWidth="1"/>
    <col min="3" max="3" width="2.6640625" style="658" customWidth="1"/>
    <col min="4" max="6" width="2.6640625" style="659" customWidth="1"/>
    <col min="7" max="21" width="2.6640625" style="658" customWidth="1"/>
    <col min="22" max="22" width="8.33203125" style="658" customWidth="1"/>
    <col min="23" max="25" width="2.6640625" style="658" customWidth="1"/>
    <col min="26" max="26" width="6" style="658" customWidth="1"/>
    <col min="27" max="38" width="2.6640625" style="658" customWidth="1"/>
    <col min="39" max="39" width="1.6640625" style="658" customWidth="1"/>
    <col min="40" max="40" width="1.77734375" style="658" customWidth="1"/>
    <col min="41" max="256" width="9" style="658" customWidth="1"/>
    <col min="257" max="257" width="0.6640625" style="658" customWidth="1"/>
    <col min="258" max="258" width="1.6640625" style="658" customWidth="1"/>
    <col min="259" max="294" width="2.6640625" style="658" customWidth="1"/>
    <col min="295" max="295" width="1.6640625" style="658" customWidth="1"/>
    <col min="296" max="296" width="1.77734375" style="658" customWidth="1"/>
    <col min="297" max="512" width="9" style="658" customWidth="1"/>
    <col min="513" max="513" width="0.6640625" style="658" customWidth="1"/>
    <col min="514" max="514" width="1.6640625" style="658" customWidth="1"/>
    <col min="515" max="550" width="2.6640625" style="658" customWidth="1"/>
    <col min="551" max="551" width="1.6640625" style="658" customWidth="1"/>
    <col min="552" max="552" width="1.77734375" style="658" customWidth="1"/>
    <col min="553" max="768" width="9" style="658" customWidth="1"/>
    <col min="769" max="769" width="0.6640625" style="658" customWidth="1"/>
    <col min="770" max="770" width="1.6640625" style="658" customWidth="1"/>
    <col min="771" max="806" width="2.6640625" style="658" customWidth="1"/>
    <col min="807" max="807" width="1.6640625" style="658" customWidth="1"/>
    <col min="808" max="808" width="1.77734375" style="658" customWidth="1"/>
    <col min="809" max="1024" width="9" style="658" customWidth="1"/>
    <col min="1025" max="1025" width="0.6640625" style="658" customWidth="1"/>
    <col min="1026" max="1026" width="1.6640625" style="658" customWidth="1"/>
    <col min="1027" max="1062" width="2.6640625" style="658" customWidth="1"/>
    <col min="1063" max="1063" width="1.6640625" style="658" customWidth="1"/>
    <col min="1064" max="1064" width="1.77734375" style="658" customWidth="1"/>
    <col min="1065" max="1280" width="9" style="658" customWidth="1"/>
    <col min="1281" max="1281" width="0.6640625" style="658" customWidth="1"/>
    <col min="1282" max="1282" width="1.6640625" style="658" customWidth="1"/>
    <col min="1283" max="1318" width="2.6640625" style="658" customWidth="1"/>
    <col min="1319" max="1319" width="1.6640625" style="658" customWidth="1"/>
    <col min="1320" max="1320" width="1.77734375" style="658" customWidth="1"/>
    <col min="1321" max="1536" width="9" style="658" customWidth="1"/>
    <col min="1537" max="1537" width="0.6640625" style="658" customWidth="1"/>
    <col min="1538" max="1538" width="1.6640625" style="658" customWidth="1"/>
    <col min="1539" max="1574" width="2.6640625" style="658" customWidth="1"/>
    <col min="1575" max="1575" width="1.6640625" style="658" customWidth="1"/>
    <col min="1576" max="1576" width="1.77734375" style="658" customWidth="1"/>
    <col min="1577" max="1792" width="9" style="658" customWidth="1"/>
    <col min="1793" max="1793" width="0.6640625" style="658" customWidth="1"/>
    <col min="1794" max="1794" width="1.6640625" style="658" customWidth="1"/>
    <col min="1795" max="1830" width="2.6640625" style="658" customWidth="1"/>
    <col min="1831" max="1831" width="1.6640625" style="658" customWidth="1"/>
    <col min="1832" max="1832" width="1.77734375" style="658" customWidth="1"/>
    <col min="1833" max="2048" width="9" style="658" customWidth="1"/>
    <col min="2049" max="2049" width="0.6640625" style="658" customWidth="1"/>
    <col min="2050" max="2050" width="1.6640625" style="658" customWidth="1"/>
    <col min="2051" max="2086" width="2.6640625" style="658" customWidth="1"/>
    <col min="2087" max="2087" width="1.6640625" style="658" customWidth="1"/>
    <col min="2088" max="2088" width="1.77734375" style="658" customWidth="1"/>
    <col min="2089" max="2304" width="9" style="658" customWidth="1"/>
    <col min="2305" max="2305" width="0.6640625" style="658" customWidth="1"/>
    <col min="2306" max="2306" width="1.6640625" style="658" customWidth="1"/>
    <col min="2307" max="2342" width="2.6640625" style="658" customWidth="1"/>
    <col min="2343" max="2343" width="1.6640625" style="658" customWidth="1"/>
    <col min="2344" max="2344" width="1.77734375" style="658" customWidth="1"/>
    <col min="2345" max="2560" width="9" style="658" customWidth="1"/>
    <col min="2561" max="2561" width="0.6640625" style="658" customWidth="1"/>
    <col min="2562" max="2562" width="1.6640625" style="658" customWidth="1"/>
    <col min="2563" max="2598" width="2.6640625" style="658" customWidth="1"/>
    <col min="2599" max="2599" width="1.6640625" style="658" customWidth="1"/>
    <col min="2600" max="2600" width="1.77734375" style="658" customWidth="1"/>
    <col min="2601" max="2816" width="9" style="658" customWidth="1"/>
    <col min="2817" max="2817" width="0.6640625" style="658" customWidth="1"/>
    <col min="2818" max="2818" width="1.6640625" style="658" customWidth="1"/>
    <col min="2819" max="2854" width="2.6640625" style="658" customWidth="1"/>
    <col min="2855" max="2855" width="1.6640625" style="658" customWidth="1"/>
    <col min="2856" max="2856" width="1.77734375" style="658" customWidth="1"/>
    <col min="2857" max="3072" width="9" style="658" customWidth="1"/>
    <col min="3073" max="3073" width="0.6640625" style="658" customWidth="1"/>
    <col min="3074" max="3074" width="1.6640625" style="658" customWidth="1"/>
    <col min="3075" max="3110" width="2.6640625" style="658" customWidth="1"/>
    <col min="3111" max="3111" width="1.6640625" style="658" customWidth="1"/>
    <col min="3112" max="3112" width="1.77734375" style="658" customWidth="1"/>
    <col min="3113" max="3328" width="9" style="658" customWidth="1"/>
    <col min="3329" max="3329" width="0.6640625" style="658" customWidth="1"/>
    <col min="3330" max="3330" width="1.6640625" style="658" customWidth="1"/>
    <col min="3331" max="3366" width="2.6640625" style="658" customWidth="1"/>
    <col min="3367" max="3367" width="1.6640625" style="658" customWidth="1"/>
    <col min="3368" max="3368" width="1.77734375" style="658" customWidth="1"/>
    <col min="3369" max="3584" width="9" style="658" customWidth="1"/>
    <col min="3585" max="3585" width="0.6640625" style="658" customWidth="1"/>
    <col min="3586" max="3586" width="1.6640625" style="658" customWidth="1"/>
    <col min="3587" max="3622" width="2.6640625" style="658" customWidth="1"/>
    <col min="3623" max="3623" width="1.6640625" style="658" customWidth="1"/>
    <col min="3624" max="3624" width="1.77734375" style="658" customWidth="1"/>
    <col min="3625" max="3840" width="9" style="658" customWidth="1"/>
    <col min="3841" max="3841" width="0.6640625" style="658" customWidth="1"/>
    <col min="3842" max="3842" width="1.6640625" style="658" customWidth="1"/>
    <col min="3843" max="3878" width="2.6640625" style="658" customWidth="1"/>
    <col min="3879" max="3879" width="1.6640625" style="658" customWidth="1"/>
    <col min="3880" max="3880" width="1.77734375" style="658" customWidth="1"/>
    <col min="3881" max="4096" width="9" style="658" customWidth="1"/>
    <col min="4097" max="4097" width="0.6640625" style="658" customWidth="1"/>
    <col min="4098" max="4098" width="1.6640625" style="658" customWidth="1"/>
    <col min="4099" max="4134" width="2.6640625" style="658" customWidth="1"/>
    <col min="4135" max="4135" width="1.6640625" style="658" customWidth="1"/>
    <col min="4136" max="4136" width="1.77734375" style="658" customWidth="1"/>
    <col min="4137" max="4352" width="9" style="658" customWidth="1"/>
    <col min="4353" max="4353" width="0.6640625" style="658" customWidth="1"/>
    <col min="4354" max="4354" width="1.6640625" style="658" customWidth="1"/>
    <col min="4355" max="4390" width="2.6640625" style="658" customWidth="1"/>
    <col min="4391" max="4391" width="1.6640625" style="658" customWidth="1"/>
    <col min="4392" max="4392" width="1.77734375" style="658" customWidth="1"/>
    <col min="4393" max="4608" width="9" style="658" customWidth="1"/>
    <col min="4609" max="4609" width="0.6640625" style="658" customWidth="1"/>
    <col min="4610" max="4610" width="1.6640625" style="658" customWidth="1"/>
    <col min="4611" max="4646" width="2.6640625" style="658" customWidth="1"/>
    <col min="4647" max="4647" width="1.6640625" style="658" customWidth="1"/>
    <col min="4648" max="4648" width="1.77734375" style="658" customWidth="1"/>
    <col min="4649" max="4864" width="9" style="658" customWidth="1"/>
    <col min="4865" max="4865" width="0.6640625" style="658" customWidth="1"/>
    <col min="4866" max="4866" width="1.6640625" style="658" customWidth="1"/>
    <col min="4867" max="4902" width="2.6640625" style="658" customWidth="1"/>
    <col min="4903" max="4903" width="1.6640625" style="658" customWidth="1"/>
    <col min="4904" max="4904" width="1.77734375" style="658" customWidth="1"/>
    <col min="4905" max="5120" width="9" style="658" customWidth="1"/>
    <col min="5121" max="5121" width="0.6640625" style="658" customWidth="1"/>
    <col min="5122" max="5122" width="1.6640625" style="658" customWidth="1"/>
    <col min="5123" max="5158" width="2.6640625" style="658" customWidth="1"/>
    <col min="5159" max="5159" width="1.6640625" style="658" customWidth="1"/>
    <col min="5160" max="5160" width="1.77734375" style="658" customWidth="1"/>
    <col min="5161" max="5376" width="9" style="658" customWidth="1"/>
    <col min="5377" max="5377" width="0.6640625" style="658" customWidth="1"/>
    <col min="5378" max="5378" width="1.6640625" style="658" customWidth="1"/>
    <col min="5379" max="5414" width="2.6640625" style="658" customWidth="1"/>
    <col min="5415" max="5415" width="1.6640625" style="658" customWidth="1"/>
    <col min="5416" max="5416" width="1.77734375" style="658" customWidth="1"/>
    <col min="5417" max="5632" width="9" style="658" customWidth="1"/>
    <col min="5633" max="5633" width="0.6640625" style="658" customWidth="1"/>
    <col min="5634" max="5634" width="1.6640625" style="658" customWidth="1"/>
    <col min="5635" max="5670" width="2.6640625" style="658" customWidth="1"/>
    <col min="5671" max="5671" width="1.6640625" style="658" customWidth="1"/>
    <col min="5672" max="5672" width="1.77734375" style="658" customWidth="1"/>
    <col min="5673" max="5888" width="9" style="658" customWidth="1"/>
    <col min="5889" max="5889" width="0.6640625" style="658" customWidth="1"/>
    <col min="5890" max="5890" width="1.6640625" style="658" customWidth="1"/>
    <col min="5891" max="5926" width="2.6640625" style="658" customWidth="1"/>
    <col min="5927" max="5927" width="1.6640625" style="658" customWidth="1"/>
    <col min="5928" max="5928" width="1.77734375" style="658" customWidth="1"/>
    <col min="5929" max="6144" width="9" style="658" customWidth="1"/>
    <col min="6145" max="6145" width="0.6640625" style="658" customWidth="1"/>
    <col min="6146" max="6146" width="1.6640625" style="658" customWidth="1"/>
    <col min="6147" max="6182" width="2.6640625" style="658" customWidth="1"/>
    <col min="6183" max="6183" width="1.6640625" style="658" customWidth="1"/>
    <col min="6184" max="6184" width="1.77734375" style="658" customWidth="1"/>
    <col min="6185" max="6400" width="9" style="658" customWidth="1"/>
    <col min="6401" max="6401" width="0.6640625" style="658" customWidth="1"/>
    <col min="6402" max="6402" width="1.6640625" style="658" customWidth="1"/>
    <col min="6403" max="6438" width="2.6640625" style="658" customWidth="1"/>
    <col min="6439" max="6439" width="1.6640625" style="658" customWidth="1"/>
    <col min="6440" max="6440" width="1.77734375" style="658" customWidth="1"/>
    <col min="6441" max="6656" width="9" style="658" customWidth="1"/>
    <col min="6657" max="6657" width="0.6640625" style="658" customWidth="1"/>
    <col min="6658" max="6658" width="1.6640625" style="658" customWidth="1"/>
    <col min="6659" max="6694" width="2.6640625" style="658" customWidth="1"/>
    <col min="6695" max="6695" width="1.6640625" style="658" customWidth="1"/>
    <col min="6696" max="6696" width="1.77734375" style="658" customWidth="1"/>
    <col min="6697" max="6912" width="9" style="658" customWidth="1"/>
    <col min="6913" max="6913" width="0.6640625" style="658" customWidth="1"/>
    <col min="6914" max="6914" width="1.6640625" style="658" customWidth="1"/>
    <col min="6915" max="6950" width="2.6640625" style="658" customWidth="1"/>
    <col min="6951" max="6951" width="1.6640625" style="658" customWidth="1"/>
    <col min="6952" max="6952" width="1.77734375" style="658" customWidth="1"/>
    <col min="6953" max="7168" width="9" style="658" customWidth="1"/>
    <col min="7169" max="7169" width="0.6640625" style="658" customWidth="1"/>
    <col min="7170" max="7170" width="1.6640625" style="658" customWidth="1"/>
    <col min="7171" max="7206" width="2.6640625" style="658" customWidth="1"/>
    <col min="7207" max="7207" width="1.6640625" style="658" customWidth="1"/>
    <col min="7208" max="7208" width="1.77734375" style="658" customWidth="1"/>
    <col min="7209" max="7424" width="9" style="658" customWidth="1"/>
    <col min="7425" max="7425" width="0.6640625" style="658" customWidth="1"/>
    <col min="7426" max="7426" width="1.6640625" style="658" customWidth="1"/>
    <col min="7427" max="7462" width="2.6640625" style="658" customWidth="1"/>
    <col min="7463" max="7463" width="1.6640625" style="658" customWidth="1"/>
    <col min="7464" max="7464" width="1.77734375" style="658" customWidth="1"/>
    <col min="7465" max="7680" width="9" style="658" customWidth="1"/>
    <col min="7681" max="7681" width="0.6640625" style="658" customWidth="1"/>
    <col min="7682" max="7682" width="1.6640625" style="658" customWidth="1"/>
    <col min="7683" max="7718" width="2.6640625" style="658" customWidth="1"/>
    <col min="7719" max="7719" width="1.6640625" style="658" customWidth="1"/>
    <col min="7720" max="7720" width="1.77734375" style="658" customWidth="1"/>
    <col min="7721" max="7936" width="9" style="658" customWidth="1"/>
    <col min="7937" max="7937" width="0.6640625" style="658" customWidth="1"/>
    <col min="7938" max="7938" width="1.6640625" style="658" customWidth="1"/>
    <col min="7939" max="7974" width="2.6640625" style="658" customWidth="1"/>
    <col min="7975" max="7975" width="1.6640625" style="658" customWidth="1"/>
    <col min="7976" max="7976" width="1.77734375" style="658" customWidth="1"/>
    <col min="7977" max="8192" width="9" style="658" customWidth="1"/>
    <col min="8193" max="8193" width="0.6640625" style="658" customWidth="1"/>
    <col min="8194" max="8194" width="1.6640625" style="658" customWidth="1"/>
    <col min="8195" max="8230" width="2.6640625" style="658" customWidth="1"/>
    <col min="8231" max="8231" width="1.6640625" style="658" customWidth="1"/>
    <col min="8232" max="8232" width="1.77734375" style="658" customWidth="1"/>
    <col min="8233" max="8448" width="9" style="658" customWidth="1"/>
    <col min="8449" max="8449" width="0.6640625" style="658" customWidth="1"/>
    <col min="8450" max="8450" width="1.6640625" style="658" customWidth="1"/>
    <col min="8451" max="8486" width="2.6640625" style="658" customWidth="1"/>
    <col min="8487" max="8487" width="1.6640625" style="658" customWidth="1"/>
    <col min="8488" max="8488" width="1.77734375" style="658" customWidth="1"/>
    <col min="8489" max="8704" width="9" style="658" customWidth="1"/>
    <col min="8705" max="8705" width="0.6640625" style="658" customWidth="1"/>
    <col min="8706" max="8706" width="1.6640625" style="658" customWidth="1"/>
    <col min="8707" max="8742" width="2.6640625" style="658" customWidth="1"/>
    <col min="8743" max="8743" width="1.6640625" style="658" customWidth="1"/>
    <col min="8744" max="8744" width="1.77734375" style="658" customWidth="1"/>
    <col min="8745" max="8960" width="9" style="658" customWidth="1"/>
    <col min="8961" max="8961" width="0.6640625" style="658" customWidth="1"/>
    <col min="8962" max="8962" width="1.6640625" style="658" customWidth="1"/>
    <col min="8963" max="8998" width="2.6640625" style="658" customWidth="1"/>
    <col min="8999" max="8999" width="1.6640625" style="658" customWidth="1"/>
    <col min="9000" max="9000" width="1.77734375" style="658" customWidth="1"/>
    <col min="9001" max="9216" width="9" style="658" customWidth="1"/>
    <col min="9217" max="9217" width="0.6640625" style="658" customWidth="1"/>
    <col min="9218" max="9218" width="1.6640625" style="658" customWidth="1"/>
    <col min="9219" max="9254" width="2.6640625" style="658" customWidth="1"/>
    <col min="9255" max="9255" width="1.6640625" style="658" customWidth="1"/>
    <col min="9256" max="9256" width="1.77734375" style="658" customWidth="1"/>
    <col min="9257" max="9472" width="9" style="658" customWidth="1"/>
    <col min="9473" max="9473" width="0.6640625" style="658" customWidth="1"/>
    <col min="9474" max="9474" width="1.6640625" style="658" customWidth="1"/>
    <col min="9475" max="9510" width="2.6640625" style="658" customWidth="1"/>
    <col min="9511" max="9511" width="1.6640625" style="658" customWidth="1"/>
    <col min="9512" max="9512" width="1.77734375" style="658" customWidth="1"/>
    <col min="9513" max="9728" width="9" style="658" customWidth="1"/>
    <col min="9729" max="9729" width="0.6640625" style="658" customWidth="1"/>
    <col min="9730" max="9730" width="1.6640625" style="658" customWidth="1"/>
    <col min="9731" max="9766" width="2.6640625" style="658" customWidth="1"/>
    <col min="9767" max="9767" width="1.6640625" style="658" customWidth="1"/>
    <col min="9768" max="9768" width="1.77734375" style="658" customWidth="1"/>
    <col min="9769" max="9984" width="9" style="658" customWidth="1"/>
    <col min="9985" max="9985" width="0.6640625" style="658" customWidth="1"/>
    <col min="9986" max="9986" width="1.6640625" style="658" customWidth="1"/>
    <col min="9987" max="10022" width="2.6640625" style="658" customWidth="1"/>
    <col min="10023" max="10023" width="1.6640625" style="658" customWidth="1"/>
    <col min="10024" max="10024" width="1.77734375" style="658" customWidth="1"/>
    <col min="10025" max="10240" width="9" style="658" customWidth="1"/>
    <col min="10241" max="10241" width="0.6640625" style="658" customWidth="1"/>
    <col min="10242" max="10242" width="1.6640625" style="658" customWidth="1"/>
    <col min="10243" max="10278" width="2.6640625" style="658" customWidth="1"/>
    <col min="10279" max="10279" width="1.6640625" style="658" customWidth="1"/>
    <col min="10280" max="10280" width="1.77734375" style="658" customWidth="1"/>
    <col min="10281" max="10496" width="9" style="658" customWidth="1"/>
    <col min="10497" max="10497" width="0.6640625" style="658" customWidth="1"/>
    <col min="10498" max="10498" width="1.6640625" style="658" customWidth="1"/>
    <col min="10499" max="10534" width="2.6640625" style="658" customWidth="1"/>
    <col min="10535" max="10535" width="1.6640625" style="658" customWidth="1"/>
    <col min="10536" max="10536" width="1.77734375" style="658" customWidth="1"/>
    <col min="10537" max="10752" width="9" style="658" customWidth="1"/>
    <col min="10753" max="10753" width="0.6640625" style="658" customWidth="1"/>
    <col min="10754" max="10754" width="1.6640625" style="658" customWidth="1"/>
    <col min="10755" max="10790" width="2.6640625" style="658" customWidth="1"/>
    <col min="10791" max="10791" width="1.6640625" style="658" customWidth="1"/>
    <col min="10792" max="10792" width="1.77734375" style="658" customWidth="1"/>
    <col min="10793" max="11008" width="9" style="658" customWidth="1"/>
    <col min="11009" max="11009" width="0.6640625" style="658" customWidth="1"/>
    <col min="11010" max="11010" width="1.6640625" style="658" customWidth="1"/>
    <col min="11011" max="11046" width="2.6640625" style="658" customWidth="1"/>
    <col min="11047" max="11047" width="1.6640625" style="658" customWidth="1"/>
    <col min="11048" max="11048" width="1.77734375" style="658" customWidth="1"/>
    <col min="11049" max="11264" width="9" style="658" customWidth="1"/>
    <col min="11265" max="11265" width="0.6640625" style="658" customWidth="1"/>
    <col min="11266" max="11266" width="1.6640625" style="658" customWidth="1"/>
    <col min="11267" max="11302" width="2.6640625" style="658" customWidth="1"/>
    <col min="11303" max="11303" width="1.6640625" style="658" customWidth="1"/>
    <col min="11304" max="11304" width="1.77734375" style="658" customWidth="1"/>
    <col min="11305" max="11520" width="9" style="658" customWidth="1"/>
    <col min="11521" max="11521" width="0.6640625" style="658" customWidth="1"/>
    <col min="11522" max="11522" width="1.6640625" style="658" customWidth="1"/>
    <col min="11523" max="11558" width="2.6640625" style="658" customWidth="1"/>
    <col min="11559" max="11559" width="1.6640625" style="658" customWidth="1"/>
    <col min="11560" max="11560" width="1.77734375" style="658" customWidth="1"/>
    <col min="11561" max="11776" width="9" style="658" customWidth="1"/>
    <col min="11777" max="11777" width="0.6640625" style="658" customWidth="1"/>
    <col min="11778" max="11778" width="1.6640625" style="658" customWidth="1"/>
    <col min="11779" max="11814" width="2.6640625" style="658" customWidth="1"/>
    <col min="11815" max="11815" width="1.6640625" style="658" customWidth="1"/>
    <col min="11816" max="11816" width="1.77734375" style="658" customWidth="1"/>
    <col min="11817" max="12032" width="9" style="658" customWidth="1"/>
    <col min="12033" max="12033" width="0.6640625" style="658" customWidth="1"/>
    <col min="12034" max="12034" width="1.6640625" style="658" customWidth="1"/>
    <col min="12035" max="12070" width="2.6640625" style="658" customWidth="1"/>
    <col min="12071" max="12071" width="1.6640625" style="658" customWidth="1"/>
    <col min="12072" max="12072" width="1.77734375" style="658" customWidth="1"/>
    <col min="12073" max="12288" width="9" style="658" customWidth="1"/>
    <col min="12289" max="12289" width="0.6640625" style="658" customWidth="1"/>
    <col min="12290" max="12290" width="1.6640625" style="658" customWidth="1"/>
    <col min="12291" max="12326" width="2.6640625" style="658" customWidth="1"/>
    <col min="12327" max="12327" width="1.6640625" style="658" customWidth="1"/>
    <col min="12328" max="12328" width="1.77734375" style="658" customWidth="1"/>
    <col min="12329" max="12544" width="9" style="658" customWidth="1"/>
    <col min="12545" max="12545" width="0.6640625" style="658" customWidth="1"/>
    <col min="12546" max="12546" width="1.6640625" style="658" customWidth="1"/>
    <col min="12547" max="12582" width="2.6640625" style="658" customWidth="1"/>
    <col min="12583" max="12583" width="1.6640625" style="658" customWidth="1"/>
    <col min="12584" max="12584" width="1.77734375" style="658" customWidth="1"/>
    <col min="12585" max="12800" width="9" style="658" customWidth="1"/>
    <col min="12801" max="12801" width="0.6640625" style="658" customWidth="1"/>
    <col min="12802" max="12802" width="1.6640625" style="658" customWidth="1"/>
    <col min="12803" max="12838" width="2.6640625" style="658" customWidth="1"/>
    <col min="12839" max="12839" width="1.6640625" style="658" customWidth="1"/>
    <col min="12840" max="12840" width="1.77734375" style="658" customWidth="1"/>
    <col min="12841" max="13056" width="9" style="658" customWidth="1"/>
    <col min="13057" max="13057" width="0.6640625" style="658" customWidth="1"/>
    <col min="13058" max="13058" width="1.6640625" style="658" customWidth="1"/>
    <col min="13059" max="13094" width="2.6640625" style="658" customWidth="1"/>
    <col min="13095" max="13095" width="1.6640625" style="658" customWidth="1"/>
    <col min="13096" max="13096" width="1.77734375" style="658" customWidth="1"/>
    <col min="13097" max="13312" width="9" style="658" customWidth="1"/>
    <col min="13313" max="13313" width="0.6640625" style="658" customWidth="1"/>
    <col min="13314" max="13314" width="1.6640625" style="658" customWidth="1"/>
    <col min="13315" max="13350" width="2.6640625" style="658" customWidth="1"/>
    <col min="13351" max="13351" width="1.6640625" style="658" customWidth="1"/>
    <col min="13352" max="13352" width="1.77734375" style="658" customWidth="1"/>
    <col min="13353" max="13568" width="9" style="658" customWidth="1"/>
    <col min="13569" max="13569" width="0.6640625" style="658" customWidth="1"/>
    <col min="13570" max="13570" width="1.6640625" style="658" customWidth="1"/>
    <col min="13571" max="13606" width="2.6640625" style="658" customWidth="1"/>
    <col min="13607" max="13607" width="1.6640625" style="658" customWidth="1"/>
    <col min="13608" max="13608" width="1.77734375" style="658" customWidth="1"/>
    <col min="13609" max="13824" width="9" style="658" customWidth="1"/>
    <col min="13825" max="13825" width="0.6640625" style="658" customWidth="1"/>
    <col min="13826" max="13826" width="1.6640625" style="658" customWidth="1"/>
    <col min="13827" max="13862" width="2.6640625" style="658" customWidth="1"/>
    <col min="13863" max="13863" width="1.6640625" style="658" customWidth="1"/>
    <col min="13864" max="13864" width="1.77734375" style="658" customWidth="1"/>
    <col min="13865" max="14080" width="9" style="658" customWidth="1"/>
    <col min="14081" max="14081" width="0.6640625" style="658" customWidth="1"/>
    <col min="14082" max="14082" width="1.6640625" style="658" customWidth="1"/>
    <col min="14083" max="14118" width="2.6640625" style="658" customWidth="1"/>
    <col min="14119" max="14119" width="1.6640625" style="658" customWidth="1"/>
    <col min="14120" max="14120" width="1.77734375" style="658" customWidth="1"/>
    <col min="14121" max="14336" width="9" style="658" customWidth="1"/>
    <col min="14337" max="14337" width="0.6640625" style="658" customWidth="1"/>
    <col min="14338" max="14338" width="1.6640625" style="658" customWidth="1"/>
    <col min="14339" max="14374" width="2.6640625" style="658" customWidth="1"/>
    <col min="14375" max="14375" width="1.6640625" style="658" customWidth="1"/>
    <col min="14376" max="14376" width="1.77734375" style="658" customWidth="1"/>
    <col min="14377" max="14592" width="9" style="658" customWidth="1"/>
    <col min="14593" max="14593" width="0.6640625" style="658" customWidth="1"/>
    <col min="14594" max="14594" width="1.6640625" style="658" customWidth="1"/>
    <col min="14595" max="14630" width="2.6640625" style="658" customWidth="1"/>
    <col min="14631" max="14631" width="1.6640625" style="658" customWidth="1"/>
    <col min="14632" max="14632" width="1.77734375" style="658" customWidth="1"/>
    <col min="14633" max="14848" width="9" style="658" customWidth="1"/>
    <col min="14849" max="14849" width="0.6640625" style="658" customWidth="1"/>
    <col min="14850" max="14850" width="1.6640625" style="658" customWidth="1"/>
    <col min="14851" max="14886" width="2.6640625" style="658" customWidth="1"/>
    <col min="14887" max="14887" width="1.6640625" style="658" customWidth="1"/>
    <col min="14888" max="14888" width="1.77734375" style="658" customWidth="1"/>
    <col min="14889" max="15104" width="9" style="658" customWidth="1"/>
    <col min="15105" max="15105" width="0.6640625" style="658" customWidth="1"/>
    <col min="15106" max="15106" width="1.6640625" style="658" customWidth="1"/>
    <col min="15107" max="15142" width="2.6640625" style="658" customWidth="1"/>
    <col min="15143" max="15143" width="1.6640625" style="658" customWidth="1"/>
    <col min="15144" max="15144" width="1.77734375" style="658" customWidth="1"/>
    <col min="15145" max="15360" width="9" style="658" customWidth="1"/>
    <col min="15361" max="15361" width="0.6640625" style="658" customWidth="1"/>
    <col min="15362" max="15362" width="1.6640625" style="658" customWidth="1"/>
    <col min="15363" max="15398" width="2.6640625" style="658" customWidth="1"/>
    <col min="15399" max="15399" width="1.6640625" style="658" customWidth="1"/>
    <col min="15400" max="15400" width="1.77734375" style="658" customWidth="1"/>
    <col min="15401" max="15616" width="9" style="658" customWidth="1"/>
    <col min="15617" max="15617" width="0.6640625" style="658" customWidth="1"/>
    <col min="15618" max="15618" width="1.6640625" style="658" customWidth="1"/>
    <col min="15619" max="15654" width="2.6640625" style="658" customWidth="1"/>
    <col min="15655" max="15655" width="1.6640625" style="658" customWidth="1"/>
    <col min="15656" max="15656" width="1.77734375" style="658" customWidth="1"/>
    <col min="15657" max="15872" width="9" style="658" customWidth="1"/>
    <col min="15873" max="15873" width="0.6640625" style="658" customWidth="1"/>
    <col min="15874" max="15874" width="1.6640625" style="658" customWidth="1"/>
    <col min="15875" max="15910" width="2.6640625" style="658" customWidth="1"/>
    <col min="15911" max="15911" width="1.6640625" style="658" customWidth="1"/>
    <col min="15912" max="15912" width="1.77734375" style="658" customWidth="1"/>
    <col min="15913" max="16128" width="9" style="658" customWidth="1"/>
    <col min="16129" max="16129" width="0.6640625" style="658" customWidth="1"/>
    <col min="16130" max="16130" width="1.6640625" style="658" customWidth="1"/>
    <col min="16131" max="16166" width="2.6640625" style="658" customWidth="1"/>
    <col min="16167" max="16167" width="1.6640625" style="658" customWidth="1"/>
    <col min="16168" max="16168" width="1.77734375" style="658" customWidth="1"/>
    <col min="16169" max="16384" width="9" style="658" customWidth="1"/>
  </cols>
  <sheetData>
    <row r="1" spans="2:40" ht="14.4">
      <c r="B1" s="726"/>
      <c r="C1" s="726"/>
      <c r="D1" s="727"/>
      <c r="E1" s="727"/>
      <c r="F1" s="727"/>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660"/>
    </row>
    <row r="2" spans="2:40" ht="14.4">
      <c r="B2" s="725"/>
      <c r="C2" s="723"/>
      <c r="D2" s="724"/>
      <c r="E2" s="724"/>
      <c r="F2" s="724"/>
      <c r="G2" s="723"/>
      <c r="H2" s="723"/>
      <c r="I2" s="723"/>
      <c r="J2" s="723"/>
      <c r="K2" s="723"/>
      <c r="L2" s="723"/>
      <c r="M2" s="723"/>
      <c r="N2" s="723"/>
      <c r="O2" s="723"/>
      <c r="P2" s="723"/>
      <c r="Q2" s="723"/>
      <c r="R2" s="723"/>
      <c r="S2" s="723"/>
      <c r="T2" s="723"/>
      <c r="U2" s="723"/>
      <c r="V2" s="723"/>
      <c r="W2" s="723"/>
      <c r="X2" s="723"/>
      <c r="Y2" s="723"/>
      <c r="Z2" s="722"/>
      <c r="AA2" s="722"/>
      <c r="AB2" s="722"/>
      <c r="AC2" s="722"/>
      <c r="AD2" s="722"/>
      <c r="AE2" s="722"/>
      <c r="AF2" s="722"/>
      <c r="AG2" s="722"/>
      <c r="AH2" s="722"/>
      <c r="AI2" s="722"/>
      <c r="AJ2" s="722"/>
      <c r="AK2" s="722"/>
      <c r="AL2" s="722"/>
      <c r="AM2" s="721"/>
      <c r="AN2" s="716"/>
    </row>
    <row r="3" spans="2:40" ht="23.4">
      <c r="B3" s="2160" t="s">
        <v>3354</v>
      </c>
      <c r="C3" s="2161"/>
      <c r="D3" s="2161"/>
      <c r="E3" s="2161"/>
      <c r="F3" s="2161"/>
      <c r="G3" s="2161"/>
      <c r="H3" s="2161"/>
      <c r="I3" s="2161"/>
      <c r="J3" s="2161"/>
      <c r="K3" s="2161"/>
      <c r="L3" s="2161"/>
      <c r="M3" s="2161"/>
      <c r="N3" s="2161"/>
      <c r="O3" s="2161"/>
      <c r="P3" s="2161"/>
      <c r="Q3" s="2161"/>
      <c r="R3" s="2161"/>
      <c r="S3" s="2161"/>
      <c r="T3" s="2161"/>
      <c r="U3" s="2161"/>
      <c r="V3" s="2161"/>
      <c r="W3" s="2161"/>
      <c r="X3" s="2161"/>
      <c r="Y3" s="2161"/>
      <c r="Z3" s="2161"/>
      <c r="AA3" s="2161"/>
      <c r="AB3" s="2161"/>
      <c r="AC3" s="2161"/>
      <c r="AD3" s="2161"/>
      <c r="AE3" s="2161"/>
      <c r="AF3" s="2161"/>
      <c r="AG3" s="2161"/>
      <c r="AH3" s="2161"/>
      <c r="AI3" s="2161"/>
      <c r="AJ3" s="2161"/>
      <c r="AK3" s="2161"/>
      <c r="AL3" s="2161"/>
      <c r="AM3" s="2162"/>
      <c r="AN3" s="720"/>
    </row>
    <row r="4" spans="2:40" ht="8.25" customHeight="1">
      <c r="B4" s="719"/>
      <c r="C4" s="716"/>
      <c r="D4" s="718"/>
      <c r="E4" s="718"/>
      <c r="F4" s="717"/>
      <c r="G4" s="716"/>
      <c r="H4" s="716"/>
      <c r="I4" s="716"/>
      <c r="J4" s="716"/>
      <c r="K4" s="716"/>
      <c r="L4" s="716"/>
      <c r="M4" s="716"/>
      <c r="N4" s="716"/>
      <c r="O4" s="716"/>
      <c r="P4" s="716"/>
      <c r="Q4" s="716"/>
      <c r="R4" s="716"/>
      <c r="S4" s="716"/>
      <c r="T4" s="716"/>
      <c r="U4" s="716"/>
      <c r="V4" s="716"/>
      <c r="W4" s="716"/>
      <c r="X4" s="716"/>
      <c r="Y4" s="716"/>
      <c r="Z4" s="716"/>
      <c r="AA4" s="716"/>
      <c r="AB4" s="716"/>
      <c r="AC4" s="716"/>
      <c r="AD4" s="716"/>
      <c r="AE4" s="716"/>
      <c r="AF4" s="716"/>
      <c r="AG4" s="716"/>
      <c r="AH4" s="716"/>
      <c r="AI4" s="716"/>
      <c r="AJ4" s="716"/>
      <c r="AK4" s="716"/>
      <c r="AL4" s="716"/>
      <c r="AM4" s="715"/>
      <c r="AN4" s="714"/>
    </row>
    <row r="5" spans="2:40" ht="25.5" customHeight="1">
      <c r="B5" s="713"/>
      <c r="C5" s="711"/>
      <c r="D5" s="2163" t="s">
        <v>3353</v>
      </c>
      <c r="E5" s="2163"/>
      <c r="F5" s="2163"/>
      <c r="G5" s="2164"/>
      <c r="H5" s="2165" t="str">
        <f>cst_wsecoteki_BUILD_NAME</f>
        <v/>
      </c>
      <c r="I5" s="2166"/>
      <c r="J5" s="2166"/>
      <c r="K5" s="2166"/>
      <c r="L5" s="2166"/>
      <c r="M5" s="2166"/>
      <c r="N5" s="2166"/>
      <c r="O5" s="2166"/>
      <c r="P5" s="2166"/>
      <c r="Q5" s="2166"/>
      <c r="R5" s="2166"/>
      <c r="S5" s="2166"/>
      <c r="T5" s="2166"/>
      <c r="U5" s="2166"/>
      <c r="V5" s="2166"/>
      <c r="W5" s="2166"/>
      <c r="X5" s="2166"/>
      <c r="Y5" s="2166"/>
      <c r="Z5" s="2166"/>
      <c r="AA5" s="2166"/>
      <c r="AB5" s="2166"/>
      <c r="AC5" s="2166"/>
      <c r="AD5" s="2166"/>
      <c r="AE5" s="2166"/>
      <c r="AF5" s="2166"/>
      <c r="AG5" s="2166"/>
      <c r="AH5" s="2166"/>
      <c r="AI5" s="2166"/>
      <c r="AJ5" s="2166"/>
      <c r="AK5" s="2166"/>
      <c r="AL5" s="2167"/>
      <c r="AM5" s="712"/>
      <c r="AN5" s="711"/>
    </row>
    <row r="6" spans="2:40" ht="21.75" customHeight="1">
      <c r="B6" s="670"/>
      <c r="C6" s="662"/>
      <c r="D6" s="710"/>
      <c r="E6" s="710"/>
      <c r="F6" s="709"/>
      <c r="G6" s="706"/>
      <c r="H6" s="2168" t="s">
        <v>3352</v>
      </c>
      <c r="I6" s="2168"/>
      <c r="J6" s="2168"/>
      <c r="K6" s="2168"/>
      <c r="L6" s="2168"/>
      <c r="M6" s="2168"/>
      <c r="N6" s="2169" t="s">
        <v>3351</v>
      </c>
      <c r="O6" s="2169"/>
      <c r="P6" s="2169"/>
      <c r="Q6" s="707" t="s">
        <v>3350</v>
      </c>
      <c r="R6" s="707"/>
      <c r="S6" s="707"/>
      <c r="T6" s="707"/>
      <c r="U6" s="707"/>
      <c r="V6" s="708" t="s">
        <v>3347</v>
      </c>
      <c r="W6" s="707" t="s">
        <v>3349</v>
      </c>
      <c r="X6" s="707" t="s">
        <v>3348</v>
      </c>
      <c r="Y6" s="707"/>
      <c r="Z6" s="707"/>
      <c r="AA6" s="2169" t="s">
        <v>3347</v>
      </c>
      <c r="AB6" s="2169"/>
      <c r="AC6" s="2169"/>
      <c r="AD6" s="707" t="s">
        <v>3346</v>
      </c>
      <c r="AE6" s="707"/>
      <c r="AF6" s="707"/>
      <c r="AG6" s="707"/>
      <c r="AH6" s="2148"/>
      <c r="AI6" s="2148"/>
      <c r="AJ6" s="2148"/>
      <c r="AK6" s="707" t="s">
        <v>3345</v>
      </c>
      <c r="AL6" s="706"/>
      <c r="AM6" s="705"/>
      <c r="AN6" s="662"/>
    </row>
    <row r="7" spans="2:40" ht="20.100000000000001" customHeight="1" thickBot="1">
      <c r="B7" s="670"/>
      <c r="C7" s="676" t="s">
        <v>3344</v>
      </c>
      <c r="D7" s="704"/>
      <c r="E7" s="704"/>
      <c r="F7" s="703"/>
      <c r="G7" s="702"/>
      <c r="H7" s="702"/>
      <c r="I7" s="702"/>
      <c r="J7" s="702"/>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01"/>
      <c r="AJ7" s="701"/>
      <c r="AK7" s="701"/>
      <c r="AL7" s="701"/>
      <c r="AM7" s="695"/>
      <c r="AN7" s="662"/>
    </row>
    <row r="8" spans="2:40" ht="20.100000000000001" customHeight="1">
      <c r="B8" s="670"/>
      <c r="C8" s="2149" t="s">
        <v>2677</v>
      </c>
      <c r="D8" s="2129" t="s">
        <v>35</v>
      </c>
      <c r="E8" s="2129"/>
      <c r="F8" s="2129"/>
      <c r="G8" s="2129"/>
      <c r="H8" s="2152"/>
      <c r="I8" s="2153"/>
      <c r="J8" s="2153"/>
      <c r="K8" s="2153"/>
      <c r="L8" s="2153"/>
      <c r="M8" s="2153"/>
      <c r="N8" s="2153"/>
      <c r="O8" s="2153"/>
      <c r="P8" s="2153"/>
      <c r="Q8" s="2153"/>
      <c r="R8" s="2153"/>
      <c r="S8" s="2153"/>
      <c r="T8" s="2153"/>
      <c r="U8" s="2153"/>
      <c r="V8" s="2154"/>
      <c r="W8" s="2129" t="s">
        <v>3335</v>
      </c>
      <c r="X8" s="2129"/>
      <c r="Y8" s="2129"/>
      <c r="Z8" s="2129"/>
      <c r="AA8" s="2130"/>
      <c r="AB8" s="2131"/>
      <c r="AC8" s="2131"/>
      <c r="AD8" s="2131"/>
      <c r="AE8" s="2131"/>
      <c r="AF8" s="2131"/>
      <c r="AG8" s="2131"/>
      <c r="AH8" s="2131"/>
      <c r="AI8" s="2131"/>
      <c r="AJ8" s="2131"/>
      <c r="AK8" s="2131"/>
      <c r="AL8" s="2132"/>
      <c r="AM8" s="669"/>
      <c r="AN8" s="662"/>
    </row>
    <row r="9" spans="2:40" ht="20.100000000000001" customHeight="1">
      <c r="B9" s="670"/>
      <c r="C9" s="2150"/>
      <c r="D9" s="2133" t="s">
        <v>9</v>
      </c>
      <c r="E9" s="2134"/>
      <c r="F9" s="2134"/>
      <c r="G9" s="2135"/>
      <c r="H9" s="694"/>
      <c r="I9" s="2139"/>
      <c r="J9" s="2139"/>
      <c r="K9" s="2139"/>
      <c r="L9" s="2140"/>
      <c r="M9" s="693"/>
      <c r="N9" s="693"/>
      <c r="O9" s="693"/>
      <c r="P9" s="693"/>
      <c r="Q9" s="693"/>
      <c r="R9" s="693"/>
      <c r="S9" s="693"/>
      <c r="T9" s="693"/>
      <c r="U9" s="693"/>
      <c r="V9" s="692"/>
      <c r="W9" s="2141" t="s">
        <v>3338</v>
      </c>
      <c r="X9" s="2142"/>
      <c r="Y9" s="2142"/>
      <c r="Z9" s="2142"/>
      <c r="AA9" s="2143"/>
      <c r="AB9" s="2139"/>
      <c r="AC9" s="2139"/>
      <c r="AD9" s="2139"/>
      <c r="AE9" s="2139"/>
      <c r="AF9" s="2139"/>
      <c r="AG9" s="2139"/>
      <c r="AH9" s="2139"/>
      <c r="AI9" s="2139"/>
      <c r="AJ9" s="2139"/>
      <c r="AK9" s="2139"/>
      <c r="AL9" s="2144"/>
      <c r="AM9" s="669"/>
      <c r="AN9" s="662"/>
    </row>
    <row r="10" spans="2:40" ht="20.100000000000001" customHeight="1" thickBot="1">
      <c r="B10" s="670"/>
      <c r="C10" s="2151"/>
      <c r="D10" s="2136"/>
      <c r="E10" s="2137"/>
      <c r="F10" s="2137"/>
      <c r="G10" s="2138"/>
      <c r="H10" s="2145"/>
      <c r="I10" s="2146"/>
      <c r="J10" s="2146"/>
      <c r="K10" s="2146"/>
      <c r="L10" s="2146"/>
      <c r="M10" s="2146"/>
      <c r="N10" s="2146"/>
      <c r="O10" s="2146"/>
      <c r="P10" s="2146"/>
      <c r="Q10" s="2146"/>
      <c r="R10" s="2146"/>
      <c r="S10" s="2146"/>
      <c r="T10" s="2146"/>
      <c r="U10" s="2146"/>
      <c r="V10" s="2147"/>
      <c r="W10" s="2155" t="s">
        <v>3343</v>
      </c>
      <c r="X10" s="2155"/>
      <c r="Y10" s="2155"/>
      <c r="Z10" s="2155"/>
      <c r="AA10" s="2156">
        <v>100</v>
      </c>
      <c r="AB10" s="2157"/>
      <c r="AC10" s="2157"/>
      <c r="AD10" s="2157"/>
      <c r="AE10" s="2156" t="s">
        <v>3342</v>
      </c>
      <c r="AF10" s="2157"/>
      <c r="AG10" s="2157"/>
      <c r="AH10" s="2158"/>
      <c r="AI10" s="2157">
        <v>100</v>
      </c>
      <c r="AJ10" s="2157"/>
      <c r="AK10" s="2157"/>
      <c r="AL10" s="2159"/>
      <c r="AM10" s="669"/>
      <c r="AN10" s="662"/>
    </row>
    <row r="11" spans="2:40" ht="20.100000000000001" customHeight="1">
      <c r="B11" s="670"/>
      <c r="C11" s="2149" t="s">
        <v>2678</v>
      </c>
      <c r="D11" s="2129" t="s">
        <v>35</v>
      </c>
      <c r="E11" s="2129"/>
      <c r="F11" s="2129"/>
      <c r="G11" s="2129"/>
      <c r="H11" s="2152"/>
      <c r="I11" s="2153"/>
      <c r="J11" s="2153"/>
      <c r="K11" s="2153"/>
      <c r="L11" s="2153"/>
      <c r="M11" s="2153"/>
      <c r="N11" s="2153"/>
      <c r="O11" s="2153"/>
      <c r="P11" s="2153"/>
      <c r="Q11" s="2153"/>
      <c r="R11" s="2153"/>
      <c r="S11" s="2153"/>
      <c r="T11" s="2153"/>
      <c r="U11" s="2153"/>
      <c r="V11" s="2154"/>
      <c r="W11" s="2129" t="s">
        <v>3335</v>
      </c>
      <c r="X11" s="2129"/>
      <c r="Y11" s="2129"/>
      <c r="Z11" s="2129"/>
      <c r="AA11" s="2130"/>
      <c r="AB11" s="2131"/>
      <c r="AC11" s="2131"/>
      <c r="AD11" s="2131"/>
      <c r="AE11" s="2131"/>
      <c r="AF11" s="2131"/>
      <c r="AG11" s="2131"/>
      <c r="AH11" s="2131"/>
      <c r="AI11" s="2131"/>
      <c r="AJ11" s="2131"/>
      <c r="AK11" s="2131"/>
      <c r="AL11" s="2132"/>
      <c r="AM11" s="669"/>
      <c r="AN11" s="662"/>
    </row>
    <row r="12" spans="2:40" ht="20.100000000000001" customHeight="1">
      <c r="B12" s="670"/>
      <c r="C12" s="2150"/>
      <c r="D12" s="2133" t="s">
        <v>9</v>
      </c>
      <c r="E12" s="2134"/>
      <c r="F12" s="2134"/>
      <c r="G12" s="2135"/>
      <c r="H12" s="694"/>
      <c r="I12" s="2139"/>
      <c r="J12" s="2139"/>
      <c r="K12" s="2139"/>
      <c r="L12" s="2140"/>
      <c r="M12" s="693"/>
      <c r="N12" s="693"/>
      <c r="O12" s="693"/>
      <c r="P12" s="693"/>
      <c r="Q12" s="693"/>
      <c r="R12" s="693"/>
      <c r="S12" s="693"/>
      <c r="T12" s="693"/>
      <c r="U12" s="693"/>
      <c r="V12" s="692"/>
      <c r="W12" s="2141" t="s">
        <v>3338</v>
      </c>
      <c r="X12" s="2142"/>
      <c r="Y12" s="2142"/>
      <c r="Z12" s="2142"/>
      <c r="AA12" s="2143"/>
      <c r="AB12" s="2139"/>
      <c r="AC12" s="2139"/>
      <c r="AD12" s="2139"/>
      <c r="AE12" s="2139"/>
      <c r="AF12" s="2139"/>
      <c r="AG12" s="2139"/>
      <c r="AH12" s="2139"/>
      <c r="AI12" s="2139"/>
      <c r="AJ12" s="2139"/>
      <c r="AK12" s="2139"/>
      <c r="AL12" s="2144"/>
      <c r="AM12" s="669"/>
      <c r="AN12" s="662"/>
    </row>
    <row r="13" spans="2:40" ht="20.100000000000001" customHeight="1" thickBot="1">
      <c r="B13" s="670"/>
      <c r="C13" s="2151"/>
      <c r="D13" s="2136"/>
      <c r="E13" s="2137"/>
      <c r="F13" s="2137"/>
      <c r="G13" s="2138"/>
      <c r="H13" s="2145"/>
      <c r="I13" s="2146"/>
      <c r="J13" s="2146"/>
      <c r="K13" s="2146"/>
      <c r="L13" s="2146"/>
      <c r="M13" s="2146"/>
      <c r="N13" s="2146"/>
      <c r="O13" s="2146"/>
      <c r="P13" s="2146"/>
      <c r="Q13" s="2146"/>
      <c r="R13" s="2146"/>
      <c r="S13" s="2146"/>
      <c r="T13" s="2146"/>
      <c r="U13" s="2146"/>
      <c r="V13" s="2147"/>
      <c r="W13" s="2155" t="s">
        <v>3343</v>
      </c>
      <c r="X13" s="2155"/>
      <c r="Y13" s="2155"/>
      <c r="Z13" s="2155"/>
      <c r="AA13" s="2156"/>
      <c r="AB13" s="2157"/>
      <c r="AC13" s="2157"/>
      <c r="AD13" s="2157"/>
      <c r="AE13" s="2156" t="s">
        <v>3342</v>
      </c>
      <c r="AF13" s="2157"/>
      <c r="AG13" s="2157"/>
      <c r="AH13" s="2158"/>
      <c r="AI13" s="2157"/>
      <c r="AJ13" s="2157"/>
      <c r="AK13" s="2157"/>
      <c r="AL13" s="2159"/>
      <c r="AM13" s="669"/>
      <c r="AN13" s="662"/>
    </row>
    <row r="14" spans="2:40" ht="20.100000000000001" customHeight="1">
      <c r="B14" s="670"/>
      <c r="C14" s="2149" t="s">
        <v>3107</v>
      </c>
      <c r="D14" s="2129" t="s">
        <v>35</v>
      </c>
      <c r="E14" s="2129"/>
      <c r="F14" s="2129"/>
      <c r="G14" s="2129"/>
      <c r="H14" s="2152"/>
      <c r="I14" s="2153"/>
      <c r="J14" s="2153"/>
      <c r="K14" s="2153"/>
      <c r="L14" s="2153"/>
      <c r="M14" s="2153"/>
      <c r="N14" s="2153"/>
      <c r="O14" s="2153"/>
      <c r="P14" s="2153"/>
      <c r="Q14" s="2153"/>
      <c r="R14" s="2153"/>
      <c r="S14" s="2153"/>
      <c r="T14" s="2153"/>
      <c r="U14" s="2153"/>
      <c r="V14" s="2154"/>
      <c r="W14" s="2129" t="s">
        <v>3335</v>
      </c>
      <c r="X14" s="2129"/>
      <c r="Y14" s="2129"/>
      <c r="Z14" s="2129"/>
      <c r="AA14" s="2130"/>
      <c r="AB14" s="2131"/>
      <c r="AC14" s="2131"/>
      <c r="AD14" s="2131"/>
      <c r="AE14" s="2131"/>
      <c r="AF14" s="2131"/>
      <c r="AG14" s="2131"/>
      <c r="AH14" s="2131"/>
      <c r="AI14" s="2131"/>
      <c r="AJ14" s="2131"/>
      <c r="AK14" s="2131"/>
      <c r="AL14" s="2132"/>
      <c r="AM14" s="669"/>
      <c r="AN14" s="662"/>
    </row>
    <row r="15" spans="2:40" ht="20.100000000000001" customHeight="1">
      <c r="B15" s="670"/>
      <c r="C15" s="2150"/>
      <c r="D15" s="2133" t="s">
        <v>9</v>
      </c>
      <c r="E15" s="2134"/>
      <c r="F15" s="2134"/>
      <c r="G15" s="2135"/>
      <c r="H15" s="694"/>
      <c r="I15" s="2139"/>
      <c r="J15" s="2139"/>
      <c r="K15" s="2139"/>
      <c r="L15" s="2140"/>
      <c r="M15" s="693"/>
      <c r="N15" s="693"/>
      <c r="O15" s="693"/>
      <c r="P15" s="693"/>
      <c r="Q15" s="693"/>
      <c r="R15" s="693"/>
      <c r="S15" s="693"/>
      <c r="T15" s="693"/>
      <c r="U15" s="693"/>
      <c r="V15" s="692"/>
      <c r="W15" s="2141" t="s">
        <v>3338</v>
      </c>
      <c r="X15" s="2142"/>
      <c r="Y15" s="2142"/>
      <c r="Z15" s="2142"/>
      <c r="AA15" s="2143"/>
      <c r="AB15" s="2139"/>
      <c r="AC15" s="2139"/>
      <c r="AD15" s="2139"/>
      <c r="AE15" s="2139"/>
      <c r="AF15" s="2139"/>
      <c r="AG15" s="2139"/>
      <c r="AH15" s="2139"/>
      <c r="AI15" s="2139"/>
      <c r="AJ15" s="2139"/>
      <c r="AK15" s="2139"/>
      <c r="AL15" s="2144"/>
      <c r="AM15" s="669"/>
      <c r="AN15" s="662"/>
    </row>
    <row r="16" spans="2:40" ht="20.100000000000001" customHeight="1" thickBot="1">
      <c r="B16" s="670"/>
      <c r="C16" s="2151"/>
      <c r="D16" s="2136"/>
      <c r="E16" s="2137"/>
      <c r="F16" s="2137"/>
      <c r="G16" s="2138"/>
      <c r="H16" s="2145"/>
      <c r="I16" s="2146"/>
      <c r="J16" s="2146"/>
      <c r="K16" s="2146"/>
      <c r="L16" s="2146"/>
      <c r="M16" s="2146"/>
      <c r="N16" s="2146"/>
      <c r="O16" s="2146"/>
      <c r="P16" s="2146"/>
      <c r="Q16" s="2146"/>
      <c r="R16" s="2146"/>
      <c r="S16" s="2146"/>
      <c r="T16" s="2146"/>
      <c r="U16" s="2146"/>
      <c r="V16" s="2147"/>
      <c r="W16" s="2155" t="s">
        <v>3343</v>
      </c>
      <c r="X16" s="2155"/>
      <c r="Y16" s="2155"/>
      <c r="Z16" s="2155"/>
      <c r="AA16" s="2156"/>
      <c r="AB16" s="2157"/>
      <c r="AC16" s="2157"/>
      <c r="AD16" s="2157"/>
      <c r="AE16" s="2156" t="s">
        <v>3342</v>
      </c>
      <c r="AF16" s="2157"/>
      <c r="AG16" s="2157"/>
      <c r="AH16" s="2158"/>
      <c r="AI16" s="2157"/>
      <c r="AJ16" s="2157"/>
      <c r="AK16" s="2157"/>
      <c r="AL16" s="2159"/>
      <c r="AM16" s="669"/>
      <c r="AN16" s="662"/>
    </row>
    <row r="17" spans="2:45" ht="20.100000000000001" customHeight="1">
      <c r="B17" s="670"/>
      <c r="C17" s="2149" t="s">
        <v>3340</v>
      </c>
      <c r="D17" s="2129" t="s">
        <v>35</v>
      </c>
      <c r="E17" s="2129"/>
      <c r="F17" s="2129"/>
      <c r="G17" s="2129"/>
      <c r="H17" s="2152"/>
      <c r="I17" s="2153"/>
      <c r="J17" s="2153"/>
      <c r="K17" s="2153"/>
      <c r="L17" s="2153"/>
      <c r="M17" s="2153"/>
      <c r="N17" s="2153"/>
      <c r="O17" s="2153"/>
      <c r="P17" s="2153"/>
      <c r="Q17" s="2153"/>
      <c r="R17" s="2153"/>
      <c r="S17" s="2153"/>
      <c r="T17" s="2153"/>
      <c r="U17" s="2153"/>
      <c r="V17" s="2154"/>
      <c r="W17" s="2129" t="s">
        <v>3335</v>
      </c>
      <c r="X17" s="2129"/>
      <c r="Y17" s="2129"/>
      <c r="Z17" s="2129"/>
      <c r="AA17" s="2130"/>
      <c r="AB17" s="2131"/>
      <c r="AC17" s="2131"/>
      <c r="AD17" s="2131"/>
      <c r="AE17" s="2131"/>
      <c r="AF17" s="2131"/>
      <c r="AG17" s="2131"/>
      <c r="AH17" s="2131"/>
      <c r="AI17" s="2131"/>
      <c r="AJ17" s="2131"/>
      <c r="AK17" s="2131"/>
      <c r="AL17" s="2132"/>
      <c r="AM17" s="669"/>
      <c r="AN17" s="662"/>
    </row>
    <row r="18" spans="2:45" ht="20.100000000000001" customHeight="1">
      <c r="B18" s="670"/>
      <c r="C18" s="2150"/>
      <c r="D18" s="2133" t="s">
        <v>9</v>
      </c>
      <c r="E18" s="2134"/>
      <c r="F18" s="2134"/>
      <c r="G18" s="2135"/>
      <c r="H18" s="694"/>
      <c r="I18" s="2139"/>
      <c r="J18" s="2139"/>
      <c r="K18" s="2139"/>
      <c r="L18" s="2140"/>
      <c r="M18" s="693"/>
      <c r="N18" s="693"/>
      <c r="O18" s="693"/>
      <c r="P18" s="693"/>
      <c r="Q18" s="693"/>
      <c r="R18" s="693"/>
      <c r="S18" s="693"/>
      <c r="T18" s="693"/>
      <c r="U18" s="693"/>
      <c r="V18" s="692"/>
      <c r="W18" s="2141" t="s">
        <v>3338</v>
      </c>
      <c r="X18" s="2142"/>
      <c r="Y18" s="2142"/>
      <c r="Z18" s="2142"/>
      <c r="AA18" s="2143"/>
      <c r="AB18" s="2139"/>
      <c r="AC18" s="2139"/>
      <c r="AD18" s="2139"/>
      <c r="AE18" s="2139"/>
      <c r="AF18" s="2139"/>
      <c r="AG18" s="2139"/>
      <c r="AH18" s="2139"/>
      <c r="AI18" s="2139"/>
      <c r="AJ18" s="2139"/>
      <c r="AK18" s="2139"/>
      <c r="AL18" s="2144"/>
      <c r="AM18" s="669"/>
      <c r="AN18" s="662"/>
    </row>
    <row r="19" spans="2:45" ht="20.100000000000001" customHeight="1" thickBot="1">
      <c r="B19" s="670"/>
      <c r="C19" s="2151"/>
      <c r="D19" s="2136"/>
      <c r="E19" s="2137"/>
      <c r="F19" s="2137"/>
      <c r="G19" s="2138"/>
      <c r="H19" s="2145"/>
      <c r="I19" s="2146"/>
      <c r="J19" s="2146"/>
      <c r="K19" s="2146"/>
      <c r="L19" s="2146"/>
      <c r="M19" s="2146"/>
      <c r="N19" s="2146"/>
      <c r="O19" s="2146"/>
      <c r="P19" s="2146"/>
      <c r="Q19" s="2146"/>
      <c r="R19" s="2146"/>
      <c r="S19" s="2146"/>
      <c r="T19" s="2146"/>
      <c r="U19" s="2146"/>
      <c r="V19" s="2147"/>
      <c r="W19" s="2155" t="s">
        <v>3343</v>
      </c>
      <c r="X19" s="2155"/>
      <c r="Y19" s="2155"/>
      <c r="Z19" s="2155"/>
      <c r="AA19" s="2156"/>
      <c r="AB19" s="2157"/>
      <c r="AC19" s="2157"/>
      <c r="AD19" s="2157"/>
      <c r="AE19" s="2156" t="s">
        <v>3342</v>
      </c>
      <c r="AF19" s="2157"/>
      <c r="AG19" s="2157"/>
      <c r="AH19" s="2158"/>
      <c r="AI19" s="2157"/>
      <c r="AJ19" s="2157"/>
      <c r="AK19" s="2157"/>
      <c r="AL19" s="2159"/>
      <c r="AM19" s="669"/>
      <c r="AN19" s="662"/>
    </row>
    <row r="20" spans="2:45" ht="20.100000000000001" customHeight="1">
      <c r="B20" s="670"/>
      <c r="C20" s="2149" t="s">
        <v>3339</v>
      </c>
      <c r="D20" s="2129" t="s">
        <v>35</v>
      </c>
      <c r="E20" s="2129"/>
      <c r="F20" s="2129"/>
      <c r="G20" s="2129"/>
      <c r="H20" s="2152"/>
      <c r="I20" s="2153"/>
      <c r="J20" s="2153"/>
      <c r="K20" s="2153"/>
      <c r="L20" s="2153"/>
      <c r="M20" s="2153"/>
      <c r="N20" s="2153"/>
      <c r="O20" s="2153"/>
      <c r="P20" s="2153"/>
      <c r="Q20" s="2153"/>
      <c r="R20" s="2153"/>
      <c r="S20" s="2153"/>
      <c r="T20" s="2153"/>
      <c r="U20" s="2153"/>
      <c r="V20" s="2154"/>
      <c r="W20" s="2129" t="s">
        <v>3335</v>
      </c>
      <c r="X20" s="2129"/>
      <c r="Y20" s="2129"/>
      <c r="Z20" s="2129"/>
      <c r="AA20" s="2130"/>
      <c r="AB20" s="2131"/>
      <c r="AC20" s="2131"/>
      <c r="AD20" s="2131"/>
      <c r="AE20" s="2131"/>
      <c r="AF20" s="2131"/>
      <c r="AG20" s="2131"/>
      <c r="AH20" s="2131"/>
      <c r="AI20" s="2131"/>
      <c r="AJ20" s="2131"/>
      <c r="AK20" s="2131"/>
      <c r="AL20" s="2132"/>
      <c r="AM20" s="669"/>
      <c r="AN20" s="662"/>
    </row>
    <row r="21" spans="2:45" ht="20.100000000000001" customHeight="1">
      <c r="B21" s="670"/>
      <c r="C21" s="2150"/>
      <c r="D21" s="2133" t="s">
        <v>9</v>
      </c>
      <c r="E21" s="2134"/>
      <c r="F21" s="2134"/>
      <c r="G21" s="2135"/>
      <c r="H21" s="694"/>
      <c r="I21" s="2139"/>
      <c r="J21" s="2139"/>
      <c r="K21" s="2139"/>
      <c r="L21" s="2140"/>
      <c r="M21" s="693"/>
      <c r="N21" s="693"/>
      <c r="O21" s="693"/>
      <c r="P21" s="693"/>
      <c r="Q21" s="693"/>
      <c r="R21" s="693"/>
      <c r="S21" s="693"/>
      <c r="T21" s="693"/>
      <c r="U21" s="693"/>
      <c r="V21" s="692"/>
      <c r="W21" s="2141" t="s">
        <v>3338</v>
      </c>
      <c r="X21" s="2142"/>
      <c r="Y21" s="2142"/>
      <c r="Z21" s="2142"/>
      <c r="AA21" s="2143"/>
      <c r="AB21" s="2139"/>
      <c r="AC21" s="2139"/>
      <c r="AD21" s="2139"/>
      <c r="AE21" s="2139"/>
      <c r="AF21" s="2139"/>
      <c r="AG21" s="2139"/>
      <c r="AH21" s="2139"/>
      <c r="AI21" s="2139"/>
      <c r="AJ21" s="2139"/>
      <c r="AK21" s="2139"/>
      <c r="AL21" s="2144"/>
      <c r="AM21" s="669"/>
      <c r="AN21" s="662"/>
    </row>
    <row r="22" spans="2:45" ht="20.100000000000001" customHeight="1" thickBot="1">
      <c r="B22" s="670"/>
      <c r="C22" s="2151"/>
      <c r="D22" s="2136"/>
      <c r="E22" s="2137"/>
      <c r="F22" s="2137"/>
      <c r="G22" s="2138"/>
      <c r="H22" s="2145"/>
      <c r="I22" s="2146"/>
      <c r="J22" s="2146"/>
      <c r="K22" s="2146"/>
      <c r="L22" s="2146"/>
      <c r="M22" s="2146"/>
      <c r="N22" s="2146"/>
      <c r="O22" s="2146"/>
      <c r="P22" s="2146"/>
      <c r="Q22" s="2146"/>
      <c r="R22" s="2146"/>
      <c r="S22" s="2146"/>
      <c r="T22" s="2146"/>
      <c r="U22" s="2146"/>
      <c r="V22" s="2147"/>
      <c r="W22" s="2155" t="s">
        <v>3343</v>
      </c>
      <c r="X22" s="2155"/>
      <c r="Y22" s="2155"/>
      <c r="Z22" s="2155"/>
      <c r="AA22" s="2156"/>
      <c r="AB22" s="2157"/>
      <c r="AC22" s="2157"/>
      <c r="AD22" s="2157"/>
      <c r="AE22" s="2156" t="s">
        <v>3342</v>
      </c>
      <c r="AF22" s="2157"/>
      <c r="AG22" s="2157"/>
      <c r="AH22" s="2158"/>
      <c r="AI22" s="2157"/>
      <c r="AJ22" s="2157"/>
      <c r="AK22" s="2157"/>
      <c r="AL22" s="2159"/>
      <c r="AM22" s="669"/>
      <c r="AN22" s="662"/>
    </row>
    <row r="23" spans="2:45" ht="20.100000000000001" customHeight="1">
      <c r="B23" s="670"/>
      <c r="C23" s="687"/>
      <c r="D23" s="685"/>
      <c r="E23" s="685"/>
      <c r="F23" s="699"/>
      <c r="G23" s="700"/>
      <c r="H23" s="699"/>
      <c r="I23" s="699"/>
      <c r="J23" s="687"/>
      <c r="K23" s="687"/>
      <c r="L23" s="687"/>
      <c r="M23" s="687"/>
      <c r="N23" s="687"/>
      <c r="O23" s="687"/>
      <c r="P23" s="687"/>
      <c r="Q23" s="687"/>
      <c r="R23" s="687"/>
      <c r="S23" s="687"/>
      <c r="T23" s="687"/>
      <c r="U23" s="687"/>
      <c r="V23" s="687"/>
      <c r="W23" s="687"/>
      <c r="X23" s="687"/>
      <c r="Y23" s="687"/>
      <c r="Z23" s="687"/>
      <c r="AA23" s="687"/>
      <c r="AB23" s="687"/>
      <c r="AC23" s="687"/>
      <c r="AD23" s="687"/>
      <c r="AE23" s="687"/>
      <c r="AF23" s="687"/>
      <c r="AG23" s="687"/>
      <c r="AH23" s="687"/>
      <c r="AI23" s="687"/>
      <c r="AJ23" s="687"/>
      <c r="AK23" s="687"/>
      <c r="AL23" s="687"/>
      <c r="AM23" s="698"/>
      <c r="AN23" s="662"/>
      <c r="AO23" s="662"/>
      <c r="AP23" s="662"/>
      <c r="AQ23" s="662"/>
      <c r="AR23" s="662"/>
      <c r="AS23" s="662"/>
    </row>
    <row r="24" spans="2:45" ht="20.100000000000001" customHeight="1" thickBot="1">
      <c r="B24" s="670"/>
      <c r="C24" s="676" t="s">
        <v>3341</v>
      </c>
      <c r="D24" s="675"/>
      <c r="E24" s="675"/>
      <c r="F24" s="674"/>
      <c r="G24" s="697"/>
      <c r="H24" s="697"/>
      <c r="I24" s="697"/>
      <c r="J24" s="697"/>
      <c r="K24" s="696"/>
      <c r="L24" s="696"/>
      <c r="M24" s="696"/>
      <c r="N24" s="696"/>
      <c r="O24" s="696"/>
      <c r="P24" s="696"/>
      <c r="Q24" s="696"/>
      <c r="R24" s="696"/>
      <c r="S24" s="696"/>
      <c r="T24" s="696"/>
      <c r="U24" s="696"/>
      <c r="V24" s="696"/>
      <c r="W24" s="696"/>
      <c r="X24" s="696"/>
      <c r="Y24" s="696"/>
      <c r="Z24" s="696"/>
      <c r="AA24" s="696"/>
      <c r="AB24" s="696"/>
      <c r="AC24" s="696"/>
      <c r="AD24" s="696"/>
      <c r="AE24" s="696"/>
      <c r="AF24" s="696"/>
      <c r="AG24" s="696"/>
      <c r="AH24" s="696"/>
      <c r="AI24" s="696"/>
      <c r="AJ24" s="696"/>
      <c r="AK24" s="696"/>
      <c r="AL24" s="696"/>
      <c r="AM24" s="695"/>
      <c r="AN24" s="662"/>
      <c r="AO24" s="662"/>
      <c r="AP24" s="662"/>
      <c r="AQ24" s="662"/>
      <c r="AR24" s="662"/>
      <c r="AS24" s="662"/>
    </row>
    <row r="25" spans="2:45" ht="20.100000000000001" customHeight="1">
      <c r="B25" s="670"/>
      <c r="C25" s="2149" t="s">
        <v>2677</v>
      </c>
      <c r="D25" s="2129" t="s">
        <v>35</v>
      </c>
      <c r="E25" s="2129"/>
      <c r="F25" s="2129"/>
      <c r="G25" s="2129"/>
      <c r="H25" s="2152"/>
      <c r="I25" s="2153"/>
      <c r="J25" s="2153"/>
      <c r="K25" s="2153"/>
      <c r="L25" s="2153"/>
      <c r="M25" s="2153"/>
      <c r="N25" s="2153"/>
      <c r="O25" s="2153"/>
      <c r="P25" s="2153"/>
      <c r="Q25" s="2153"/>
      <c r="R25" s="2153"/>
      <c r="S25" s="2153"/>
      <c r="T25" s="2153"/>
      <c r="U25" s="2153"/>
      <c r="V25" s="2154"/>
      <c r="W25" s="2129" t="s">
        <v>3335</v>
      </c>
      <c r="X25" s="2129"/>
      <c r="Y25" s="2129"/>
      <c r="Z25" s="2129"/>
      <c r="AA25" s="2170"/>
      <c r="AB25" s="2170"/>
      <c r="AC25" s="2170"/>
      <c r="AD25" s="2170"/>
      <c r="AE25" s="2170"/>
      <c r="AF25" s="2170"/>
      <c r="AG25" s="2170"/>
      <c r="AH25" s="2170"/>
      <c r="AI25" s="2170"/>
      <c r="AJ25" s="2170"/>
      <c r="AK25" s="2170"/>
      <c r="AL25" s="2171"/>
      <c r="AM25" s="669"/>
      <c r="AN25" s="662"/>
    </row>
    <row r="26" spans="2:45" ht="20.100000000000001" customHeight="1">
      <c r="B26" s="670"/>
      <c r="C26" s="2150"/>
      <c r="D26" s="2133" t="s">
        <v>9</v>
      </c>
      <c r="E26" s="2134"/>
      <c r="F26" s="2134"/>
      <c r="G26" s="2135"/>
      <c r="H26" s="694"/>
      <c r="I26" s="2139"/>
      <c r="J26" s="2139"/>
      <c r="K26" s="2139"/>
      <c r="L26" s="2140"/>
      <c r="M26" s="693"/>
      <c r="N26" s="693"/>
      <c r="O26" s="693"/>
      <c r="P26" s="693"/>
      <c r="Q26" s="693"/>
      <c r="R26" s="693"/>
      <c r="S26" s="693"/>
      <c r="T26" s="693"/>
      <c r="U26" s="693"/>
      <c r="V26" s="692"/>
      <c r="W26" s="2172" t="s">
        <v>3338</v>
      </c>
      <c r="X26" s="2173"/>
      <c r="Y26" s="2173"/>
      <c r="Z26" s="2173"/>
      <c r="AA26" s="2143"/>
      <c r="AB26" s="2139"/>
      <c r="AC26" s="2139"/>
      <c r="AD26" s="2139"/>
      <c r="AE26" s="2139"/>
      <c r="AF26" s="2139"/>
      <c r="AG26" s="2139"/>
      <c r="AH26" s="2139"/>
      <c r="AI26" s="2139"/>
      <c r="AJ26" s="2139"/>
      <c r="AK26" s="2139"/>
      <c r="AL26" s="2144"/>
      <c r="AM26" s="669"/>
      <c r="AN26" s="662"/>
    </row>
    <row r="27" spans="2:45" ht="20.100000000000001" customHeight="1" thickBot="1">
      <c r="B27" s="670"/>
      <c r="C27" s="2151"/>
      <c r="D27" s="2136"/>
      <c r="E27" s="2137"/>
      <c r="F27" s="2137"/>
      <c r="G27" s="2138"/>
      <c r="H27" s="2145"/>
      <c r="I27" s="2146"/>
      <c r="J27" s="2146"/>
      <c r="K27" s="2146"/>
      <c r="L27" s="2146"/>
      <c r="M27" s="2146"/>
      <c r="N27" s="2146"/>
      <c r="O27" s="2146"/>
      <c r="P27" s="2146"/>
      <c r="Q27" s="2146"/>
      <c r="R27" s="2146"/>
      <c r="S27" s="2146"/>
      <c r="T27" s="2146"/>
      <c r="U27" s="2146"/>
      <c r="V27" s="2147"/>
      <c r="W27" s="2174" t="s">
        <v>3333</v>
      </c>
      <c r="X27" s="2175"/>
      <c r="Y27" s="2175"/>
      <c r="Z27" s="2176"/>
      <c r="AA27" s="2177"/>
      <c r="AB27" s="2178"/>
      <c r="AC27" s="2178"/>
      <c r="AD27" s="2178"/>
      <c r="AE27" s="2178"/>
      <c r="AF27" s="2178"/>
      <c r="AG27" s="2178"/>
      <c r="AH27" s="2178"/>
      <c r="AI27" s="2178"/>
      <c r="AJ27" s="2178"/>
      <c r="AK27" s="2178"/>
      <c r="AL27" s="2179"/>
      <c r="AM27" s="669"/>
      <c r="AN27" s="662"/>
    </row>
    <row r="28" spans="2:45" ht="20.100000000000001" customHeight="1">
      <c r="B28" s="670"/>
      <c r="C28" s="2149" t="s">
        <v>2678</v>
      </c>
      <c r="D28" s="2129" t="s">
        <v>35</v>
      </c>
      <c r="E28" s="2129"/>
      <c r="F28" s="2129"/>
      <c r="G28" s="2129"/>
      <c r="H28" s="2152"/>
      <c r="I28" s="2153"/>
      <c r="J28" s="2153"/>
      <c r="K28" s="2153"/>
      <c r="L28" s="2153"/>
      <c r="M28" s="2153"/>
      <c r="N28" s="2153"/>
      <c r="O28" s="2153"/>
      <c r="P28" s="2153"/>
      <c r="Q28" s="2153"/>
      <c r="R28" s="2153"/>
      <c r="S28" s="2153"/>
      <c r="T28" s="2153"/>
      <c r="U28" s="2153"/>
      <c r="V28" s="2154"/>
      <c r="W28" s="2129" t="s">
        <v>3335</v>
      </c>
      <c r="X28" s="2129"/>
      <c r="Y28" s="2129"/>
      <c r="Z28" s="2129"/>
      <c r="AA28" s="2170"/>
      <c r="AB28" s="2170"/>
      <c r="AC28" s="2170"/>
      <c r="AD28" s="2170"/>
      <c r="AE28" s="2170"/>
      <c r="AF28" s="2170"/>
      <c r="AG28" s="2170"/>
      <c r="AH28" s="2170"/>
      <c r="AI28" s="2170"/>
      <c r="AJ28" s="2170"/>
      <c r="AK28" s="2170"/>
      <c r="AL28" s="2171"/>
      <c r="AM28" s="669"/>
      <c r="AN28" s="662"/>
    </row>
    <row r="29" spans="2:45" ht="20.100000000000001" customHeight="1">
      <c r="B29" s="670"/>
      <c r="C29" s="2150"/>
      <c r="D29" s="2133" t="s">
        <v>9</v>
      </c>
      <c r="E29" s="2134"/>
      <c r="F29" s="2134"/>
      <c r="G29" s="2135"/>
      <c r="H29" s="694"/>
      <c r="I29" s="2139"/>
      <c r="J29" s="2139"/>
      <c r="K29" s="2139"/>
      <c r="L29" s="2140"/>
      <c r="M29" s="693"/>
      <c r="N29" s="693"/>
      <c r="O29" s="693"/>
      <c r="P29" s="693"/>
      <c r="Q29" s="693"/>
      <c r="R29" s="693"/>
      <c r="S29" s="693"/>
      <c r="T29" s="693"/>
      <c r="U29" s="693"/>
      <c r="V29" s="692"/>
      <c r="W29" s="2172" t="s">
        <v>3338</v>
      </c>
      <c r="X29" s="2173"/>
      <c r="Y29" s="2173"/>
      <c r="Z29" s="2173"/>
      <c r="AA29" s="2143"/>
      <c r="AB29" s="2139"/>
      <c r="AC29" s="2139"/>
      <c r="AD29" s="2139"/>
      <c r="AE29" s="2139"/>
      <c r="AF29" s="2139"/>
      <c r="AG29" s="2139"/>
      <c r="AH29" s="2139"/>
      <c r="AI29" s="2139"/>
      <c r="AJ29" s="2139"/>
      <c r="AK29" s="2139"/>
      <c r="AL29" s="2144"/>
      <c r="AM29" s="669"/>
      <c r="AN29" s="662"/>
    </row>
    <row r="30" spans="2:45" ht="20.100000000000001" customHeight="1" thickBot="1">
      <c r="B30" s="670"/>
      <c r="C30" s="2151"/>
      <c r="D30" s="2136"/>
      <c r="E30" s="2137"/>
      <c r="F30" s="2137"/>
      <c r="G30" s="2138"/>
      <c r="H30" s="2145"/>
      <c r="I30" s="2146"/>
      <c r="J30" s="2146"/>
      <c r="K30" s="2146"/>
      <c r="L30" s="2146"/>
      <c r="M30" s="2146"/>
      <c r="N30" s="2146"/>
      <c r="O30" s="2146"/>
      <c r="P30" s="2146"/>
      <c r="Q30" s="2146"/>
      <c r="R30" s="2146"/>
      <c r="S30" s="2146"/>
      <c r="T30" s="2146"/>
      <c r="U30" s="2146"/>
      <c r="V30" s="2147"/>
      <c r="W30" s="2174" t="s">
        <v>3333</v>
      </c>
      <c r="X30" s="2175"/>
      <c r="Y30" s="2175"/>
      <c r="Z30" s="2176"/>
      <c r="AA30" s="2177"/>
      <c r="AB30" s="2178"/>
      <c r="AC30" s="2178"/>
      <c r="AD30" s="2178"/>
      <c r="AE30" s="2178"/>
      <c r="AF30" s="2178"/>
      <c r="AG30" s="2178"/>
      <c r="AH30" s="2178"/>
      <c r="AI30" s="2178"/>
      <c r="AJ30" s="2178"/>
      <c r="AK30" s="2178"/>
      <c r="AL30" s="2179"/>
      <c r="AM30" s="669"/>
      <c r="AN30" s="662"/>
    </row>
    <row r="31" spans="2:45" ht="20.100000000000001" customHeight="1">
      <c r="B31" s="670"/>
      <c r="C31" s="2149" t="s">
        <v>3107</v>
      </c>
      <c r="D31" s="2129" t="s">
        <v>35</v>
      </c>
      <c r="E31" s="2129"/>
      <c r="F31" s="2129"/>
      <c r="G31" s="2129"/>
      <c r="H31" s="2152"/>
      <c r="I31" s="2153"/>
      <c r="J31" s="2153"/>
      <c r="K31" s="2153"/>
      <c r="L31" s="2153"/>
      <c r="M31" s="2153"/>
      <c r="N31" s="2153"/>
      <c r="O31" s="2153"/>
      <c r="P31" s="2153"/>
      <c r="Q31" s="2153"/>
      <c r="R31" s="2153"/>
      <c r="S31" s="2153"/>
      <c r="T31" s="2153"/>
      <c r="U31" s="2153"/>
      <c r="V31" s="2154"/>
      <c r="W31" s="2129" t="s">
        <v>3335</v>
      </c>
      <c r="X31" s="2129"/>
      <c r="Y31" s="2129"/>
      <c r="Z31" s="2129"/>
      <c r="AA31" s="2170"/>
      <c r="AB31" s="2170"/>
      <c r="AC31" s="2170"/>
      <c r="AD31" s="2170"/>
      <c r="AE31" s="2170"/>
      <c r="AF31" s="2170"/>
      <c r="AG31" s="2170"/>
      <c r="AH31" s="2170"/>
      <c r="AI31" s="2170"/>
      <c r="AJ31" s="2170"/>
      <c r="AK31" s="2170"/>
      <c r="AL31" s="2171"/>
      <c r="AM31" s="669"/>
      <c r="AN31" s="662"/>
    </row>
    <row r="32" spans="2:45" ht="20.100000000000001" customHeight="1">
      <c r="B32" s="670"/>
      <c r="C32" s="2150"/>
      <c r="D32" s="2133" t="s">
        <v>9</v>
      </c>
      <c r="E32" s="2134"/>
      <c r="F32" s="2134"/>
      <c r="G32" s="2135"/>
      <c r="H32" s="694"/>
      <c r="I32" s="2139"/>
      <c r="J32" s="2139"/>
      <c r="K32" s="2139"/>
      <c r="L32" s="2140"/>
      <c r="M32" s="693"/>
      <c r="N32" s="693"/>
      <c r="O32" s="693"/>
      <c r="P32" s="693"/>
      <c r="Q32" s="693"/>
      <c r="R32" s="693"/>
      <c r="S32" s="693"/>
      <c r="T32" s="693"/>
      <c r="U32" s="693"/>
      <c r="V32" s="692"/>
      <c r="W32" s="2172" t="s">
        <v>3338</v>
      </c>
      <c r="X32" s="2173"/>
      <c r="Y32" s="2173"/>
      <c r="Z32" s="2173"/>
      <c r="AA32" s="2143"/>
      <c r="AB32" s="2139"/>
      <c r="AC32" s="2139"/>
      <c r="AD32" s="2139"/>
      <c r="AE32" s="2139"/>
      <c r="AF32" s="2139"/>
      <c r="AG32" s="2139"/>
      <c r="AH32" s="2139"/>
      <c r="AI32" s="2139"/>
      <c r="AJ32" s="2139"/>
      <c r="AK32" s="2139"/>
      <c r="AL32" s="2144"/>
      <c r="AM32" s="669"/>
      <c r="AN32" s="662"/>
    </row>
    <row r="33" spans="2:45" ht="20.100000000000001" customHeight="1" thickBot="1">
      <c r="B33" s="670"/>
      <c r="C33" s="2151"/>
      <c r="D33" s="2136"/>
      <c r="E33" s="2137"/>
      <c r="F33" s="2137"/>
      <c r="G33" s="2138"/>
      <c r="H33" s="2145"/>
      <c r="I33" s="2146"/>
      <c r="J33" s="2146"/>
      <c r="K33" s="2146"/>
      <c r="L33" s="2146"/>
      <c r="M33" s="2146"/>
      <c r="N33" s="2146"/>
      <c r="O33" s="2146"/>
      <c r="P33" s="2146"/>
      <c r="Q33" s="2146"/>
      <c r="R33" s="2146"/>
      <c r="S33" s="2146"/>
      <c r="T33" s="2146"/>
      <c r="U33" s="2146"/>
      <c r="V33" s="2147"/>
      <c r="W33" s="2174" t="s">
        <v>3333</v>
      </c>
      <c r="X33" s="2175"/>
      <c r="Y33" s="2175"/>
      <c r="Z33" s="2176"/>
      <c r="AA33" s="2177"/>
      <c r="AB33" s="2178"/>
      <c r="AC33" s="2178"/>
      <c r="AD33" s="2178"/>
      <c r="AE33" s="2178"/>
      <c r="AF33" s="2178"/>
      <c r="AG33" s="2178"/>
      <c r="AH33" s="2178"/>
      <c r="AI33" s="2178"/>
      <c r="AJ33" s="2178"/>
      <c r="AK33" s="2178"/>
      <c r="AL33" s="2179"/>
      <c r="AM33" s="669"/>
      <c r="AN33" s="662"/>
    </row>
    <row r="34" spans="2:45" ht="20.100000000000001" customHeight="1">
      <c r="B34" s="670"/>
      <c r="C34" s="2149" t="s">
        <v>3340</v>
      </c>
      <c r="D34" s="2129" t="s">
        <v>35</v>
      </c>
      <c r="E34" s="2129"/>
      <c r="F34" s="2129"/>
      <c r="G34" s="2129"/>
      <c r="H34" s="2152"/>
      <c r="I34" s="2153"/>
      <c r="J34" s="2153"/>
      <c r="K34" s="2153"/>
      <c r="L34" s="2153"/>
      <c r="M34" s="2153"/>
      <c r="N34" s="2153"/>
      <c r="O34" s="2153"/>
      <c r="P34" s="2153"/>
      <c r="Q34" s="2153"/>
      <c r="R34" s="2153"/>
      <c r="S34" s="2153"/>
      <c r="T34" s="2153"/>
      <c r="U34" s="2153"/>
      <c r="V34" s="2154"/>
      <c r="W34" s="2129" t="s">
        <v>3335</v>
      </c>
      <c r="X34" s="2129"/>
      <c r="Y34" s="2129"/>
      <c r="Z34" s="2129"/>
      <c r="AA34" s="2170"/>
      <c r="AB34" s="2170"/>
      <c r="AC34" s="2170"/>
      <c r="AD34" s="2170"/>
      <c r="AE34" s="2170"/>
      <c r="AF34" s="2170"/>
      <c r="AG34" s="2170"/>
      <c r="AH34" s="2170"/>
      <c r="AI34" s="2170"/>
      <c r="AJ34" s="2170"/>
      <c r="AK34" s="2170"/>
      <c r="AL34" s="2171"/>
      <c r="AM34" s="669"/>
      <c r="AN34" s="662"/>
    </row>
    <row r="35" spans="2:45" ht="20.100000000000001" customHeight="1">
      <c r="B35" s="670"/>
      <c r="C35" s="2150"/>
      <c r="D35" s="2133" t="s">
        <v>9</v>
      </c>
      <c r="E35" s="2134"/>
      <c r="F35" s="2134"/>
      <c r="G35" s="2135"/>
      <c r="H35" s="694"/>
      <c r="I35" s="2139"/>
      <c r="J35" s="2139"/>
      <c r="K35" s="2139"/>
      <c r="L35" s="2140"/>
      <c r="M35" s="693"/>
      <c r="N35" s="693"/>
      <c r="O35" s="693"/>
      <c r="P35" s="693"/>
      <c r="Q35" s="693"/>
      <c r="R35" s="693"/>
      <c r="S35" s="693"/>
      <c r="T35" s="693"/>
      <c r="U35" s="693"/>
      <c r="V35" s="692"/>
      <c r="W35" s="2172" t="s">
        <v>3338</v>
      </c>
      <c r="X35" s="2173"/>
      <c r="Y35" s="2173"/>
      <c r="Z35" s="2173"/>
      <c r="AA35" s="2143"/>
      <c r="AB35" s="2139"/>
      <c r="AC35" s="2139"/>
      <c r="AD35" s="2139"/>
      <c r="AE35" s="2139"/>
      <c r="AF35" s="2139"/>
      <c r="AG35" s="2139"/>
      <c r="AH35" s="2139"/>
      <c r="AI35" s="2139"/>
      <c r="AJ35" s="2139"/>
      <c r="AK35" s="2139"/>
      <c r="AL35" s="2144"/>
      <c r="AM35" s="669"/>
      <c r="AN35" s="662"/>
    </row>
    <row r="36" spans="2:45" ht="20.100000000000001" customHeight="1" thickBot="1">
      <c r="B36" s="670"/>
      <c r="C36" s="2151"/>
      <c r="D36" s="2136"/>
      <c r="E36" s="2137"/>
      <c r="F36" s="2137"/>
      <c r="G36" s="2138"/>
      <c r="H36" s="2145"/>
      <c r="I36" s="2146"/>
      <c r="J36" s="2146"/>
      <c r="K36" s="2146"/>
      <c r="L36" s="2146"/>
      <c r="M36" s="2146"/>
      <c r="N36" s="2146"/>
      <c r="O36" s="2146"/>
      <c r="P36" s="2146"/>
      <c r="Q36" s="2146"/>
      <c r="R36" s="2146"/>
      <c r="S36" s="2146"/>
      <c r="T36" s="2146"/>
      <c r="U36" s="2146"/>
      <c r="V36" s="2147"/>
      <c r="W36" s="2174" t="s">
        <v>3333</v>
      </c>
      <c r="X36" s="2175"/>
      <c r="Y36" s="2175"/>
      <c r="Z36" s="2176"/>
      <c r="AA36" s="2177"/>
      <c r="AB36" s="2178"/>
      <c r="AC36" s="2178"/>
      <c r="AD36" s="2178"/>
      <c r="AE36" s="2178"/>
      <c r="AF36" s="2178"/>
      <c r="AG36" s="2178"/>
      <c r="AH36" s="2178"/>
      <c r="AI36" s="2178"/>
      <c r="AJ36" s="2178"/>
      <c r="AK36" s="2178"/>
      <c r="AL36" s="2179"/>
      <c r="AM36" s="669"/>
      <c r="AN36" s="662"/>
    </row>
    <row r="37" spans="2:45" ht="20.100000000000001" customHeight="1">
      <c r="B37" s="670"/>
      <c r="C37" s="2149" t="s">
        <v>3339</v>
      </c>
      <c r="D37" s="2129" t="s">
        <v>35</v>
      </c>
      <c r="E37" s="2129"/>
      <c r="F37" s="2129"/>
      <c r="G37" s="2129"/>
      <c r="H37" s="2152"/>
      <c r="I37" s="2153"/>
      <c r="J37" s="2153"/>
      <c r="K37" s="2153"/>
      <c r="L37" s="2153"/>
      <c r="M37" s="2153"/>
      <c r="N37" s="2153"/>
      <c r="O37" s="2153"/>
      <c r="P37" s="2153"/>
      <c r="Q37" s="2153"/>
      <c r="R37" s="2153"/>
      <c r="S37" s="2153"/>
      <c r="T37" s="2153"/>
      <c r="U37" s="2153"/>
      <c r="V37" s="2154"/>
      <c r="W37" s="2129" t="s">
        <v>3335</v>
      </c>
      <c r="X37" s="2129"/>
      <c r="Y37" s="2129"/>
      <c r="Z37" s="2129"/>
      <c r="AA37" s="2170"/>
      <c r="AB37" s="2170"/>
      <c r="AC37" s="2170"/>
      <c r="AD37" s="2170"/>
      <c r="AE37" s="2170"/>
      <c r="AF37" s="2170"/>
      <c r="AG37" s="2170"/>
      <c r="AH37" s="2170"/>
      <c r="AI37" s="2170"/>
      <c r="AJ37" s="2170"/>
      <c r="AK37" s="2170"/>
      <c r="AL37" s="2171"/>
      <c r="AM37" s="669"/>
      <c r="AN37" s="662"/>
    </row>
    <row r="38" spans="2:45" ht="20.100000000000001" customHeight="1">
      <c r="B38" s="670"/>
      <c r="C38" s="2150"/>
      <c r="D38" s="2133" t="s">
        <v>9</v>
      </c>
      <c r="E38" s="2134"/>
      <c r="F38" s="2134"/>
      <c r="G38" s="2135"/>
      <c r="H38" s="694"/>
      <c r="I38" s="2139"/>
      <c r="J38" s="2139"/>
      <c r="K38" s="2139"/>
      <c r="L38" s="2140"/>
      <c r="M38" s="693"/>
      <c r="N38" s="693"/>
      <c r="O38" s="693"/>
      <c r="P38" s="693"/>
      <c r="Q38" s="693"/>
      <c r="R38" s="693"/>
      <c r="S38" s="693"/>
      <c r="T38" s="693"/>
      <c r="U38" s="693"/>
      <c r="V38" s="692"/>
      <c r="W38" s="2172" t="s">
        <v>3338</v>
      </c>
      <c r="X38" s="2173"/>
      <c r="Y38" s="2173"/>
      <c r="Z38" s="2173"/>
      <c r="AA38" s="2143"/>
      <c r="AB38" s="2139"/>
      <c r="AC38" s="2139"/>
      <c r="AD38" s="2139"/>
      <c r="AE38" s="2139"/>
      <c r="AF38" s="2139"/>
      <c r="AG38" s="2139"/>
      <c r="AH38" s="2139"/>
      <c r="AI38" s="2139"/>
      <c r="AJ38" s="2139"/>
      <c r="AK38" s="2139"/>
      <c r="AL38" s="2144"/>
      <c r="AM38" s="669"/>
      <c r="AN38" s="662"/>
    </row>
    <row r="39" spans="2:45" ht="20.100000000000001" customHeight="1" thickBot="1">
      <c r="B39" s="670"/>
      <c r="C39" s="2151"/>
      <c r="D39" s="2136"/>
      <c r="E39" s="2137"/>
      <c r="F39" s="2137"/>
      <c r="G39" s="2138"/>
      <c r="H39" s="2145"/>
      <c r="I39" s="2146"/>
      <c r="J39" s="2146"/>
      <c r="K39" s="2146"/>
      <c r="L39" s="2146"/>
      <c r="M39" s="2146"/>
      <c r="N39" s="2146"/>
      <c r="O39" s="2146"/>
      <c r="P39" s="2146"/>
      <c r="Q39" s="2146"/>
      <c r="R39" s="2146"/>
      <c r="S39" s="2146"/>
      <c r="T39" s="2146"/>
      <c r="U39" s="2146"/>
      <c r="V39" s="2147"/>
      <c r="W39" s="2174" t="s">
        <v>3333</v>
      </c>
      <c r="X39" s="2175"/>
      <c r="Y39" s="2175"/>
      <c r="Z39" s="2176"/>
      <c r="AA39" s="2177"/>
      <c r="AB39" s="2178"/>
      <c r="AC39" s="2178"/>
      <c r="AD39" s="2178"/>
      <c r="AE39" s="2178"/>
      <c r="AF39" s="2178"/>
      <c r="AG39" s="2178"/>
      <c r="AH39" s="2178"/>
      <c r="AI39" s="2178"/>
      <c r="AJ39" s="2178"/>
      <c r="AK39" s="2178"/>
      <c r="AL39" s="2179"/>
      <c r="AM39" s="669"/>
      <c r="AN39" s="662"/>
    </row>
    <row r="40" spans="2:45" ht="20.100000000000001" customHeight="1">
      <c r="B40" s="670"/>
      <c r="C40" s="687"/>
      <c r="D40" s="686"/>
      <c r="E40" s="686"/>
      <c r="F40" s="686"/>
      <c r="G40" s="686"/>
      <c r="H40" s="689"/>
      <c r="I40" s="689"/>
      <c r="J40" s="689"/>
      <c r="K40" s="689"/>
      <c r="L40" s="689"/>
      <c r="M40" s="687"/>
      <c r="N40" s="687"/>
      <c r="O40" s="685"/>
      <c r="P40" s="687"/>
      <c r="Q40" s="687"/>
      <c r="R40" s="690"/>
      <c r="S40" s="691"/>
      <c r="T40" s="690"/>
      <c r="U40" s="689"/>
      <c r="V40" s="689"/>
      <c r="W40" s="690"/>
      <c r="X40" s="689"/>
      <c r="Y40" s="689"/>
      <c r="Z40" s="689"/>
      <c r="AA40" s="689"/>
      <c r="AB40" s="689"/>
      <c r="AC40" s="689"/>
      <c r="AD40" s="689"/>
      <c r="AE40" s="689"/>
      <c r="AF40" s="689"/>
      <c r="AG40" s="689"/>
      <c r="AH40" s="689"/>
      <c r="AI40" s="689"/>
      <c r="AJ40" s="689"/>
      <c r="AK40" s="689"/>
      <c r="AL40" s="689"/>
      <c r="AM40" s="688"/>
      <c r="AN40" s="662"/>
      <c r="AO40" s="662"/>
      <c r="AP40" s="662"/>
      <c r="AQ40" s="662"/>
      <c r="AR40" s="662"/>
      <c r="AS40" s="662"/>
    </row>
    <row r="41" spans="2:45" ht="20.100000000000001" customHeight="1">
      <c r="B41" s="682"/>
      <c r="C41" s="681"/>
      <c r="D41" s="680"/>
      <c r="E41" s="680"/>
      <c r="F41" s="679"/>
      <c r="G41" s="678"/>
      <c r="H41" s="678"/>
      <c r="I41" s="678"/>
      <c r="J41" s="678"/>
      <c r="K41" s="678"/>
      <c r="L41" s="678"/>
      <c r="M41" s="678"/>
      <c r="N41" s="678"/>
      <c r="O41" s="678"/>
      <c r="P41" s="678"/>
      <c r="Q41" s="678"/>
      <c r="R41" s="678"/>
      <c r="S41" s="678"/>
      <c r="T41" s="678"/>
      <c r="U41" s="678"/>
      <c r="V41" s="678"/>
      <c r="W41" s="678"/>
      <c r="X41" s="678"/>
      <c r="Y41" s="678"/>
      <c r="Z41" s="678"/>
      <c r="AA41" s="678"/>
      <c r="AB41" s="678"/>
      <c r="AC41" s="678"/>
      <c r="AD41" s="678"/>
      <c r="AE41" s="678"/>
      <c r="AF41" s="678"/>
      <c r="AG41" s="678"/>
      <c r="AH41" s="678"/>
      <c r="AI41" s="678"/>
      <c r="AJ41" s="678"/>
      <c r="AK41" s="678"/>
      <c r="AL41" s="678"/>
      <c r="AM41" s="677"/>
      <c r="AN41" s="662"/>
      <c r="AO41" s="671"/>
      <c r="AP41" s="671"/>
      <c r="AQ41" s="671"/>
      <c r="AR41" s="662"/>
      <c r="AS41" s="662"/>
    </row>
    <row r="42" spans="2:45" ht="20.100000000000001" customHeight="1" thickBot="1">
      <c r="B42" s="670"/>
      <c r="C42" s="676" t="s">
        <v>3337</v>
      </c>
      <c r="D42" s="675"/>
      <c r="E42" s="675"/>
      <c r="F42" s="674"/>
      <c r="G42" s="673"/>
      <c r="H42" s="673"/>
      <c r="I42" s="673"/>
      <c r="J42" s="673"/>
      <c r="K42" s="673"/>
      <c r="L42" s="673"/>
      <c r="M42" s="673"/>
      <c r="N42" s="673"/>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c r="AL42" s="673"/>
      <c r="AM42" s="672"/>
      <c r="AN42" s="662"/>
      <c r="AO42" s="671"/>
      <c r="AP42" s="671"/>
      <c r="AQ42" s="671"/>
      <c r="AR42" s="662"/>
      <c r="AS42" s="662"/>
    </row>
    <row r="43" spans="2:45" ht="20.100000000000001" customHeight="1">
      <c r="B43" s="670"/>
      <c r="C43" s="2180" t="s">
        <v>2677</v>
      </c>
      <c r="D43" s="2129" t="s">
        <v>35</v>
      </c>
      <c r="E43" s="2129"/>
      <c r="F43" s="2129"/>
      <c r="G43" s="2129"/>
      <c r="H43" s="2152"/>
      <c r="I43" s="2153"/>
      <c r="J43" s="2153"/>
      <c r="K43" s="2153"/>
      <c r="L43" s="2153"/>
      <c r="M43" s="2153"/>
      <c r="N43" s="2153"/>
      <c r="O43" s="2153"/>
      <c r="P43" s="2153"/>
      <c r="Q43" s="2153"/>
      <c r="R43" s="2153"/>
      <c r="S43" s="2153"/>
      <c r="T43" s="2153"/>
      <c r="U43" s="2153"/>
      <c r="V43" s="2154"/>
      <c r="W43" s="2129" t="s">
        <v>3335</v>
      </c>
      <c r="X43" s="2129"/>
      <c r="Y43" s="2129"/>
      <c r="Z43" s="2129"/>
      <c r="AA43" s="2170"/>
      <c r="AB43" s="2170"/>
      <c r="AC43" s="2170"/>
      <c r="AD43" s="2170"/>
      <c r="AE43" s="2170"/>
      <c r="AF43" s="2170"/>
      <c r="AG43" s="2170"/>
      <c r="AH43" s="2170"/>
      <c r="AI43" s="2170"/>
      <c r="AJ43" s="2170"/>
      <c r="AK43" s="2170"/>
      <c r="AL43" s="2171"/>
      <c r="AM43" s="669"/>
      <c r="AN43" s="662"/>
    </row>
    <row r="44" spans="2:45" ht="20.100000000000001" customHeight="1">
      <c r="B44" s="670"/>
      <c r="C44" s="2181"/>
      <c r="D44" s="2183" t="s">
        <v>3334</v>
      </c>
      <c r="E44" s="2134"/>
      <c r="F44" s="2134"/>
      <c r="G44" s="2135"/>
      <c r="H44" s="2184"/>
      <c r="I44" s="2185"/>
      <c r="J44" s="2185"/>
      <c r="K44" s="2185"/>
      <c r="L44" s="2185"/>
      <c r="M44" s="2185"/>
      <c r="N44" s="2185"/>
      <c r="O44" s="2185"/>
      <c r="P44" s="2185"/>
      <c r="Q44" s="2185"/>
      <c r="R44" s="2185"/>
      <c r="S44" s="2185"/>
      <c r="T44" s="2185"/>
      <c r="U44" s="2185"/>
      <c r="V44" s="2186"/>
      <c r="W44" s="2141"/>
      <c r="X44" s="2142"/>
      <c r="Y44" s="2142"/>
      <c r="Z44" s="2142"/>
      <c r="AA44" s="2187"/>
      <c r="AB44" s="2188"/>
      <c r="AC44" s="2188"/>
      <c r="AD44" s="2188"/>
      <c r="AE44" s="2188"/>
      <c r="AF44" s="2188"/>
      <c r="AG44" s="2188"/>
      <c r="AH44" s="2188"/>
      <c r="AI44" s="2188"/>
      <c r="AJ44" s="2188"/>
      <c r="AK44" s="2188"/>
      <c r="AL44" s="2189"/>
      <c r="AM44" s="669"/>
      <c r="AN44" s="662"/>
    </row>
    <row r="45" spans="2:45" ht="20.100000000000001" customHeight="1" thickBot="1">
      <c r="B45" s="670"/>
      <c r="C45" s="2182"/>
      <c r="D45" s="2136"/>
      <c r="E45" s="2137"/>
      <c r="F45" s="2137"/>
      <c r="G45" s="2138"/>
      <c r="H45" s="2190"/>
      <c r="I45" s="2178"/>
      <c r="J45" s="2178"/>
      <c r="K45" s="2178"/>
      <c r="L45" s="2178"/>
      <c r="M45" s="2178"/>
      <c r="N45" s="2178"/>
      <c r="O45" s="2178"/>
      <c r="P45" s="2178"/>
      <c r="Q45" s="2178"/>
      <c r="R45" s="2178"/>
      <c r="S45" s="2178"/>
      <c r="T45" s="2178"/>
      <c r="U45" s="2178"/>
      <c r="V45" s="2191"/>
      <c r="W45" s="2174" t="s">
        <v>3333</v>
      </c>
      <c r="X45" s="2175"/>
      <c r="Y45" s="2175"/>
      <c r="Z45" s="2176"/>
      <c r="AA45" s="2177"/>
      <c r="AB45" s="2178"/>
      <c r="AC45" s="2178"/>
      <c r="AD45" s="2178"/>
      <c r="AE45" s="2178"/>
      <c r="AF45" s="2178"/>
      <c r="AG45" s="2178"/>
      <c r="AH45" s="2178"/>
      <c r="AI45" s="2178"/>
      <c r="AJ45" s="2178"/>
      <c r="AK45" s="2178"/>
      <c r="AL45" s="2179"/>
      <c r="AM45" s="669"/>
      <c r="AN45" s="662"/>
    </row>
    <row r="46" spans="2:45" ht="20.100000000000001" customHeight="1">
      <c r="B46" s="670"/>
      <c r="C46" s="2180" t="s">
        <v>2678</v>
      </c>
      <c r="D46" s="2129" t="s">
        <v>35</v>
      </c>
      <c r="E46" s="2129"/>
      <c r="F46" s="2129"/>
      <c r="G46" s="2129"/>
      <c r="H46" s="2152"/>
      <c r="I46" s="2153"/>
      <c r="J46" s="2153"/>
      <c r="K46" s="2153"/>
      <c r="L46" s="2153"/>
      <c r="M46" s="2153"/>
      <c r="N46" s="2153"/>
      <c r="O46" s="2153"/>
      <c r="P46" s="2153"/>
      <c r="Q46" s="2153"/>
      <c r="R46" s="2153"/>
      <c r="S46" s="2153"/>
      <c r="T46" s="2153"/>
      <c r="U46" s="2153"/>
      <c r="V46" s="2154"/>
      <c r="W46" s="2129" t="s">
        <v>3335</v>
      </c>
      <c r="X46" s="2129"/>
      <c r="Y46" s="2129"/>
      <c r="Z46" s="2129"/>
      <c r="AA46" s="2170"/>
      <c r="AB46" s="2170"/>
      <c r="AC46" s="2170"/>
      <c r="AD46" s="2170"/>
      <c r="AE46" s="2170"/>
      <c r="AF46" s="2170"/>
      <c r="AG46" s="2170"/>
      <c r="AH46" s="2170"/>
      <c r="AI46" s="2170"/>
      <c r="AJ46" s="2170"/>
      <c r="AK46" s="2170"/>
      <c r="AL46" s="2171"/>
      <c r="AM46" s="669"/>
      <c r="AN46" s="662"/>
    </row>
    <row r="47" spans="2:45" ht="20.100000000000001" customHeight="1">
      <c r="B47" s="670"/>
      <c r="C47" s="2181"/>
      <c r="D47" s="2183" t="s">
        <v>3334</v>
      </c>
      <c r="E47" s="2134"/>
      <c r="F47" s="2134"/>
      <c r="G47" s="2135"/>
      <c r="H47" s="2184"/>
      <c r="I47" s="2185"/>
      <c r="J47" s="2185"/>
      <c r="K47" s="2185"/>
      <c r="L47" s="2185"/>
      <c r="M47" s="2185"/>
      <c r="N47" s="2185"/>
      <c r="O47" s="2185"/>
      <c r="P47" s="2185"/>
      <c r="Q47" s="2185"/>
      <c r="R47" s="2185"/>
      <c r="S47" s="2185"/>
      <c r="T47" s="2185"/>
      <c r="U47" s="2185"/>
      <c r="V47" s="2186"/>
      <c r="W47" s="2141"/>
      <c r="X47" s="2142"/>
      <c r="Y47" s="2142"/>
      <c r="Z47" s="2142"/>
      <c r="AA47" s="2187"/>
      <c r="AB47" s="2188"/>
      <c r="AC47" s="2188"/>
      <c r="AD47" s="2188"/>
      <c r="AE47" s="2188"/>
      <c r="AF47" s="2188"/>
      <c r="AG47" s="2188"/>
      <c r="AH47" s="2188"/>
      <c r="AI47" s="2188"/>
      <c r="AJ47" s="2188"/>
      <c r="AK47" s="2188"/>
      <c r="AL47" s="2189"/>
      <c r="AM47" s="669"/>
      <c r="AN47" s="662"/>
    </row>
    <row r="48" spans="2:45" ht="20.100000000000001" customHeight="1" thickBot="1">
      <c r="B48" s="670"/>
      <c r="C48" s="2182"/>
      <c r="D48" s="2136"/>
      <c r="E48" s="2137"/>
      <c r="F48" s="2137"/>
      <c r="G48" s="2138"/>
      <c r="H48" s="2190"/>
      <c r="I48" s="2178"/>
      <c r="J48" s="2178"/>
      <c r="K48" s="2178"/>
      <c r="L48" s="2178"/>
      <c r="M48" s="2178"/>
      <c r="N48" s="2178"/>
      <c r="O48" s="2178"/>
      <c r="P48" s="2178"/>
      <c r="Q48" s="2178"/>
      <c r="R48" s="2178"/>
      <c r="S48" s="2178"/>
      <c r="T48" s="2178"/>
      <c r="U48" s="2178"/>
      <c r="V48" s="2191"/>
      <c r="W48" s="2174" t="s">
        <v>3333</v>
      </c>
      <c r="X48" s="2175"/>
      <c r="Y48" s="2175"/>
      <c r="Z48" s="2176"/>
      <c r="AA48" s="2177"/>
      <c r="AB48" s="2178"/>
      <c r="AC48" s="2178"/>
      <c r="AD48" s="2178"/>
      <c r="AE48" s="2178"/>
      <c r="AF48" s="2178"/>
      <c r="AG48" s="2178"/>
      <c r="AH48" s="2178"/>
      <c r="AI48" s="2178"/>
      <c r="AJ48" s="2178"/>
      <c r="AK48" s="2178"/>
      <c r="AL48" s="2179"/>
      <c r="AM48" s="669"/>
      <c r="AN48" s="662"/>
    </row>
    <row r="49" spans="2:45" ht="20.100000000000001" customHeight="1">
      <c r="B49" s="670"/>
      <c r="C49" s="687"/>
      <c r="D49" s="686"/>
      <c r="E49" s="686"/>
      <c r="F49" s="685"/>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684"/>
      <c r="AL49" s="684"/>
      <c r="AM49" s="683"/>
      <c r="AN49" s="662"/>
      <c r="AO49" s="671"/>
      <c r="AP49" s="671"/>
      <c r="AQ49" s="671"/>
      <c r="AR49" s="662"/>
      <c r="AS49" s="662"/>
    </row>
    <row r="50" spans="2:45" ht="3" customHeight="1">
      <c r="B50" s="682"/>
      <c r="C50" s="681"/>
      <c r="D50" s="680"/>
      <c r="E50" s="680"/>
      <c r="F50" s="679"/>
      <c r="G50" s="678"/>
      <c r="H50" s="678"/>
      <c r="I50" s="678"/>
      <c r="J50" s="678"/>
      <c r="K50" s="678"/>
      <c r="L50" s="678"/>
      <c r="M50" s="678"/>
      <c r="N50" s="678"/>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8"/>
      <c r="AM50" s="677"/>
      <c r="AN50" s="662"/>
      <c r="AO50" s="671"/>
      <c r="AP50" s="671"/>
      <c r="AQ50" s="671"/>
      <c r="AR50" s="662"/>
      <c r="AS50" s="662"/>
    </row>
    <row r="51" spans="2:45" ht="20.100000000000001" customHeight="1" thickBot="1">
      <c r="B51" s="670"/>
      <c r="C51" s="676" t="s">
        <v>3336</v>
      </c>
      <c r="D51" s="675"/>
      <c r="E51" s="675"/>
      <c r="F51" s="674"/>
      <c r="G51" s="673"/>
      <c r="H51" s="673"/>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3"/>
      <c r="AH51" s="673"/>
      <c r="AI51" s="673"/>
      <c r="AJ51" s="673"/>
      <c r="AK51" s="673"/>
      <c r="AL51" s="673"/>
      <c r="AM51" s="672"/>
      <c r="AN51" s="662"/>
      <c r="AO51" s="671"/>
      <c r="AP51" s="671"/>
      <c r="AQ51" s="671"/>
      <c r="AR51" s="662"/>
      <c r="AS51" s="662"/>
    </row>
    <row r="52" spans="2:45" ht="20.100000000000001" customHeight="1">
      <c r="B52" s="670"/>
      <c r="C52" s="2180" t="s">
        <v>2677</v>
      </c>
      <c r="D52" s="2129" t="s">
        <v>35</v>
      </c>
      <c r="E52" s="2129"/>
      <c r="F52" s="2129"/>
      <c r="G52" s="2129"/>
      <c r="H52" s="2152"/>
      <c r="I52" s="2153"/>
      <c r="J52" s="2153"/>
      <c r="K52" s="2153"/>
      <c r="L52" s="2153"/>
      <c r="M52" s="2153"/>
      <c r="N52" s="2153"/>
      <c r="O52" s="2153"/>
      <c r="P52" s="2153"/>
      <c r="Q52" s="2153"/>
      <c r="R52" s="2153"/>
      <c r="S52" s="2153"/>
      <c r="T52" s="2153"/>
      <c r="U52" s="2153"/>
      <c r="V52" s="2154"/>
      <c r="W52" s="2129" t="s">
        <v>3335</v>
      </c>
      <c r="X52" s="2129"/>
      <c r="Y52" s="2129"/>
      <c r="Z52" s="2129"/>
      <c r="AA52" s="2170"/>
      <c r="AB52" s="2170"/>
      <c r="AC52" s="2170"/>
      <c r="AD52" s="2170"/>
      <c r="AE52" s="2170"/>
      <c r="AF52" s="2170"/>
      <c r="AG52" s="2170"/>
      <c r="AH52" s="2170"/>
      <c r="AI52" s="2170"/>
      <c r="AJ52" s="2170"/>
      <c r="AK52" s="2170"/>
      <c r="AL52" s="2171"/>
      <c r="AM52" s="669"/>
      <c r="AN52" s="662"/>
    </row>
    <row r="53" spans="2:45" ht="20.100000000000001" customHeight="1">
      <c r="B53" s="670"/>
      <c r="C53" s="2181"/>
      <c r="D53" s="2183" t="s">
        <v>3334</v>
      </c>
      <c r="E53" s="2134"/>
      <c r="F53" s="2134"/>
      <c r="G53" s="2135"/>
      <c r="H53" s="2184"/>
      <c r="I53" s="2185"/>
      <c r="J53" s="2185"/>
      <c r="K53" s="2185"/>
      <c r="L53" s="2185"/>
      <c r="M53" s="2185"/>
      <c r="N53" s="2185"/>
      <c r="O53" s="2185"/>
      <c r="P53" s="2185"/>
      <c r="Q53" s="2185"/>
      <c r="R53" s="2185"/>
      <c r="S53" s="2185"/>
      <c r="T53" s="2185"/>
      <c r="U53" s="2185"/>
      <c r="V53" s="2186"/>
      <c r="W53" s="2141"/>
      <c r="X53" s="2142"/>
      <c r="Y53" s="2142"/>
      <c r="Z53" s="2142"/>
      <c r="AA53" s="2187"/>
      <c r="AB53" s="2188"/>
      <c r="AC53" s="2188"/>
      <c r="AD53" s="2188"/>
      <c r="AE53" s="2188"/>
      <c r="AF53" s="2188"/>
      <c r="AG53" s="2188"/>
      <c r="AH53" s="2188"/>
      <c r="AI53" s="2188"/>
      <c r="AJ53" s="2188"/>
      <c r="AK53" s="2188"/>
      <c r="AL53" s="2189"/>
      <c r="AM53" s="669"/>
      <c r="AN53" s="662"/>
    </row>
    <row r="54" spans="2:45" ht="20.100000000000001" customHeight="1" thickBot="1">
      <c r="B54" s="670"/>
      <c r="C54" s="2182"/>
      <c r="D54" s="2136"/>
      <c r="E54" s="2137"/>
      <c r="F54" s="2137"/>
      <c r="G54" s="2138"/>
      <c r="H54" s="2190"/>
      <c r="I54" s="2178"/>
      <c r="J54" s="2178"/>
      <c r="K54" s="2178"/>
      <c r="L54" s="2178"/>
      <c r="M54" s="2178"/>
      <c r="N54" s="2178"/>
      <c r="O54" s="2178"/>
      <c r="P54" s="2178"/>
      <c r="Q54" s="2178"/>
      <c r="R54" s="2178"/>
      <c r="S54" s="2178"/>
      <c r="T54" s="2178"/>
      <c r="U54" s="2178"/>
      <c r="V54" s="2191"/>
      <c r="W54" s="2174" t="s">
        <v>3333</v>
      </c>
      <c r="X54" s="2175"/>
      <c r="Y54" s="2175"/>
      <c r="Z54" s="2176"/>
      <c r="AA54" s="2177"/>
      <c r="AB54" s="2178"/>
      <c r="AC54" s="2178"/>
      <c r="AD54" s="2178"/>
      <c r="AE54" s="2178"/>
      <c r="AF54" s="2178"/>
      <c r="AG54" s="2178"/>
      <c r="AH54" s="2178"/>
      <c r="AI54" s="2178"/>
      <c r="AJ54" s="2178"/>
      <c r="AK54" s="2178"/>
      <c r="AL54" s="2179"/>
      <c r="AM54" s="669"/>
      <c r="AN54" s="662"/>
    </row>
    <row r="55" spans="2:45">
      <c r="B55" s="668"/>
      <c r="C55" s="667"/>
      <c r="D55" s="665"/>
      <c r="E55" s="665"/>
      <c r="F55" s="665"/>
      <c r="G55" s="665"/>
      <c r="H55" s="666"/>
      <c r="I55" s="666"/>
      <c r="J55" s="666"/>
      <c r="K55" s="666"/>
      <c r="L55" s="666"/>
      <c r="M55" s="666"/>
      <c r="N55" s="666"/>
      <c r="O55" s="666"/>
      <c r="P55" s="666"/>
      <c r="Q55" s="666"/>
      <c r="R55" s="666"/>
      <c r="S55" s="666"/>
      <c r="T55" s="666"/>
      <c r="U55" s="666"/>
      <c r="V55" s="666"/>
      <c r="W55" s="665"/>
      <c r="X55" s="665"/>
      <c r="Y55" s="665"/>
      <c r="Z55" s="664"/>
      <c r="AA55" s="664"/>
      <c r="AB55" s="664"/>
      <c r="AC55" s="664"/>
      <c r="AD55" s="664"/>
      <c r="AE55" s="664"/>
      <c r="AF55" s="664"/>
      <c r="AG55" s="664"/>
      <c r="AH55" s="664"/>
      <c r="AI55" s="664"/>
      <c r="AJ55" s="664"/>
      <c r="AK55" s="664"/>
      <c r="AL55" s="664"/>
      <c r="AM55" s="663"/>
      <c r="AN55" s="662"/>
      <c r="AO55" s="662"/>
      <c r="AP55" s="662"/>
      <c r="AQ55" s="662"/>
      <c r="AR55" s="662"/>
      <c r="AS55" s="662"/>
    </row>
    <row r="56" spans="2:45" ht="14.4">
      <c r="B56" s="660"/>
      <c r="C56" s="660"/>
      <c r="D56" s="661"/>
      <c r="E56" s="661"/>
      <c r="F56" s="661"/>
      <c r="G56" s="660"/>
      <c r="H56" s="660"/>
      <c r="I56" s="660"/>
      <c r="J56" s="660"/>
      <c r="K56" s="660"/>
      <c r="L56" s="660"/>
      <c r="M56" s="660"/>
      <c r="N56" s="660"/>
      <c r="O56" s="660"/>
      <c r="P56" s="660"/>
      <c r="Q56" s="660"/>
      <c r="R56" s="660"/>
      <c r="S56" s="660"/>
      <c r="T56" s="660"/>
      <c r="U56" s="660"/>
      <c r="V56" s="660"/>
      <c r="W56" s="660"/>
      <c r="X56" s="660"/>
      <c r="Y56" s="660"/>
      <c r="Z56" s="660"/>
      <c r="AA56" s="660"/>
      <c r="AB56" s="660"/>
      <c r="AC56" s="660"/>
      <c r="AD56" s="660"/>
      <c r="AE56" s="660"/>
      <c r="AF56" s="660"/>
      <c r="AG56" s="660"/>
      <c r="AH56" s="660"/>
      <c r="AI56" s="660"/>
      <c r="AJ56" s="660"/>
      <c r="AK56" s="660"/>
      <c r="AL56" s="660"/>
      <c r="AM56" s="660"/>
      <c r="AN56" s="660"/>
      <c r="AO56" s="660"/>
      <c r="AP56" s="660"/>
      <c r="AQ56" s="660"/>
      <c r="AR56" s="660"/>
      <c r="AS56" s="660"/>
    </row>
  </sheetData>
  <mergeCells count="173">
    <mergeCell ref="C46:C48"/>
    <mergeCell ref="D46:G46"/>
    <mergeCell ref="H46:V46"/>
    <mergeCell ref="W46:Z46"/>
    <mergeCell ref="AA46:AL46"/>
    <mergeCell ref="D47:G48"/>
    <mergeCell ref="AA53:AL53"/>
    <mergeCell ref="H54:V54"/>
    <mergeCell ref="H47:V47"/>
    <mergeCell ref="W47:Z47"/>
    <mergeCell ref="AA47:AL47"/>
    <mergeCell ref="H48:V48"/>
    <mergeCell ref="W48:Z48"/>
    <mergeCell ref="AA48:AL48"/>
    <mergeCell ref="W54:Z54"/>
    <mergeCell ref="AA54:AL54"/>
    <mergeCell ref="C52:C54"/>
    <mergeCell ref="D52:G52"/>
    <mergeCell ref="H52:V52"/>
    <mergeCell ref="W52:Z52"/>
    <mergeCell ref="AA52:AL52"/>
    <mergeCell ref="D53:G54"/>
    <mergeCell ref="H53:V53"/>
    <mergeCell ref="W53:Z53"/>
    <mergeCell ref="C43:C45"/>
    <mergeCell ref="D43:G43"/>
    <mergeCell ref="H43:V43"/>
    <mergeCell ref="W43:Z43"/>
    <mergeCell ref="AA43:AL43"/>
    <mergeCell ref="D44:G45"/>
    <mergeCell ref="H44:V44"/>
    <mergeCell ref="W44:Z44"/>
    <mergeCell ref="AA44:AL44"/>
    <mergeCell ref="H45:V45"/>
    <mergeCell ref="W45:Z45"/>
    <mergeCell ref="AA45:AL45"/>
    <mergeCell ref="C37:C39"/>
    <mergeCell ref="D37:G37"/>
    <mergeCell ref="H37:V37"/>
    <mergeCell ref="W37:Z37"/>
    <mergeCell ref="AA37:AL37"/>
    <mergeCell ref="D38:G39"/>
    <mergeCell ref="I38:L38"/>
    <mergeCell ref="W38:Z38"/>
    <mergeCell ref="AA38:AL38"/>
    <mergeCell ref="H39:V39"/>
    <mergeCell ref="W39:Z39"/>
    <mergeCell ref="AA39:AL39"/>
    <mergeCell ref="C34:C36"/>
    <mergeCell ref="D34:G34"/>
    <mergeCell ref="H34:V34"/>
    <mergeCell ref="W34:Z34"/>
    <mergeCell ref="AA34:AL34"/>
    <mergeCell ref="D35:G36"/>
    <mergeCell ref="I35:L35"/>
    <mergeCell ref="W35:Z35"/>
    <mergeCell ref="AA35:AL35"/>
    <mergeCell ref="H36:V36"/>
    <mergeCell ref="W36:Z36"/>
    <mergeCell ref="AA36:AL36"/>
    <mergeCell ref="C31:C33"/>
    <mergeCell ref="D31:G31"/>
    <mergeCell ref="H31:V31"/>
    <mergeCell ref="W31:Z31"/>
    <mergeCell ref="AA31:AL31"/>
    <mergeCell ref="D32:G33"/>
    <mergeCell ref="I32:L32"/>
    <mergeCell ref="W32:Z32"/>
    <mergeCell ref="AA32:AL32"/>
    <mergeCell ref="H33:V33"/>
    <mergeCell ref="W33:Z33"/>
    <mergeCell ref="AA33:AL33"/>
    <mergeCell ref="C28:C30"/>
    <mergeCell ref="D28:G28"/>
    <mergeCell ref="H28:V28"/>
    <mergeCell ref="W28:Z28"/>
    <mergeCell ref="AA28:AL28"/>
    <mergeCell ref="D29:G30"/>
    <mergeCell ref="I29:L29"/>
    <mergeCell ref="W29:Z29"/>
    <mergeCell ref="AA29:AL29"/>
    <mergeCell ref="H30:V30"/>
    <mergeCell ref="W30:Z30"/>
    <mergeCell ref="AA30:AL30"/>
    <mergeCell ref="C25:C27"/>
    <mergeCell ref="D25:G25"/>
    <mergeCell ref="H25:V25"/>
    <mergeCell ref="W25:Z25"/>
    <mergeCell ref="AA25:AL25"/>
    <mergeCell ref="D26:G27"/>
    <mergeCell ref="W22:Z22"/>
    <mergeCell ref="AA22:AD22"/>
    <mergeCell ref="AE22:AH22"/>
    <mergeCell ref="AI22:AL22"/>
    <mergeCell ref="I26:L26"/>
    <mergeCell ref="W26:Z26"/>
    <mergeCell ref="AA26:AL26"/>
    <mergeCell ref="H27:V27"/>
    <mergeCell ref="W27:Z27"/>
    <mergeCell ref="AA27:AL27"/>
    <mergeCell ref="C20:C22"/>
    <mergeCell ref="D20:G20"/>
    <mergeCell ref="H20:V20"/>
    <mergeCell ref="W20:Z20"/>
    <mergeCell ref="AA20:AL20"/>
    <mergeCell ref="D21:G22"/>
    <mergeCell ref="I21:L21"/>
    <mergeCell ref="W21:Z21"/>
    <mergeCell ref="AA21:AL21"/>
    <mergeCell ref="H22:V22"/>
    <mergeCell ref="AA15:AL15"/>
    <mergeCell ref="H16:V16"/>
    <mergeCell ref="C17:C19"/>
    <mergeCell ref="D17:G17"/>
    <mergeCell ref="H17:V17"/>
    <mergeCell ref="W17:Z17"/>
    <mergeCell ref="AA17:AL17"/>
    <mergeCell ref="D18:G19"/>
    <mergeCell ref="I18:L18"/>
    <mergeCell ref="W18:Z18"/>
    <mergeCell ref="AA18:AL18"/>
    <mergeCell ref="H19:V19"/>
    <mergeCell ref="W16:Z16"/>
    <mergeCell ref="AA16:AD16"/>
    <mergeCell ref="AE16:AH16"/>
    <mergeCell ref="AI16:AL16"/>
    <mergeCell ref="W19:Z19"/>
    <mergeCell ref="AA19:AD19"/>
    <mergeCell ref="B3:AM3"/>
    <mergeCell ref="D5:G5"/>
    <mergeCell ref="H5:AL5"/>
    <mergeCell ref="H6:M6"/>
    <mergeCell ref="N6:P6"/>
    <mergeCell ref="AA6:AC6"/>
    <mergeCell ref="AE19:AH19"/>
    <mergeCell ref="AI19:AL19"/>
    <mergeCell ref="W12:Z12"/>
    <mergeCell ref="AA12:AL12"/>
    <mergeCell ref="H13:V13"/>
    <mergeCell ref="W13:Z13"/>
    <mergeCell ref="AA13:AD13"/>
    <mergeCell ref="AE13:AH13"/>
    <mergeCell ref="AI13:AL13"/>
    <mergeCell ref="I12:L12"/>
    <mergeCell ref="C14:C16"/>
    <mergeCell ref="D14:G14"/>
    <mergeCell ref="H14:V14"/>
    <mergeCell ref="W14:Z14"/>
    <mergeCell ref="AA14:AL14"/>
    <mergeCell ref="D15:G16"/>
    <mergeCell ref="I15:L15"/>
    <mergeCell ref="W15:Z15"/>
    <mergeCell ref="W8:Z8"/>
    <mergeCell ref="AA8:AL8"/>
    <mergeCell ref="D9:G10"/>
    <mergeCell ref="I9:L9"/>
    <mergeCell ref="W9:Z9"/>
    <mergeCell ref="AA9:AL9"/>
    <mergeCell ref="H10:V10"/>
    <mergeCell ref="AH6:AJ6"/>
    <mergeCell ref="C11:C13"/>
    <mergeCell ref="D11:G11"/>
    <mergeCell ref="H11:V11"/>
    <mergeCell ref="W11:Z11"/>
    <mergeCell ref="AA11:AL11"/>
    <mergeCell ref="D12:G13"/>
    <mergeCell ref="C8:C10"/>
    <mergeCell ref="D8:G8"/>
    <mergeCell ref="H8:V8"/>
    <mergeCell ref="W10:Z10"/>
    <mergeCell ref="AA10:AD10"/>
    <mergeCell ref="AE10:AH10"/>
    <mergeCell ref="AI10:AL10"/>
  </mergeCells>
  <phoneticPr fontId="122"/>
  <pageMargins left="0.70866141732283472" right="0" top="0" bottom="0" header="0.27559055118110237" footer="0.19685039370078741"/>
  <pageSetup paperSize="9" scale="82" orientation="portrait" blackAndWhite="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1:AV74"/>
  <sheetViews>
    <sheetView topLeftCell="AL1" workbookViewId="0">
      <selection activeCell="AS22" sqref="AS22"/>
    </sheetView>
  </sheetViews>
  <sheetFormatPr defaultColWidth="9" defaultRowHeight="13.2"/>
  <cols>
    <col min="1" max="1" width="7.109375" bestFit="1" customWidth="1"/>
    <col min="2" max="2" width="6.109375" customWidth="1"/>
    <col min="3" max="3" width="5.21875" customWidth="1"/>
    <col min="4" max="4" width="4.88671875" customWidth="1"/>
    <col min="5" max="30" width="5.88671875" customWidth="1"/>
    <col min="31" max="31" width="12" customWidth="1"/>
    <col min="32" max="32" width="10" customWidth="1"/>
    <col min="33" max="33" width="9" style="3" customWidth="1"/>
    <col min="34" max="34" width="23.88671875" customWidth="1"/>
    <col min="35" max="35" width="7.33203125" style="3" customWidth="1"/>
    <col min="37" max="37" width="9" style="3" customWidth="1"/>
    <col min="41" max="41" width="8" customWidth="1"/>
    <col min="42" max="42" width="6.77734375" customWidth="1"/>
  </cols>
  <sheetData>
    <row r="1" spans="1:48">
      <c r="A1" s="1281" t="s">
        <v>116</v>
      </c>
      <c r="E1" s="1281" t="s">
        <v>117</v>
      </c>
      <c r="R1" s="1281" t="s">
        <v>118</v>
      </c>
      <c r="AO1" s="1281" t="s">
        <v>119</v>
      </c>
      <c r="AQ1" s="1281" t="s">
        <v>3151</v>
      </c>
    </row>
    <row r="2" spans="1:48">
      <c r="A2" s="4" t="s">
        <v>120</v>
      </c>
      <c r="B2" s="4" t="s">
        <v>121</v>
      </c>
      <c r="C2" s="4" t="s">
        <v>13</v>
      </c>
      <c r="D2" s="4" t="s">
        <v>46</v>
      </c>
      <c r="E2" s="5" t="s">
        <v>122</v>
      </c>
      <c r="F2" s="5" t="s">
        <v>123</v>
      </c>
      <c r="G2" s="5" t="s">
        <v>124</v>
      </c>
      <c r="H2" s="5" t="s">
        <v>125</v>
      </c>
      <c r="I2" s="5" t="s">
        <v>126</v>
      </c>
      <c r="J2" s="5" t="s">
        <v>127</v>
      </c>
      <c r="K2" s="5" t="s">
        <v>128</v>
      </c>
      <c r="L2" s="5" t="s">
        <v>129</v>
      </c>
      <c r="M2" s="5" t="s">
        <v>130</v>
      </c>
      <c r="N2" s="5" t="s">
        <v>131</v>
      </c>
      <c r="O2" s="5" t="s">
        <v>132</v>
      </c>
      <c r="P2" s="5" t="s">
        <v>133</v>
      </c>
      <c r="Q2" s="5" t="s">
        <v>134</v>
      </c>
      <c r="R2" s="6" t="s">
        <v>122</v>
      </c>
      <c r="S2" s="6" t="s">
        <v>123</v>
      </c>
      <c r="T2" s="6" t="s">
        <v>124</v>
      </c>
      <c r="U2" s="6" t="s">
        <v>125</v>
      </c>
      <c r="V2" s="6" t="s">
        <v>126</v>
      </c>
      <c r="W2" s="6" t="s">
        <v>127</v>
      </c>
      <c r="X2" s="6" t="s">
        <v>128</v>
      </c>
      <c r="Y2" s="6" t="s">
        <v>129</v>
      </c>
      <c r="Z2" s="6" t="s">
        <v>130</v>
      </c>
      <c r="AA2" s="6" t="s">
        <v>131</v>
      </c>
      <c r="AB2" s="6" t="s">
        <v>132</v>
      </c>
      <c r="AC2" s="6" t="s">
        <v>133</v>
      </c>
      <c r="AD2" s="6" t="s">
        <v>134</v>
      </c>
      <c r="AE2" s="4" t="s">
        <v>135</v>
      </c>
      <c r="AF2" s="4" t="s">
        <v>136</v>
      </c>
      <c r="AG2" s="4" t="s">
        <v>137</v>
      </c>
      <c r="AH2" s="4" t="s">
        <v>138</v>
      </c>
      <c r="AI2" s="4" t="s">
        <v>139</v>
      </c>
      <c r="AJ2" s="4" t="s">
        <v>140</v>
      </c>
      <c r="AK2" s="4" t="s">
        <v>141</v>
      </c>
      <c r="AL2" s="4" t="s">
        <v>142</v>
      </c>
      <c r="AM2" s="4" t="s">
        <v>143</v>
      </c>
      <c r="AN2" s="4" t="s">
        <v>144</v>
      </c>
      <c r="AO2" s="5" t="s">
        <v>38</v>
      </c>
      <c r="AP2" s="5" t="s">
        <v>38</v>
      </c>
      <c r="AQ2" s="384" t="s">
        <v>38</v>
      </c>
      <c r="AR2" s="384" t="s">
        <v>38</v>
      </c>
      <c r="AS2" s="384" t="s">
        <v>3152</v>
      </c>
      <c r="AT2" s="384" t="s">
        <v>3153</v>
      </c>
      <c r="AU2" s="384" t="s">
        <v>3154</v>
      </c>
      <c r="AV2" s="384" t="s">
        <v>54</v>
      </c>
    </row>
    <row r="3" spans="1:48">
      <c r="A3" s="1281" t="s">
        <v>145</v>
      </c>
      <c r="B3" s="1281" t="s">
        <v>146</v>
      </c>
      <c r="C3" s="1281" t="s">
        <v>146</v>
      </c>
      <c r="D3" s="1281" t="s">
        <v>147</v>
      </c>
      <c r="E3" s="1281">
        <v>0.5</v>
      </c>
      <c r="F3" s="1281">
        <v>0.5</v>
      </c>
      <c r="G3" s="1281">
        <v>1</v>
      </c>
      <c r="H3" s="1281">
        <v>1</v>
      </c>
      <c r="I3" s="1281">
        <v>1</v>
      </c>
      <c r="J3" s="1281">
        <v>1</v>
      </c>
      <c r="K3" s="1281">
        <v>1</v>
      </c>
      <c r="L3" s="1281">
        <v>1</v>
      </c>
      <c r="M3" s="1281">
        <v>2</v>
      </c>
      <c r="N3" s="1281">
        <v>1</v>
      </c>
      <c r="O3" s="1281">
        <v>1</v>
      </c>
      <c r="P3" s="1281">
        <v>1</v>
      </c>
      <c r="Q3" s="1281">
        <v>0.5</v>
      </c>
      <c r="R3" s="1281">
        <v>0.3</v>
      </c>
      <c r="S3" s="1281">
        <v>0.3</v>
      </c>
      <c r="T3" s="1281">
        <v>0.3</v>
      </c>
      <c r="U3" s="1281">
        <v>0.3</v>
      </c>
      <c r="V3" s="1281">
        <v>0.5</v>
      </c>
      <c r="W3" s="1281">
        <v>0.5</v>
      </c>
      <c r="X3" s="1281">
        <v>0.5</v>
      </c>
      <c r="Y3" s="1281">
        <v>0.6</v>
      </c>
      <c r="Z3" s="1281">
        <v>0.8</v>
      </c>
      <c r="AA3" s="1281">
        <v>0.5</v>
      </c>
      <c r="AB3" s="1281">
        <v>0.5</v>
      </c>
      <c r="AC3" s="1281">
        <v>0.3</v>
      </c>
      <c r="AD3" s="1281">
        <v>0.3</v>
      </c>
      <c r="AE3" s="1281" t="s">
        <v>122</v>
      </c>
      <c r="AF3" s="1281" t="s">
        <v>13</v>
      </c>
      <c r="AG3" s="3" t="s">
        <v>148</v>
      </c>
      <c r="AH3" s="1281" t="s">
        <v>58</v>
      </c>
      <c r="AI3" s="3" t="s">
        <v>149</v>
      </c>
      <c r="AJ3" s="1281" t="s">
        <v>150</v>
      </c>
      <c r="AK3" s="3" t="s">
        <v>151</v>
      </c>
      <c r="AL3" s="1281" t="s">
        <v>152</v>
      </c>
      <c r="AM3" s="3" t="s">
        <v>143</v>
      </c>
      <c r="AN3" s="1281" t="s">
        <v>153</v>
      </c>
      <c r="AO3" s="3" t="s">
        <v>154</v>
      </c>
      <c r="AP3" s="1281" t="s">
        <v>2836</v>
      </c>
      <c r="AQ3" s="3" t="s">
        <v>154</v>
      </c>
      <c r="AR3" s="1281" t="s">
        <v>3155</v>
      </c>
      <c r="AS3" s="3" t="s">
        <v>148</v>
      </c>
      <c r="AT3" s="3" t="s">
        <v>58</v>
      </c>
      <c r="AU3" s="3" t="s">
        <v>154</v>
      </c>
      <c r="AV3" s="1281" t="s">
        <v>13</v>
      </c>
    </row>
    <row r="4" spans="1:48">
      <c r="B4" s="1281" t="s">
        <v>155</v>
      </c>
      <c r="C4" s="1281" t="s">
        <v>155</v>
      </c>
      <c r="D4" s="1281" t="s">
        <v>145</v>
      </c>
      <c r="E4" s="1281">
        <v>0.6</v>
      </c>
      <c r="F4" s="1281">
        <v>0.6</v>
      </c>
      <c r="G4" s="1281">
        <v>1.5</v>
      </c>
      <c r="H4" s="1281">
        <v>1.5</v>
      </c>
      <c r="I4" s="1281">
        <v>1.5</v>
      </c>
      <c r="J4" s="1281">
        <v>1.5</v>
      </c>
      <c r="K4" s="1281">
        <v>1.5</v>
      </c>
      <c r="L4" s="1281">
        <v>1.5</v>
      </c>
      <c r="M4" s="1281">
        <v>3</v>
      </c>
      <c r="N4" s="1281">
        <v>1.5</v>
      </c>
      <c r="O4" s="1281">
        <v>1.5</v>
      </c>
      <c r="P4" s="1281">
        <v>1.5</v>
      </c>
      <c r="Q4" s="1281">
        <v>0.8</v>
      </c>
      <c r="R4" s="1281">
        <v>0.4</v>
      </c>
      <c r="S4" s="1281">
        <v>0.4</v>
      </c>
      <c r="T4" s="1281">
        <v>0.4</v>
      </c>
      <c r="U4" s="1281">
        <v>0.4</v>
      </c>
      <c r="V4" s="1281">
        <v>0.6</v>
      </c>
      <c r="W4" s="1281">
        <v>0.6</v>
      </c>
      <c r="X4" s="1281">
        <v>0.6</v>
      </c>
      <c r="Y4" s="1281">
        <v>0.8</v>
      </c>
      <c r="AA4" s="1281">
        <v>0.6</v>
      </c>
      <c r="AB4" s="1281">
        <v>0.6</v>
      </c>
      <c r="AC4" s="1281">
        <v>0.4</v>
      </c>
      <c r="AD4" s="1281">
        <v>0.4</v>
      </c>
      <c r="AE4" s="1281" t="s">
        <v>123</v>
      </c>
      <c r="AF4" s="1281" t="s">
        <v>156</v>
      </c>
      <c r="AG4" s="3" t="s">
        <v>157</v>
      </c>
      <c r="AH4" s="1281" t="s">
        <v>158</v>
      </c>
      <c r="AI4" s="3" t="s">
        <v>159</v>
      </c>
      <c r="AJ4" s="1281" t="s">
        <v>160</v>
      </c>
      <c r="AK4" s="3" t="s">
        <v>161</v>
      </c>
      <c r="AL4" s="1281" t="s">
        <v>162</v>
      </c>
      <c r="AM4" s="3" t="s">
        <v>163</v>
      </c>
      <c r="AN4" s="1281" t="s">
        <v>164</v>
      </c>
      <c r="AO4" s="3" t="s">
        <v>165</v>
      </c>
      <c r="AP4" s="1281" t="s">
        <v>2837</v>
      </c>
      <c r="AQ4" s="3" t="s">
        <v>165</v>
      </c>
      <c r="AR4" s="1281" t="s">
        <v>3156</v>
      </c>
      <c r="AS4" s="3" t="s">
        <v>157</v>
      </c>
      <c r="AT4" s="3" t="s">
        <v>158</v>
      </c>
      <c r="AU4" s="3" t="s">
        <v>165</v>
      </c>
      <c r="AV4" s="1281" t="s">
        <v>197</v>
      </c>
    </row>
    <row r="5" spans="1:48">
      <c r="B5" s="1281" t="s">
        <v>166</v>
      </c>
      <c r="C5" s="1281" t="s">
        <v>166</v>
      </c>
      <c r="D5" s="1281" t="s">
        <v>146</v>
      </c>
      <c r="E5" s="1281">
        <v>0.8</v>
      </c>
      <c r="F5" s="1281">
        <v>0.8</v>
      </c>
      <c r="G5" s="1281">
        <v>2</v>
      </c>
      <c r="H5" s="1281">
        <v>2</v>
      </c>
      <c r="I5" s="1281">
        <v>2</v>
      </c>
      <c r="J5" s="1281">
        <v>2</v>
      </c>
      <c r="K5" s="1281">
        <v>2</v>
      </c>
      <c r="L5" s="1281">
        <v>2</v>
      </c>
      <c r="M5" s="1281">
        <v>4</v>
      </c>
      <c r="N5" s="1281">
        <v>2</v>
      </c>
      <c r="O5" s="1281">
        <v>2</v>
      </c>
      <c r="P5" s="1281">
        <v>2</v>
      </c>
      <c r="Q5" s="1281">
        <v>1</v>
      </c>
      <c r="R5" s="1281">
        <v>0.5</v>
      </c>
      <c r="S5" s="1281">
        <v>0.5</v>
      </c>
      <c r="T5" s="1281">
        <v>0.5</v>
      </c>
      <c r="U5" s="1281">
        <v>0.5</v>
      </c>
      <c r="V5" s="1281">
        <v>0.8</v>
      </c>
      <c r="W5" s="1281">
        <v>0.8</v>
      </c>
      <c r="X5" s="1281">
        <v>0.8</v>
      </c>
      <c r="AA5" s="1281">
        <v>0.8</v>
      </c>
      <c r="AC5" s="1281">
        <v>0.5</v>
      </c>
      <c r="AD5" s="1281">
        <v>0.5</v>
      </c>
      <c r="AE5" s="1281" t="s">
        <v>124</v>
      </c>
      <c r="AF5" s="1281" t="s">
        <v>167</v>
      </c>
      <c r="AG5" s="3" t="s">
        <v>168</v>
      </c>
      <c r="AH5" s="1281" t="s">
        <v>169</v>
      </c>
      <c r="AI5" s="3" t="s">
        <v>170</v>
      </c>
      <c r="AJ5" s="1281" t="s">
        <v>171</v>
      </c>
      <c r="AK5" s="3" t="s">
        <v>172</v>
      </c>
      <c r="AL5" s="1281" t="s">
        <v>173</v>
      </c>
      <c r="AM5" s="3" t="s">
        <v>174</v>
      </c>
      <c r="AN5" s="1281" t="s">
        <v>175</v>
      </c>
      <c r="AO5" s="3" t="s">
        <v>176</v>
      </c>
      <c r="AP5" s="1281" t="s">
        <v>2838</v>
      </c>
      <c r="AQ5" s="1281">
        <v>10</v>
      </c>
      <c r="AR5" s="1281" t="s">
        <v>3157</v>
      </c>
      <c r="AS5" s="3" t="s">
        <v>168</v>
      </c>
      <c r="AT5" s="3" t="s">
        <v>169</v>
      </c>
      <c r="AU5" s="3" t="s">
        <v>176</v>
      </c>
      <c r="AV5" s="1281" t="s">
        <v>187</v>
      </c>
    </row>
    <row r="6" spans="1:48">
      <c r="B6" s="1281" t="s">
        <v>177</v>
      </c>
      <c r="C6" s="1281" t="s">
        <v>177</v>
      </c>
      <c r="D6" s="1281" t="s">
        <v>155</v>
      </c>
      <c r="E6" s="1281">
        <v>1</v>
      </c>
      <c r="F6" s="1281">
        <v>1</v>
      </c>
      <c r="G6" s="1281">
        <v>3</v>
      </c>
      <c r="H6" s="1281">
        <v>3</v>
      </c>
      <c r="I6" s="1281">
        <v>3</v>
      </c>
      <c r="J6" s="1281">
        <v>3</v>
      </c>
      <c r="K6" s="1281">
        <v>3</v>
      </c>
      <c r="L6" s="1281">
        <v>3</v>
      </c>
      <c r="M6" s="1281">
        <v>5</v>
      </c>
      <c r="N6" s="1281">
        <v>3</v>
      </c>
      <c r="O6" s="1281">
        <v>3</v>
      </c>
      <c r="P6" s="1281">
        <v>3</v>
      </c>
      <c r="Q6" s="1281">
        <v>2</v>
      </c>
      <c r="R6" s="1281">
        <v>0.6</v>
      </c>
      <c r="S6" s="1281">
        <v>0.6</v>
      </c>
      <c r="T6" s="1281">
        <v>0.6</v>
      </c>
      <c r="U6" s="1281">
        <v>0.6</v>
      </c>
      <c r="AC6" s="1281">
        <v>0.6</v>
      </c>
      <c r="AD6" s="1281">
        <v>0.6</v>
      </c>
      <c r="AE6" s="1281" t="s">
        <v>125</v>
      </c>
      <c r="AF6" s="1281" t="s">
        <v>14</v>
      </c>
      <c r="AG6" s="3" t="s">
        <v>178</v>
      </c>
      <c r="AH6" s="1281" t="s">
        <v>179</v>
      </c>
      <c r="AI6" s="3" t="s">
        <v>180</v>
      </c>
      <c r="AJ6" s="1281" t="s">
        <v>181</v>
      </c>
      <c r="AK6" s="3" t="s">
        <v>182</v>
      </c>
      <c r="AL6" s="1281" t="s">
        <v>183</v>
      </c>
      <c r="AM6" s="3" t="s">
        <v>184</v>
      </c>
      <c r="AO6" s="3" t="s">
        <v>185</v>
      </c>
      <c r="AP6" s="1281" t="s">
        <v>2839</v>
      </c>
      <c r="AQ6" s="1281">
        <v>11</v>
      </c>
      <c r="AR6" s="1281" t="s">
        <v>3158</v>
      </c>
      <c r="AS6" s="3" t="s">
        <v>178</v>
      </c>
      <c r="AT6" s="3" t="s">
        <v>179</v>
      </c>
      <c r="AU6" s="3" t="s">
        <v>185</v>
      </c>
      <c r="AV6" s="1281" t="s">
        <v>14</v>
      </c>
    </row>
    <row r="7" spans="1:48">
      <c r="B7" s="1281" t="s">
        <v>186</v>
      </c>
      <c r="C7" s="1281" t="s">
        <v>186</v>
      </c>
      <c r="D7" s="1281" t="s">
        <v>166</v>
      </c>
      <c r="E7" s="1281">
        <v>1.5</v>
      </c>
      <c r="F7" s="1281">
        <v>1.5</v>
      </c>
      <c r="G7" s="1281">
        <v>4</v>
      </c>
      <c r="H7" s="1281">
        <v>4</v>
      </c>
      <c r="I7" s="1281">
        <v>4</v>
      </c>
      <c r="J7" s="1281">
        <v>4</v>
      </c>
      <c r="K7" s="1281">
        <v>4</v>
      </c>
      <c r="L7" s="1281">
        <v>4</v>
      </c>
      <c r="M7" s="1281">
        <v>6</v>
      </c>
      <c r="N7" s="1281">
        <v>4</v>
      </c>
      <c r="O7" s="1281">
        <v>4</v>
      </c>
      <c r="P7" s="1281">
        <v>4</v>
      </c>
      <c r="Q7" s="1281">
        <v>3</v>
      </c>
      <c r="AD7" s="1281">
        <v>0.7</v>
      </c>
      <c r="AE7" s="1281" t="s">
        <v>126</v>
      </c>
      <c r="AF7" s="1281" t="s">
        <v>187</v>
      </c>
      <c r="AG7" s="3" t="s">
        <v>188</v>
      </c>
      <c r="AH7" s="1281" t="s">
        <v>189</v>
      </c>
      <c r="AI7" s="3" t="s">
        <v>190</v>
      </c>
      <c r="AJ7" s="1281" t="s">
        <v>191</v>
      </c>
      <c r="AK7" s="3" t="s">
        <v>192</v>
      </c>
      <c r="AL7" s="1281" t="s">
        <v>193</v>
      </c>
      <c r="AM7" s="3" t="s">
        <v>194</v>
      </c>
      <c r="AO7" s="3" t="s">
        <v>195</v>
      </c>
      <c r="AP7" s="1281" t="s">
        <v>2840</v>
      </c>
      <c r="AQ7" s="1281">
        <v>12</v>
      </c>
      <c r="AR7" s="1281" t="s">
        <v>3159</v>
      </c>
      <c r="AS7" s="3" t="s">
        <v>188</v>
      </c>
      <c r="AT7" s="3" t="s">
        <v>189</v>
      </c>
      <c r="AU7" s="3" t="s">
        <v>195</v>
      </c>
      <c r="AV7" s="1281" t="s">
        <v>3160</v>
      </c>
    </row>
    <row r="8" spans="1:48">
      <c r="B8" s="1281" t="s">
        <v>196</v>
      </c>
      <c r="C8" s="1281" t="s">
        <v>196</v>
      </c>
      <c r="D8" s="1281" t="s">
        <v>177</v>
      </c>
      <c r="E8" s="1281">
        <v>2</v>
      </c>
      <c r="F8" s="1281">
        <v>2</v>
      </c>
      <c r="G8" s="1281">
        <v>5</v>
      </c>
      <c r="H8" s="1281">
        <v>5</v>
      </c>
      <c r="I8" s="1281">
        <v>5</v>
      </c>
      <c r="J8" s="1281">
        <v>5</v>
      </c>
      <c r="K8" s="1281">
        <v>5</v>
      </c>
      <c r="L8" s="1281">
        <v>5</v>
      </c>
      <c r="M8" s="1281">
        <v>7</v>
      </c>
      <c r="N8" s="1281">
        <v>5</v>
      </c>
      <c r="Q8" s="1281">
        <v>4</v>
      </c>
      <c r="AE8" s="1281" t="s">
        <v>127</v>
      </c>
      <c r="AF8" s="1281" t="s">
        <v>197</v>
      </c>
      <c r="AG8" s="3" t="s">
        <v>198</v>
      </c>
      <c r="AH8" s="1281" t="s">
        <v>199</v>
      </c>
      <c r="AI8" s="3" t="s">
        <v>200</v>
      </c>
      <c r="AJ8" s="1281" t="s">
        <v>201</v>
      </c>
      <c r="AK8" s="3" t="s">
        <v>202</v>
      </c>
      <c r="AL8" s="1281" t="s">
        <v>1</v>
      </c>
      <c r="AM8" s="3" t="s">
        <v>1</v>
      </c>
      <c r="AO8" s="1281">
        <v>11</v>
      </c>
      <c r="AP8" s="1281" t="s">
        <v>2841</v>
      </c>
      <c r="AQ8" s="1281">
        <v>13</v>
      </c>
      <c r="AR8" s="1281" t="s">
        <v>3161</v>
      </c>
      <c r="AS8" s="3" t="s">
        <v>204</v>
      </c>
      <c r="AT8" s="3" t="s">
        <v>205</v>
      </c>
      <c r="AU8" s="3" t="s">
        <v>3162</v>
      </c>
      <c r="AV8" s="1281" t="s">
        <v>1</v>
      </c>
    </row>
    <row r="9" spans="1:48">
      <c r="B9" s="1281" t="s">
        <v>203</v>
      </c>
      <c r="C9" s="1281" t="s">
        <v>203</v>
      </c>
      <c r="D9" s="1281" t="s">
        <v>186</v>
      </c>
      <c r="M9" s="1281">
        <v>8</v>
      </c>
      <c r="AE9" s="1281" t="s">
        <v>128</v>
      </c>
      <c r="AG9" s="3" t="s">
        <v>204</v>
      </c>
      <c r="AH9" s="1281" t="s">
        <v>205</v>
      </c>
      <c r="AI9" s="3" t="s">
        <v>206</v>
      </c>
      <c r="AJ9" s="1281" t="s">
        <v>207</v>
      </c>
      <c r="AO9" s="1281">
        <v>12</v>
      </c>
      <c r="AP9" s="1281" t="s">
        <v>2842</v>
      </c>
      <c r="AQ9" s="1281">
        <v>14</v>
      </c>
      <c r="AR9" s="1281" t="s">
        <v>3163</v>
      </c>
      <c r="AS9" s="3" t="s">
        <v>209</v>
      </c>
      <c r="AT9" s="3" t="s">
        <v>210</v>
      </c>
    </row>
    <row r="10" spans="1:48">
      <c r="B10" s="1281" t="s">
        <v>208</v>
      </c>
      <c r="C10" s="1281" t="s">
        <v>208</v>
      </c>
      <c r="D10" s="1281" t="s">
        <v>196</v>
      </c>
      <c r="M10" s="1281">
        <v>9</v>
      </c>
      <c r="AE10" s="1281" t="s">
        <v>129</v>
      </c>
      <c r="AG10" s="3" t="s">
        <v>209</v>
      </c>
      <c r="AH10" s="1281" t="s">
        <v>210</v>
      </c>
      <c r="AO10" s="1281">
        <v>13</v>
      </c>
      <c r="AP10" s="1281" t="s">
        <v>2843</v>
      </c>
      <c r="AQ10" s="1281">
        <v>15</v>
      </c>
      <c r="AR10" s="1281" t="s">
        <v>3164</v>
      </c>
      <c r="AS10" s="3" t="s">
        <v>3165</v>
      </c>
      <c r="AT10" s="3" t="s">
        <v>3166</v>
      </c>
    </row>
    <row r="11" spans="1:48">
      <c r="B11" s="1281" t="s">
        <v>211</v>
      </c>
      <c r="C11" s="1281" t="s">
        <v>211</v>
      </c>
      <c r="D11" s="1281" t="s">
        <v>203</v>
      </c>
      <c r="M11" s="1281">
        <v>10</v>
      </c>
      <c r="AE11" s="1281" t="s">
        <v>130</v>
      </c>
      <c r="AG11" s="3" t="s">
        <v>212</v>
      </c>
      <c r="AH11" s="1281" t="s">
        <v>213</v>
      </c>
      <c r="AO11" s="1281">
        <v>14</v>
      </c>
      <c r="AP11" s="1281" t="s">
        <v>2844</v>
      </c>
      <c r="AQ11" s="1281">
        <v>16</v>
      </c>
      <c r="AR11" s="1281" t="s">
        <v>3167</v>
      </c>
      <c r="AS11" s="3" t="s">
        <v>212</v>
      </c>
      <c r="AT11" s="3" t="s">
        <v>505</v>
      </c>
    </row>
    <row r="12" spans="1:48">
      <c r="B12" s="1281" t="s">
        <v>214</v>
      </c>
      <c r="C12" s="1281" t="s">
        <v>214</v>
      </c>
      <c r="D12" s="1281" t="s">
        <v>208</v>
      </c>
      <c r="M12" s="1281">
        <v>11</v>
      </c>
      <c r="AE12" s="1281" t="s">
        <v>131</v>
      </c>
      <c r="AG12" s="3" t="s">
        <v>215</v>
      </c>
      <c r="AH12" s="1281" t="s">
        <v>216</v>
      </c>
      <c r="AO12" s="1281">
        <v>15</v>
      </c>
      <c r="AP12" s="1281" t="s">
        <v>2845</v>
      </c>
      <c r="AQ12" s="1281">
        <v>17</v>
      </c>
      <c r="AR12" s="1281" t="s">
        <v>3168</v>
      </c>
      <c r="AS12" s="3" t="s">
        <v>215</v>
      </c>
      <c r="AT12" s="3" t="s">
        <v>3169</v>
      </c>
    </row>
    <row r="13" spans="1:48">
      <c r="B13" s="1281" t="s">
        <v>217</v>
      </c>
      <c r="C13" s="1281" t="s">
        <v>217</v>
      </c>
      <c r="D13" s="1281" t="s">
        <v>211</v>
      </c>
      <c r="M13" s="1281">
        <v>12</v>
      </c>
      <c r="AE13" s="1281" t="s">
        <v>132</v>
      </c>
      <c r="AG13" s="3" t="s">
        <v>218</v>
      </c>
      <c r="AH13" s="1281" t="s">
        <v>219</v>
      </c>
      <c r="AO13" s="1281">
        <v>16</v>
      </c>
      <c r="AP13" s="1281" t="s">
        <v>2846</v>
      </c>
      <c r="AQ13" s="1281">
        <v>18</v>
      </c>
      <c r="AR13" s="1281" t="s">
        <v>3170</v>
      </c>
      <c r="AS13" s="3" t="s">
        <v>218</v>
      </c>
      <c r="AT13" s="3" t="s">
        <v>219</v>
      </c>
    </row>
    <row r="14" spans="1:48">
      <c r="B14" s="1281" t="s">
        <v>220</v>
      </c>
      <c r="C14" s="1281" t="s">
        <v>220</v>
      </c>
      <c r="D14" s="1281" t="s">
        <v>214</v>
      </c>
      <c r="M14" s="1281">
        <v>13</v>
      </c>
      <c r="AE14" s="1281" t="s">
        <v>133</v>
      </c>
      <c r="AG14" s="3" t="s">
        <v>221</v>
      </c>
      <c r="AH14" s="1281" t="s">
        <v>222</v>
      </c>
      <c r="AO14" s="1281">
        <v>17</v>
      </c>
      <c r="AP14" s="1281" t="s">
        <v>2847</v>
      </c>
      <c r="AQ14" s="1281">
        <v>19</v>
      </c>
      <c r="AR14" s="1281" t="s">
        <v>3171</v>
      </c>
      <c r="AS14" s="3" t="s">
        <v>221</v>
      </c>
      <c r="AT14" s="3" t="s">
        <v>222</v>
      </c>
    </row>
    <row r="15" spans="1:48">
      <c r="B15" s="1281" t="s">
        <v>223</v>
      </c>
      <c r="C15" s="1281" t="s">
        <v>223</v>
      </c>
      <c r="D15" s="1281" t="s">
        <v>217</v>
      </c>
      <c r="AE15" s="1281" t="s">
        <v>134</v>
      </c>
      <c r="AG15" s="3" t="s">
        <v>224</v>
      </c>
      <c r="AH15" s="1281" t="s">
        <v>225</v>
      </c>
      <c r="AO15" s="1281">
        <v>18</v>
      </c>
      <c r="AP15" s="1281" t="s">
        <v>2848</v>
      </c>
      <c r="AQ15" s="1281">
        <v>20</v>
      </c>
      <c r="AR15" s="1281" t="s">
        <v>3172</v>
      </c>
      <c r="AS15" s="3" t="s">
        <v>224</v>
      </c>
      <c r="AT15" s="3" t="s">
        <v>225</v>
      </c>
    </row>
    <row r="16" spans="1:48">
      <c r="B16" s="1281" t="s">
        <v>226</v>
      </c>
      <c r="C16" s="1281" t="s">
        <v>226</v>
      </c>
      <c r="D16" s="1281" t="s">
        <v>220</v>
      </c>
      <c r="AG16" s="3" t="s">
        <v>227</v>
      </c>
      <c r="AH16" s="1281" t="s">
        <v>228</v>
      </c>
      <c r="AO16" s="1281">
        <v>19</v>
      </c>
      <c r="AP16" s="1281" t="s">
        <v>2849</v>
      </c>
      <c r="AQ16" s="1281">
        <v>21</v>
      </c>
      <c r="AR16" s="1281" t="s">
        <v>3173</v>
      </c>
      <c r="AS16" s="3" t="s">
        <v>3174</v>
      </c>
      <c r="AT16" s="3" t="s">
        <v>3175</v>
      </c>
    </row>
    <row r="17" spans="2:46">
      <c r="B17" s="1281" t="s">
        <v>229</v>
      </c>
      <c r="C17" s="1281" t="s">
        <v>229</v>
      </c>
      <c r="D17" s="1281" t="s">
        <v>223</v>
      </c>
      <c r="AG17" s="3" t="s">
        <v>230</v>
      </c>
      <c r="AH17" s="1281" t="s">
        <v>231</v>
      </c>
      <c r="AO17" s="1281">
        <v>20</v>
      </c>
      <c r="AP17" s="1281" t="s">
        <v>2850</v>
      </c>
      <c r="AQ17" s="1281">
        <v>22</v>
      </c>
      <c r="AR17" s="1281" t="s">
        <v>3176</v>
      </c>
      <c r="AS17" s="3" t="s">
        <v>227</v>
      </c>
      <c r="AT17" s="3" t="s">
        <v>504</v>
      </c>
    </row>
    <row r="18" spans="2:46">
      <c r="B18" s="1281" t="s">
        <v>232</v>
      </c>
      <c r="C18" s="1281" t="s">
        <v>232</v>
      </c>
      <c r="D18" s="1281" t="s">
        <v>226</v>
      </c>
      <c r="AG18" s="3" t="s">
        <v>233</v>
      </c>
      <c r="AH18" s="1281" t="s">
        <v>234</v>
      </c>
      <c r="AO18" s="1281">
        <v>21</v>
      </c>
      <c r="AP18" s="1281" t="s">
        <v>2851</v>
      </c>
      <c r="AQ18" s="1281">
        <v>23</v>
      </c>
      <c r="AR18" s="1281" t="s">
        <v>3177</v>
      </c>
      <c r="AS18" s="3" t="s">
        <v>230</v>
      </c>
      <c r="AT18" s="3" t="s">
        <v>503</v>
      </c>
    </row>
    <row r="19" spans="2:46">
      <c r="B19" s="1281" t="s">
        <v>235</v>
      </c>
      <c r="C19" s="1281" t="s">
        <v>235</v>
      </c>
      <c r="D19" s="1281" t="s">
        <v>229</v>
      </c>
      <c r="AG19" s="3" t="s">
        <v>236</v>
      </c>
      <c r="AH19" s="1281" t="s">
        <v>237</v>
      </c>
      <c r="AO19" s="1281">
        <v>22</v>
      </c>
      <c r="AP19" s="1281" t="s">
        <v>2852</v>
      </c>
      <c r="AQ19" s="1281">
        <v>24</v>
      </c>
      <c r="AR19" s="1281" t="s">
        <v>2877</v>
      </c>
      <c r="AS19" s="3" t="s">
        <v>3178</v>
      </c>
      <c r="AT19" s="3" t="s">
        <v>3179</v>
      </c>
    </row>
    <row r="20" spans="2:46">
      <c r="B20" s="1281" t="s">
        <v>238</v>
      </c>
      <c r="C20" s="1281" t="s">
        <v>238</v>
      </c>
      <c r="D20" s="1281" t="s">
        <v>232</v>
      </c>
      <c r="AG20" s="3" t="s">
        <v>239</v>
      </c>
      <c r="AH20" s="1281" t="s">
        <v>240</v>
      </c>
      <c r="AO20" s="1281">
        <v>23</v>
      </c>
      <c r="AP20" s="1281" t="s">
        <v>2853</v>
      </c>
      <c r="AQ20" s="1281">
        <v>30</v>
      </c>
      <c r="AR20" s="1281" t="s">
        <v>3157</v>
      </c>
      <c r="AS20" s="3" t="s">
        <v>233</v>
      </c>
      <c r="AT20" s="3" t="s">
        <v>234</v>
      </c>
    </row>
    <row r="21" spans="2:46">
      <c r="B21" s="1281" t="s">
        <v>241</v>
      </c>
      <c r="C21" s="1281" t="s">
        <v>241</v>
      </c>
      <c r="D21" s="1281" t="s">
        <v>235</v>
      </c>
      <c r="AG21" s="3" t="s">
        <v>242</v>
      </c>
      <c r="AH21" s="1281" t="s">
        <v>243</v>
      </c>
      <c r="AO21" s="1281">
        <v>24</v>
      </c>
      <c r="AP21" s="1281" t="s">
        <v>2854</v>
      </c>
      <c r="AQ21" s="1281">
        <v>31</v>
      </c>
      <c r="AR21" s="1281" t="s">
        <v>3158</v>
      </c>
      <c r="AS21" s="3" t="s">
        <v>236</v>
      </c>
      <c r="AT21" s="3" t="s">
        <v>3180</v>
      </c>
    </row>
    <row r="22" spans="2:46">
      <c r="B22" s="1281" t="s">
        <v>244</v>
      </c>
      <c r="C22" s="1281" t="s">
        <v>244</v>
      </c>
      <c r="D22" s="1281" t="s">
        <v>238</v>
      </c>
      <c r="AG22" s="3" t="s">
        <v>245</v>
      </c>
      <c r="AH22" s="1281" t="s">
        <v>246</v>
      </c>
      <c r="AO22" s="1281">
        <v>25</v>
      </c>
      <c r="AP22" s="1281" t="s">
        <v>2855</v>
      </c>
      <c r="AQ22" s="1281">
        <v>32</v>
      </c>
      <c r="AR22" s="1281" t="s">
        <v>3159</v>
      </c>
      <c r="AS22" s="3" t="s">
        <v>239</v>
      </c>
      <c r="AT22" s="3" t="s">
        <v>240</v>
      </c>
    </row>
    <row r="23" spans="2:46">
      <c r="B23" s="1281" t="s">
        <v>247</v>
      </c>
      <c r="C23" s="1281" t="s">
        <v>247</v>
      </c>
      <c r="D23" s="1281" t="s">
        <v>241</v>
      </c>
      <c r="AG23" s="3" t="s">
        <v>248</v>
      </c>
      <c r="AH23" s="1281" t="s">
        <v>249</v>
      </c>
      <c r="AO23" s="1281">
        <v>26</v>
      </c>
      <c r="AP23" s="1281" t="s">
        <v>2856</v>
      </c>
      <c r="AQ23" s="1281">
        <v>33</v>
      </c>
      <c r="AR23" s="1281" t="s">
        <v>3161</v>
      </c>
      <c r="AS23" s="3" t="s">
        <v>242</v>
      </c>
      <c r="AT23" s="3" t="s">
        <v>3181</v>
      </c>
    </row>
    <row r="24" spans="2:46">
      <c r="B24" s="1281" t="s">
        <v>250</v>
      </c>
      <c r="C24" s="1281" t="s">
        <v>250</v>
      </c>
      <c r="D24" s="1281" t="s">
        <v>244</v>
      </c>
      <c r="AG24" s="3" t="s">
        <v>251</v>
      </c>
      <c r="AH24" s="1281" t="s">
        <v>252</v>
      </c>
      <c r="AO24" s="1281">
        <v>27</v>
      </c>
      <c r="AP24" s="1281" t="s">
        <v>2857</v>
      </c>
      <c r="AQ24" s="1281">
        <v>34</v>
      </c>
      <c r="AR24" s="1281" t="s">
        <v>3163</v>
      </c>
      <c r="AS24" s="3" t="s">
        <v>3182</v>
      </c>
      <c r="AT24" s="3" t="s">
        <v>3183</v>
      </c>
    </row>
    <row r="25" spans="2:46">
      <c r="B25" s="1281" t="s">
        <v>253</v>
      </c>
      <c r="C25" s="1281" t="s">
        <v>253</v>
      </c>
      <c r="D25" s="1281" t="s">
        <v>247</v>
      </c>
      <c r="AG25" s="3" t="s">
        <v>254</v>
      </c>
      <c r="AH25" s="1281" t="s">
        <v>255</v>
      </c>
      <c r="AO25" s="1281">
        <v>28</v>
      </c>
      <c r="AP25" s="1281" t="s">
        <v>2858</v>
      </c>
      <c r="AQ25" s="1281">
        <v>35</v>
      </c>
      <c r="AR25" s="1281" t="s">
        <v>3164</v>
      </c>
      <c r="AS25" s="3" t="s">
        <v>245</v>
      </c>
      <c r="AT25" s="3" t="s">
        <v>3184</v>
      </c>
    </row>
    <row r="26" spans="2:46">
      <c r="B26" s="1281" t="s">
        <v>256</v>
      </c>
      <c r="C26" s="1281" t="s">
        <v>256</v>
      </c>
      <c r="D26" s="1281" t="s">
        <v>250</v>
      </c>
      <c r="AG26" s="3" t="s">
        <v>257</v>
      </c>
      <c r="AH26" s="1281" t="s">
        <v>258</v>
      </c>
      <c r="AO26" s="1281">
        <v>29</v>
      </c>
      <c r="AP26" s="1281" t="s">
        <v>2859</v>
      </c>
      <c r="AQ26" s="1281">
        <v>36</v>
      </c>
      <c r="AR26" s="1281" t="s">
        <v>3167</v>
      </c>
      <c r="AS26" s="3" t="s">
        <v>248</v>
      </c>
      <c r="AT26" s="3" t="s">
        <v>3185</v>
      </c>
    </row>
    <row r="27" spans="2:46">
      <c r="B27" s="1281" t="s">
        <v>259</v>
      </c>
      <c r="C27" s="1281" t="s">
        <v>259</v>
      </c>
      <c r="D27" s="1281" t="s">
        <v>253</v>
      </c>
      <c r="AG27" s="3" t="s">
        <v>260</v>
      </c>
      <c r="AH27" s="1281" t="s">
        <v>261</v>
      </c>
      <c r="AO27" s="1281">
        <v>30</v>
      </c>
      <c r="AP27" s="1281" t="s">
        <v>2860</v>
      </c>
      <c r="AQ27" s="1281">
        <v>37</v>
      </c>
      <c r="AR27" s="1281" t="s">
        <v>3168</v>
      </c>
      <c r="AS27" s="3" t="s">
        <v>251</v>
      </c>
      <c r="AT27" s="3" t="s">
        <v>252</v>
      </c>
    </row>
    <row r="28" spans="2:46">
      <c r="B28" s="1281" t="s">
        <v>262</v>
      </c>
      <c r="C28" s="1281" t="s">
        <v>262</v>
      </c>
      <c r="D28" s="1281" t="s">
        <v>256</v>
      </c>
      <c r="AG28" s="3" t="s">
        <v>263</v>
      </c>
      <c r="AH28" s="1281" t="s">
        <v>264</v>
      </c>
      <c r="AO28" s="1281">
        <v>31</v>
      </c>
      <c r="AP28" s="1281" t="s">
        <v>2861</v>
      </c>
      <c r="AQ28" s="1281">
        <v>38</v>
      </c>
      <c r="AR28" s="1281" t="s">
        <v>3170</v>
      </c>
      <c r="AS28" s="3" t="s">
        <v>254</v>
      </c>
      <c r="AT28" s="3" t="s">
        <v>255</v>
      </c>
    </row>
    <row r="29" spans="2:46">
      <c r="B29" s="1281" t="s">
        <v>265</v>
      </c>
      <c r="C29" s="1281" t="s">
        <v>265</v>
      </c>
      <c r="D29" s="1281" t="s">
        <v>259</v>
      </c>
      <c r="AG29" s="3" t="s">
        <v>266</v>
      </c>
      <c r="AH29" s="1281" t="s">
        <v>267</v>
      </c>
      <c r="AO29" s="1281">
        <v>32</v>
      </c>
      <c r="AP29" s="1281" t="s">
        <v>2862</v>
      </c>
      <c r="AQ29" s="1281">
        <v>39</v>
      </c>
      <c r="AR29" s="1281" t="s">
        <v>3171</v>
      </c>
      <c r="AS29" s="3" t="s">
        <v>257</v>
      </c>
      <c r="AT29" s="3" t="s">
        <v>258</v>
      </c>
    </row>
    <row r="30" spans="2:46">
      <c r="B30" s="1281" t="s">
        <v>268</v>
      </c>
      <c r="C30" s="1281" t="s">
        <v>268</v>
      </c>
      <c r="D30" s="1281" t="s">
        <v>262</v>
      </c>
      <c r="AG30" s="3" t="s">
        <v>269</v>
      </c>
      <c r="AH30" s="1281" t="s">
        <v>270</v>
      </c>
      <c r="AO30" s="1281">
        <v>33</v>
      </c>
      <c r="AP30" s="1281" t="s">
        <v>2863</v>
      </c>
      <c r="AQ30" s="1281">
        <v>40</v>
      </c>
      <c r="AR30" s="1281" t="s">
        <v>3172</v>
      </c>
      <c r="AS30" s="3" t="s">
        <v>260</v>
      </c>
      <c r="AT30" s="3" t="s">
        <v>261</v>
      </c>
    </row>
    <row r="31" spans="2:46">
      <c r="B31" s="1281" t="s">
        <v>271</v>
      </c>
      <c r="C31" s="1281" t="s">
        <v>271</v>
      </c>
      <c r="D31" s="1281" t="s">
        <v>265</v>
      </c>
      <c r="AG31" s="3" t="s">
        <v>272</v>
      </c>
      <c r="AH31" s="1281" t="s">
        <v>273</v>
      </c>
      <c r="AO31" s="1281">
        <v>34</v>
      </c>
      <c r="AP31" s="1281" t="s">
        <v>2864</v>
      </c>
      <c r="AQ31" s="1281">
        <v>41</v>
      </c>
      <c r="AR31" s="1281" t="s">
        <v>3173</v>
      </c>
      <c r="AS31" s="3" t="s">
        <v>263</v>
      </c>
      <c r="AT31" s="3" t="s">
        <v>264</v>
      </c>
    </row>
    <row r="32" spans="2:46">
      <c r="B32" s="1281" t="s">
        <v>274</v>
      </c>
      <c r="C32" s="1281" t="s">
        <v>274</v>
      </c>
      <c r="D32" s="1281" t="s">
        <v>268</v>
      </c>
      <c r="AG32" s="3" t="s">
        <v>275</v>
      </c>
      <c r="AH32" s="1281" t="s">
        <v>276</v>
      </c>
      <c r="AO32" s="1281">
        <v>35</v>
      </c>
      <c r="AP32" s="1281" t="s">
        <v>2865</v>
      </c>
      <c r="AQ32" s="1281">
        <v>42</v>
      </c>
      <c r="AR32" s="1281" t="s">
        <v>3176</v>
      </c>
      <c r="AS32" s="3" t="s">
        <v>266</v>
      </c>
      <c r="AT32" s="3" t="s">
        <v>267</v>
      </c>
    </row>
    <row r="33" spans="2:46">
      <c r="B33" s="1281" t="s">
        <v>277</v>
      </c>
      <c r="C33" s="1281" t="s">
        <v>277</v>
      </c>
      <c r="D33" s="1281" t="s">
        <v>271</v>
      </c>
      <c r="AG33" s="3" t="s">
        <v>278</v>
      </c>
      <c r="AH33" s="1281" t="s">
        <v>279</v>
      </c>
      <c r="AO33" s="1281">
        <v>36</v>
      </c>
      <c r="AP33" s="1281" t="s">
        <v>2866</v>
      </c>
      <c r="AQ33" s="1281">
        <v>43</v>
      </c>
      <c r="AR33" s="1281" t="s">
        <v>3177</v>
      </c>
      <c r="AS33" s="3" t="s">
        <v>269</v>
      </c>
      <c r="AT33" s="3" t="s">
        <v>3186</v>
      </c>
    </row>
    <row r="34" spans="2:46">
      <c r="B34" s="1281" t="s">
        <v>280</v>
      </c>
      <c r="C34" s="1281" t="s">
        <v>280</v>
      </c>
      <c r="D34" s="1281" t="s">
        <v>274</v>
      </c>
      <c r="AG34" s="3" t="s">
        <v>281</v>
      </c>
      <c r="AH34" s="1281" t="s">
        <v>282</v>
      </c>
      <c r="AO34" s="1281">
        <v>37</v>
      </c>
      <c r="AP34" s="1281" t="s">
        <v>2867</v>
      </c>
      <c r="AQ34" s="1281">
        <v>44</v>
      </c>
      <c r="AR34" s="1281" t="s">
        <v>2877</v>
      </c>
      <c r="AS34" s="3" t="s">
        <v>272</v>
      </c>
      <c r="AT34" s="3" t="s">
        <v>273</v>
      </c>
    </row>
    <row r="35" spans="2:46">
      <c r="B35" s="1281" t="s">
        <v>283</v>
      </c>
      <c r="C35" s="1281" t="s">
        <v>283</v>
      </c>
      <c r="D35" s="1281" t="s">
        <v>277</v>
      </c>
      <c r="AG35" s="3" t="s">
        <v>284</v>
      </c>
      <c r="AH35" s="1281" t="s">
        <v>285</v>
      </c>
      <c r="AO35" s="1281">
        <v>38</v>
      </c>
      <c r="AP35" s="1281" t="s">
        <v>2868</v>
      </c>
      <c r="AS35" s="3" t="s">
        <v>275</v>
      </c>
      <c r="AT35" s="3" t="s">
        <v>499</v>
      </c>
    </row>
    <row r="36" spans="2:46">
      <c r="B36" s="1281" t="s">
        <v>286</v>
      </c>
      <c r="C36" s="1281" t="s">
        <v>286</v>
      </c>
      <c r="D36" s="1281" t="s">
        <v>280</v>
      </c>
      <c r="AG36" s="3" t="s">
        <v>287</v>
      </c>
      <c r="AH36" s="1281" t="s">
        <v>288</v>
      </c>
      <c r="AO36" s="1281">
        <v>39</v>
      </c>
      <c r="AP36" s="1281" t="s">
        <v>2869</v>
      </c>
      <c r="AS36" s="3" t="s">
        <v>278</v>
      </c>
      <c r="AT36" s="3" t="s">
        <v>3187</v>
      </c>
    </row>
    <row r="37" spans="2:46">
      <c r="B37" s="1281" t="s">
        <v>289</v>
      </c>
      <c r="C37" s="1281" t="s">
        <v>289</v>
      </c>
      <c r="D37" s="1281" t="s">
        <v>283</v>
      </c>
      <c r="AG37" s="3" t="s">
        <v>290</v>
      </c>
      <c r="AH37" s="1281" t="s">
        <v>291</v>
      </c>
      <c r="AO37" s="1281">
        <v>40</v>
      </c>
      <c r="AP37" s="1281" t="s">
        <v>2870</v>
      </c>
      <c r="AS37" s="3" t="s">
        <v>281</v>
      </c>
      <c r="AT37" s="3" t="s">
        <v>282</v>
      </c>
    </row>
    <row r="38" spans="2:46">
      <c r="B38" s="1281" t="s">
        <v>292</v>
      </c>
      <c r="C38" s="1281" t="s">
        <v>292</v>
      </c>
      <c r="D38" s="1281" t="s">
        <v>286</v>
      </c>
      <c r="AG38" s="3" t="s">
        <v>293</v>
      </c>
      <c r="AH38" s="1281" t="s">
        <v>294</v>
      </c>
      <c r="AO38" s="1281">
        <v>41</v>
      </c>
      <c r="AP38" s="1281" t="s">
        <v>2871</v>
      </c>
      <c r="AS38" s="3" t="s">
        <v>284</v>
      </c>
      <c r="AT38" s="3" t="s">
        <v>285</v>
      </c>
    </row>
    <row r="39" spans="2:46">
      <c r="B39" s="1281" t="s">
        <v>295</v>
      </c>
      <c r="C39" s="1281" t="s">
        <v>295</v>
      </c>
      <c r="D39" s="1281" t="s">
        <v>289</v>
      </c>
      <c r="AG39" s="3" t="s">
        <v>296</v>
      </c>
      <c r="AH39" s="1281" t="s">
        <v>297</v>
      </c>
      <c r="AO39" s="1281">
        <v>42</v>
      </c>
      <c r="AP39" s="1281" t="s">
        <v>2872</v>
      </c>
      <c r="AS39" s="3" t="s">
        <v>287</v>
      </c>
      <c r="AT39" s="3" t="s">
        <v>288</v>
      </c>
    </row>
    <row r="40" spans="2:46">
      <c r="B40" s="1281" t="s">
        <v>298</v>
      </c>
      <c r="C40" s="1281" t="s">
        <v>298</v>
      </c>
      <c r="D40" s="1281" t="s">
        <v>292</v>
      </c>
      <c r="AG40" s="3" t="s">
        <v>299</v>
      </c>
      <c r="AH40" s="1281" t="s">
        <v>300</v>
      </c>
      <c r="AO40" s="1281">
        <v>43</v>
      </c>
      <c r="AP40" s="1281" t="s">
        <v>2873</v>
      </c>
      <c r="AS40" s="3" t="s">
        <v>290</v>
      </c>
      <c r="AT40" s="3" t="s">
        <v>291</v>
      </c>
    </row>
    <row r="41" spans="2:46">
      <c r="B41" s="1281" t="s">
        <v>301</v>
      </c>
      <c r="C41" s="1281" t="s">
        <v>301</v>
      </c>
      <c r="D41" s="1281" t="s">
        <v>295</v>
      </c>
      <c r="AG41" s="3" t="s">
        <v>302</v>
      </c>
      <c r="AH41" s="1281" t="s">
        <v>303</v>
      </c>
      <c r="AO41" s="1281">
        <v>44</v>
      </c>
      <c r="AP41" s="1281" t="s">
        <v>2874</v>
      </c>
      <c r="AS41" s="3" t="s">
        <v>293</v>
      </c>
      <c r="AT41" s="3" t="s">
        <v>294</v>
      </c>
    </row>
    <row r="42" spans="2:46">
      <c r="B42" s="1281" t="s">
        <v>304</v>
      </c>
      <c r="C42" s="1281" t="s">
        <v>304</v>
      </c>
      <c r="D42" s="1281" t="s">
        <v>298</v>
      </c>
      <c r="AG42" s="3" t="s">
        <v>305</v>
      </c>
      <c r="AH42" s="1281" t="s">
        <v>306</v>
      </c>
      <c r="AO42" s="1281">
        <v>45</v>
      </c>
      <c r="AP42" s="1281" t="s">
        <v>2875</v>
      </c>
      <c r="AS42" s="3" t="s">
        <v>296</v>
      </c>
      <c r="AT42" s="3" t="s">
        <v>297</v>
      </c>
    </row>
    <row r="43" spans="2:46">
      <c r="B43" s="1281" t="s">
        <v>307</v>
      </c>
      <c r="C43" s="1281" t="s">
        <v>307</v>
      </c>
      <c r="D43" s="1281" t="s">
        <v>301</v>
      </c>
      <c r="AG43" s="3" t="s">
        <v>308</v>
      </c>
      <c r="AH43" s="1281" t="s">
        <v>309</v>
      </c>
      <c r="AO43" s="1281">
        <v>46</v>
      </c>
      <c r="AP43" s="1281" t="s">
        <v>2876</v>
      </c>
      <c r="AS43" s="3" t="s">
        <v>299</v>
      </c>
      <c r="AT43" s="3" t="s">
        <v>496</v>
      </c>
    </row>
    <row r="44" spans="2:46">
      <c r="B44" s="1281" t="s">
        <v>310</v>
      </c>
      <c r="C44" s="1281" t="s">
        <v>310</v>
      </c>
      <c r="D44" s="1281" t="s">
        <v>304</v>
      </c>
      <c r="AG44" s="3" t="s">
        <v>311</v>
      </c>
      <c r="AH44" s="1281" t="s">
        <v>312</v>
      </c>
      <c r="AO44" s="1281">
        <v>99</v>
      </c>
      <c r="AP44" s="1281" t="s">
        <v>2877</v>
      </c>
      <c r="AS44" s="3" t="s">
        <v>302</v>
      </c>
      <c r="AT44" s="3" t="s">
        <v>303</v>
      </c>
    </row>
    <row r="45" spans="2:46">
      <c r="B45" s="1281" t="s">
        <v>313</v>
      </c>
      <c r="C45" s="1281" t="s">
        <v>313</v>
      </c>
      <c r="D45" s="1281" t="s">
        <v>307</v>
      </c>
      <c r="AG45" s="3" t="s">
        <v>314</v>
      </c>
      <c r="AH45" s="1281" t="s">
        <v>315</v>
      </c>
      <c r="AS45" s="3" t="s">
        <v>305</v>
      </c>
      <c r="AT45" s="3" t="s">
        <v>306</v>
      </c>
    </row>
    <row r="46" spans="2:46">
      <c r="B46" s="1281" t="s">
        <v>316</v>
      </c>
      <c r="C46" s="1281" t="s">
        <v>316</v>
      </c>
      <c r="D46" s="1281" t="s">
        <v>310</v>
      </c>
      <c r="AG46" s="3" t="s">
        <v>317</v>
      </c>
      <c r="AH46" s="1281" t="s">
        <v>318</v>
      </c>
      <c r="AS46" s="3" t="s">
        <v>308</v>
      </c>
      <c r="AT46" s="3" t="s">
        <v>309</v>
      </c>
    </row>
    <row r="47" spans="2:46">
      <c r="B47" s="1281" t="s">
        <v>319</v>
      </c>
      <c r="C47" s="1281" t="s">
        <v>319</v>
      </c>
      <c r="D47" s="1281" t="s">
        <v>313</v>
      </c>
      <c r="AG47" s="3" t="s">
        <v>320</v>
      </c>
      <c r="AH47" s="1281" t="s">
        <v>321</v>
      </c>
      <c r="AS47" s="3" t="s">
        <v>311</v>
      </c>
      <c r="AT47" s="3" t="s">
        <v>312</v>
      </c>
    </row>
    <row r="48" spans="2:46">
      <c r="B48" s="1281" t="s">
        <v>322</v>
      </c>
      <c r="C48" s="1281" t="s">
        <v>322</v>
      </c>
      <c r="D48" s="1281" t="s">
        <v>316</v>
      </c>
      <c r="AG48" s="3" t="s">
        <v>323</v>
      </c>
      <c r="AH48" s="1281" t="s">
        <v>324</v>
      </c>
      <c r="AS48" s="3" t="s">
        <v>314</v>
      </c>
      <c r="AT48" s="3" t="s">
        <v>315</v>
      </c>
    </row>
    <row r="49" spans="2:46">
      <c r="B49" s="1281" t="s">
        <v>325</v>
      </c>
      <c r="C49" s="1281" t="s">
        <v>325</v>
      </c>
      <c r="D49" s="1281" t="s">
        <v>319</v>
      </c>
      <c r="AG49" s="3" t="s">
        <v>326</v>
      </c>
      <c r="AH49" s="1281" t="s">
        <v>327</v>
      </c>
      <c r="AI49"/>
      <c r="AK49"/>
      <c r="AS49" s="3" t="s">
        <v>317</v>
      </c>
      <c r="AT49" s="3" t="s">
        <v>3188</v>
      </c>
    </row>
    <row r="50" spans="2:46">
      <c r="D50" s="1281" t="s">
        <v>322</v>
      </c>
      <c r="AG50" s="3" t="s">
        <v>328</v>
      </c>
      <c r="AH50" s="1281" t="s">
        <v>329</v>
      </c>
      <c r="AI50"/>
      <c r="AK50"/>
      <c r="AS50" s="3" t="s">
        <v>320</v>
      </c>
      <c r="AT50" s="3" t="s">
        <v>3189</v>
      </c>
    </row>
    <row r="51" spans="2:46">
      <c r="D51" s="1281" t="s">
        <v>325</v>
      </c>
      <c r="AG51" s="3" t="s">
        <v>330</v>
      </c>
      <c r="AH51" s="1281" t="s">
        <v>331</v>
      </c>
      <c r="AI51"/>
      <c r="AK51"/>
      <c r="AS51" s="3" t="s">
        <v>323</v>
      </c>
      <c r="AT51" s="3" t="s">
        <v>324</v>
      </c>
    </row>
    <row r="52" spans="2:46">
      <c r="AG52" s="3" t="s">
        <v>332</v>
      </c>
      <c r="AH52" s="1281" t="s">
        <v>333</v>
      </c>
      <c r="AI52"/>
      <c r="AK52"/>
      <c r="AS52" s="3" t="s">
        <v>326</v>
      </c>
      <c r="AT52" s="3" t="s">
        <v>3190</v>
      </c>
    </row>
    <row r="53" spans="2:46">
      <c r="AG53" s="3" t="s">
        <v>334</v>
      </c>
      <c r="AH53" s="1281" t="s">
        <v>335</v>
      </c>
      <c r="AI53"/>
      <c r="AK53"/>
      <c r="AS53" s="3" t="s">
        <v>328</v>
      </c>
      <c r="AT53" s="3" t="s">
        <v>329</v>
      </c>
    </row>
    <row r="54" spans="2:46">
      <c r="AG54" s="3" t="s">
        <v>336</v>
      </c>
      <c r="AH54" s="1281" t="s">
        <v>337</v>
      </c>
      <c r="AI54"/>
      <c r="AK54"/>
      <c r="AS54" s="3" t="s">
        <v>330</v>
      </c>
      <c r="AT54" s="3" t="s">
        <v>3191</v>
      </c>
    </row>
    <row r="55" spans="2:46">
      <c r="AG55" s="3" t="s">
        <v>338</v>
      </c>
      <c r="AH55" s="1281" t="s">
        <v>339</v>
      </c>
      <c r="AI55"/>
      <c r="AK55"/>
      <c r="AS55" s="3" t="s">
        <v>332</v>
      </c>
      <c r="AT55" s="3" t="s">
        <v>333</v>
      </c>
    </row>
    <row r="56" spans="2:46">
      <c r="AG56" s="3" t="s">
        <v>340</v>
      </c>
      <c r="AH56" s="1281" t="s">
        <v>341</v>
      </c>
      <c r="AI56"/>
      <c r="AK56"/>
      <c r="AS56" s="3" t="s">
        <v>334</v>
      </c>
      <c r="AT56" s="3" t="s">
        <v>335</v>
      </c>
    </row>
    <row r="57" spans="2:46">
      <c r="AG57" s="3" t="s">
        <v>342</v>
      </c>
      <c r="AH57" s="1281" t="s">
        <v>343</v>
      </c>
      <c r="AI57"/>
      <c r="AK57"/>
      <c r="AS57" s="3" t="s">
        <v>336</v>
      </c>
      <c r="AT57" s="3" t="s">
        <v>337</v>
      </c>
    </row>
    <row r="58" spans="2:46">
      <c r="AG58" s="3" t="s">
        <v>344</v>
      </c>
      <c r="AH58" s="1281" t="s">
        <v>345</v>
      </c>
      <c r="AI58"/>
      <c r="AK58"/>
      <c r="AS58" s="3" t="s">
        <v>338</v>
      </c>
      <c r="AT58" s="3" t="s">
        <v>490</v>
      </c>
    </row>
    <row r="59" spans="2:46">
      <c r="AG59" s="3" t="s">
        <v>346</v>
      </c>
      <c r="AH59" s="1281" t="s">
        <v>347</v>
      </c>
      <c r="AI59"/>
      <c r="AK59"/>
      <c r="AS59" s="3" t="s">
        <v>340</v>
      </c>
      <c r="AT59" s="3" t="s">
        <v>341</v>
      </c>
    </row>
    <row r="60" spans="2:46">
      <c r="AG60" s="3" t="s">
        <v>348</v>
      </c>
      <c r="AH60" s="1281" t="s">
        <v>349</v>
      </c>
      <c r="AI60"/>
      <c r="AK60"/>
      <c r="AS60" s="3" t="s">
        <v>342</v>
      </c>
      <c r="AT60" s="3" t="s">
        <v>343</v>
      </c>
    </row>
    <row r="61" spans="2:46">
      <c r="AG61" s="3" t="s">
        <v>350</v>
      </c>
      <c r="AH61" s="1281" t="s">
        <v>351</v>
      </c>
      <c r="AI61"/>
      <c r="AK61"/>
      <c r="AS61" s="3" t="s">
        <v>344</v>
      </c>
      <c r="AT61" s="3" t="s">
        <v>345</v>
      </c>
    </row>
    <row r="62" spans="2:46">
      <c r="AG62" s="3" t="s">
        <v>352</v>
      </c>
      <c r="AH62" s="1281" t="s">
        <v>353</v>
      </c>
      <c r="AI62"/>
      <c r="AK62"/>
      <c r="AS62" s="3" t="s">
        <v>346</v>
      </c>
      <c r="AT62" s="3" t="s">
        <v>347</v>
      </c>
    </row>
    <row r="63" spans="2:46">
      <c r="AG63" s="3" t="s">
        <v>354</v>
      </c>
      <c r="AH63" s="1281" t="s">
        <v>355</v>
      </c>
      <c r="AI63"/>
      <c r="AK63"/>
      <c r="AS63" s="3" t="s">
        <v>348</v>
      </c>
      <c r="AT63" s="3" t="s">
        <v>349</v>
      </c>
    </row>
    <row r="64" spans="2:46">
      <c r="AG64" s="3" t="s">
        <v>356</v>
      </c>
      <c r="AH64" s="1281" t="s">
        <v>357</v>
      </c>
      <c r="AI64"/>
      <c r="AK64"/>
      <c r="AS64" s="3" t="s">
        <v>350</v>
      </c>
      <c r="AT64" s="3" t="s">
        <v>351</v>
      </c>
    </row>
    <row r="65" spans="33:46">
      <c r="AG65" s="3" t="s">
        <v>358</v>
      </c>
      <c r="AH65" s="1281" t="s">
        <v>359</v>
      </c>
      <c r="AI65"/>
      <c r="AK65"/>
      <c r="AS65" s="3" t="s">
        <v>352</v>
      </c>
      <c r="AT65" s="3" t="s">
        <v>353</v>
      </c>
    </row>
    <row r="66" spans="33:46">
      <c r="AG66" s="3" t="s">
        <v>360</v>
      </c>
      <c r="AH66" s="1281" t="s">
        <v>361</v>
      </c>
      <c r="AI66"/>
      <c r="AK66"/>
      <c r="AS66" s="3" t="s">
        <v>354</v>
      </c>
      <c r="AT66" s="3" t="s">
        <v>355</v>
      </c>
    </row>
    <row r="67" spans="33:46">
      <c r="AG67" s="3" t="s">
        <v>362</v>
      </c>
      <c r="AH67" s="1281" t="s">
        <v>363</v>
      </c>
      <c r="AI67"/>
      <c r="AK67"/>
      <c r="AS67" s="3" t="s">
        <v>356</v>
      </c>
      <c r="AT67" s="3" t="s">
        <v>357</v>
      </c>
    </row>
    <row r="68" spans="33:46">
      <c r="AG68" s="3" t="s">
        <v>364</v>
      </c>
      <c r="AH68" s="1281" t="s">
        <v>365</v>
      </c>
      <c r="AI68"/>
      <c r="AK68"/>
      <c r="AS68" s="3" t="s">
        <v>358</v>
      </c>
      <c r="AT68" s="3" t="s">
        <v>359</v>
      </c>
    </row>
    <row r="69" spans="33:46">
      <c r="AS69" s="3" t="s">
        <v>360</v>
      </c>
      <c r="AT69" s="3" t="s">
        <v>361</v>
      </c>
    </row>
    <row r="70" spans="33:46">
      <c r="AS70" s="3" t="s">
        <v>362</v>
      </c>
      <c r="AT70" s="3" t="s">
        <v>363</v>
      </c>
    </row>
    <row r="71" spans="33:46">
      <c r="AS71" s="3" t="s">
        <v>3192</v>
      </c>
      <c r="AT71" s="3" t="s">
        <v>3193</v>
      </c>
    </row>
    <row r="72" spans="33:46">
      <c r="AS72" s="3" t="s">
        <v>3194</v>
      </c>
      <c r="AT72" s="3" t="s">
        <v>3195</v>
      </c>
    </row>
    <row r="73" spans="33:46">
      <c r="AS73" s="3" t="s">
        <v>3196</v>
      </c>
      <c r="AT73" s="3" t="s">
        <v>3197</v>
      </c>
    </row>
    <row r="74" spans="33:46">
      <c r="AS74" s="3" t="s">
        <v>364</v>
      </c>
      <c r="AT74" s="3" t="s">
        <v>1</v>
      </c>
    </row>
  </sheetData>
  <phoneticPr fontId="122"/>
  <pageMargins left="0.7" right="0.7" top="0.75" bottom="0.75" header="0.3" footer="0.3"/>
  <pageSetup paperSize="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sheetPr>
  <dimension ref="A1:C65"/>
  <sheetViews>
    <sheetView workbookViewId="0"/>
  </sheetViews>
  <sheetFormatPr defaultColWidth="9" defaultRowHeight="13.2"/>
  <cols>
    <col min="1" max="1" width="52.6640625" style="16" customWidth="1"/>
    <col min="2" max="2" width="9" style="16" customWidth="1"/>
    <col min="3" max="16384" width="9" style="16"/>
  </cols>
  <sheetData>
    <row r="1" spans="1:3">
      <c r="A1" s="24" t="s">
        <v>58</v>
      </c>
      <c r="B1" s="24" t="s">
        <v>148</v>
      </c>
      <c r="C1" s="19" t="s">
        <v>436</v>
      </c>
    </row>
    <row r="2" spans="1:3">
      <c r="A2" s="24" t="s">
        <v>337</v>
      </c>
      <c r="B2" s="24" t="s">
        <v>336</v>
      </c>
    </row>
    <row r="3" spans="1:3">
      <c r="A3" s="24" t="s">
        <v>158</v>
      </c>
      <c r="B3" s="24" t="s">
        <v>157</v>
      </c>
    </row>
    <row r="4" spans="1:3">
      <c r="A4" s="24" t="s">
        <v>169</v>
      </c>
      <c r="B4" s="24" t="s">
        <v>168</v>
      </c>
    </row>
    <row r="5" spans="1:3">
      <c r="A5" s="24" t="s">
        <v>179</v>
      </c>
      <c r="B5" s="24" t="s">
        <v>178</v>
      </c>
    </row>
    <row r="6" spans="1:3">
      <c r="A6" s="24" t="s">
        <v>189</v>
      </c>
      <c r="B6" s="24" t="s">
        <v>188</v>
      </c>
    </row>
    <row r="7" spans="1:3">
      <c r="A7" s="24" t="s">
        <v>199</v>
      </c>
      <c r="B7" s="24" t="s">
        <v>198</v>
      </c>
    </row>
    <row r="8" spans="1:3">
      <c r="A8" s="24" t="s">
        <v>205</v>
      </c>
      <c r="B8" s="24" t="s">
        <v>204</v>
      </c>
    </row>
    <row r="9" spans="1:3">
      <c r="A9" s="24" t="s">
        <v>210</v>
      </c>
      <c r="B9" s="24" t="s">
        <v>209</v>
      </c>
    </row>
    <row r="10" spans="1:3">
      <c r="A10" s="24" t="s">
        <v>505</v>
      </c>
      <c r="B10" s="24" t="s">
        <v>212</v>
      </c>
    </row>
    <row r="11" spans="1:3">
      <c r="A11" s="24" t="s">
        <v>216</v>
      </c>
      <c r="B11" s="24" t="s">
        <v>215</v>
      </c>
    </row>
    <row r="12" spans="1:3">
      <c r="A12" s="24" t="s">
        <v>219</v>
      </c>
      <c r="B12" s="24" t="s">
        <v>218</v>
      </c>
    </row>
    <row r="13" spans="1:3">
      <c r="A13" s="24" t="s">
        <v>222</v>
      </c>
      <c r="B13" s="24" t="s">
        <v>221</v>
      </c>
    </row>
    <row r="14" spans="1:3">
      <c r="A14" s="24" t="s">
        <v>225</v>
      </c>
      <c r="B14" s="24" t="s">
        <v>224</v>
      </c>
    </row>
    <row r="15" spans="1:3">
      <c r="A15" s="24" t="s">
        <v>504</v>
      </c>
      <c r="B15" s="24" t="s">
        <v>227</v>
      </c>
    </row>
    <row r="16" spans="1:3">
      <c r="A16" s="24" t="s">
        <v>503</v>
      </c>
      <c r="B16" s="24" t="s">
        <v>230</v>
      </c>
    </row>
    <row r="17" spans="1:2">
      <c r="A17" s="24" t="s">
        <v>234</v>
      </c>
      <c r="B17" s="24" t="s">
        <v>233</v>
      </c>
    </row>
    <row r="18" spans="1:2">
      <c r="A18" s="24" t="s">
        <v>502</v>
      </c>
      <c r="B18" s="24" t="s">
        <v>236</v>
      </c>
    </row>
    <row r="19" spans="1:2">
      <c r="A19" s="24" t="s">
        <v>240</v>
      </c>
      <c r="B19" s="24" t="s">
        <v>239</v>
      </c>
    </row>
    <row r="20" spans="1:2">
      <c r="A20" s="24" t="s">
        <v>243</v>
      </c>
      <c r="B20" s="24" t="s">
        <v>242</v>
      </c>
    </row>
    <row r="21" spans="1:2">
      <c r="A21" s="24" t="s">
        <v>501</v>
      </c>
      <c r="B21" s="24" t="s">
        <v>245</v>
      </c>
    </row>
    <row r="22" spans="1:2">
      <c r="A22" s="24" t="s">
        <v>252</v>
      </c>
      <c r="B22" s="24" t="s">
        <v>251</v>
      </c>
    </row>
    <row r="23" spans="1:2">
      <c r="A23" s="24" t="s">
        <v>255</v>
      </c>
      <c r="B23" s="24" t="s">
        <v>254</v>
      </c>
    </row>
    <row r="24" spans="1:2">
      <c r="A24" s="24" t="s">
        <v>258</v>
      </c>
      <c r="B24" s="24" t="s">
        <v>257</v>
      </c>
    </row>
    <row r="25" spans="1:2">
      <c r="A25" s="24" t="s">
        <v>261</v>
      </c>
      <c r="B25" s="24" t="s">
        <v>260</v>
      </c>
    </row>
    <row r="26" spans="1:2">
      <c r="A26" s="24" t="s">
        <v>264</v>
      </c>
      <c r="B26" s="24" t="s">
        <v>263</v>
      </c>
    </row>
    <row r="27" spans="1:2">
      <c r="A27" s="24" t="s">
        <v>267</v>
      </c>
      <c r="B27" s="24" t="s">
        <v>266</v>
      </c>
    </row>
    <row r="28" spans="1:2">
      <c r="A28" s="24" t="s">
        <v>500</v>
      </c>
      <c r="B28" s="24" t="s">
        <v>269</v>
      </c>
    </row>
    <row r="29" spans="1:2">
      <c r="A29" s="24" t="s">
        <v>273</v>
      </c>
      <c r="B29" s="24" t="s">
        <v>272</v>
      </c>
    </row>
    <row r="30" spans="1:2">
      <c r="A30" s="24" t="s">
        <v>499</v>
      </c>
      <c r="B30" s="24" t="s">
        <v>275</v>
      </c>
    </row>
    <row r="31" spans="1:2">
      <c r="A31" s="24" t="s">
        <v>498</v>
      </c>
      <c r="B31" s="24" t="s">
        <v>278</v>
      </c>
    </row>
    <row r="32" spans="1:2">
      <c r="A32" s="24" t="s">
        <v>282</v>
      </c>
      <c r="B32" s="24" t="s">
        <v>281</v>
      </c>
    </row>
    <row r="33" spans="1:2">
      <c r="A33" s="24" t="s">
        <v>285</v>
      </c>
      <c r="B33" s="24" t="s">
        <v>284</v>
      </c>
    </row>
    <row r="34" spans="1:2">
      <c r="A34" s="24" t="s">
        <v>288</v>
      </c>
      <c r="B34" s="24" t="s">
        <v>287</v>
      </c>
    </row>
    <row r="35" spans="1:2">
      <c r="A35" s="24" t="s">
        <v>291</v>
      </c>
      <c r="B35" s="24" t="s">
        <v>290</v>
      </c>
    </row>
    <row r="36" spans="1:2">
      <c r="A36" s="24" t="s">
        <v>294</v>
      </c>
      <c r="B36" s="24" t="s">
        <v>293</v>
      </c>
    </row>
    <row r="37" spans="1:2">
      <c r="A37" s="24" t="s">
        <v>497</v>
      </c>
      <c r="B37" s="24" t="s">
        <v>296</v>
      </c>
    </row>
    <row r="38" spans="1:2">
      <c r="A38" s="24" t="s">
        <v>496</v>
      </c>
      <c r="B38" s="24" t="s">
        <v>299</v>
      </c>
    </row>
    <row r="39" spans="1:2">
      <c r="A39" s="24" t="s">
        <v>303</v>
      </c>
      <c r="B39" s="24" t="s">
        <v>302</v>
      </c>
    </row>
    <row r="40" spans="1:2">
      <c r="A40" s="24" t="s">
        <v>306</v>
      </c>
      <c r="B40" s="24" t="s">
        <v>305</v>
      </c>
    </row>
    <row r="41" spans="1:2">
      <c r="A41" s="24" t="s">
        <v>309</v>
      </c>
      <c r="B41" s="24" t="s">
        <v>308</v>
      </c>
    </row>
    <row r="42" spans="1:2">
      <c r="A42" s="24" t="s">
        <v>312</v>
      </c>
      <c r="B42" s="24" t="s">
        <v>311</v>
      </c>
    </row>
    <row r="43" spans="1:2">
      <c r="A43" s="24" t="s">
        <v>315</v>
      </c>
      <c r="B43" s="24" t="s">
        <v>314</v>
      </c>
    </row>
    <row r="44" spans="1:2">
      <c r="A44" s="24" t="s">
        <v>495</v>
      </c>
      <c r="B44" s="24" t="s">
        <v>317</v>
      </c>
    </row>
    <row r="45" spans="1:2">
      <c r="A45" s="24" t="s">
        <v>494</v>
      </c>
      <c r="B45" s="24" t="s">
        <v>320</v>
      </c>
    </row>
    <row r="46" spans="1:2">
      <c r="A46" s="24" t="s">
        <v>324</v>
      </c>
      <c r="B46" s="24" t="s">
        <v>323</v>
      </c>
    </row>
    <row r="47" spans="1:2">
      <c r="A47" s="24" t="s">
        <v>493</v>
      </c>
      <c r="B47" s="24" t="s">
        <v>326</v>
      </c>
    </row>
    <row r="48" spans="1:2">
      <c r="A48" s="24" t="s">
        <v>492</v>
      </c>
      <c r="B48" s="24" t="s">
        <v>328</v>
      </c>
    </row>
    <row r="49" spans="1:2">
      <c r="A49" s="24" t="s">
        <v>491</v>
      </c>
      <c r="B49" s="24" t="s">
        <v>330</v>
      </c>
    </row>
    <row r="50" spans="1:2">
      <c r="A50" s="24" t="s">
        <v>333</v>
      </c>
      <c r="B50" s="24" t="s">
        <v>332</v>
      </c>
    </row>
    <row r="51" spans="1:2">
      <c r="A51" s="24" t="s">
        <v>335</v>
      </c>
      <c r="B51" s="24" t="s">
        <v>334</v>
      </c>
    </row>
    <row r="52" spans="1:2">
      <c r="A52" s="24" t="s">
        <v>490</v>
      </c>
      <c r="B52" s="24" t="s">
        <v>338</v>
      </c>
    </row>
    <row r="53" spans="1:2">
      <c r="A53" s="24" t="s">
        <v>341</v>
      </c>
      <c r="B53" s="24" t="s">
        <v>340</v>
      </c>
    </row>
    <row r="54" spans="1:2">
      <c r="A54" s="24" t="s">
        <v>343</v>
      </c>
      <c r="B54" s="24" t="s">
        <v>342</v>
      </c>
    </row>
    <row r="55" spans="1:2">
      <c r="A55" s="24" t="s">
        <v>345</v>
      </c>
      <c r="B55" s="24" t="s">
        <v>344</v>
      </c>
    </row>
    <row r="56" spans="1:2">
      <c r="A56" s="24" t="s">
        <v>347</v>
      </c>
      <c r="B56" s="24" t="s">
        <v>346</v>
      </c>
    </row>
    <row r="57" spans="1:2">
      <c r="A57" s="24" t="s">
        <v>349</v>
      </c>
      <c r="B57" s="24" t="s">
        <v>348</v>
      </c>
    </row>
    <row r="58" spans="1:2">
      <c r="A58" s="24" t="s">
        <v>351</v>
      </c>
      <c r="B58" s="24" t="s">
        <v>350</v>
      </c>
    </row>
    <row r="59" spans="1:2">
      <c r="A59" s="24" t="s">
        <v>353</v>
      </c>
      <c r="B59" s="24" t="s">
        <v>352</v>
      </c>
    </row>
    <row r="60" spans="1:2">
      <c r="A60" s="24" t="s">
        <v>355</v>
      </c>
      <c r="B60" s="24" t="s">
        <v>354</v>
      </c>
    </row>
    <row r="61" spans="1:2">
      <c r="A61" s="24" t="s">
        <v>357</v>
      </c>
      <c r="B61" s="24" t="s">
        <v>356</v>
      </c>
    </row>
    <row r="62" spans="1:2">
      <c r="A62" s="24" t="s">
        <v>489</v>
      </c>
      <c r="B62" s="24" t="s">
        <v>358</v>
      </c>
    </row>
    <row r="63" spans="1:2">
      <c r="A63" s="24" t="s">
        <v>361</v>
      </c>
      <c r="B63" s="24" t="s">
        <v>360</v>
      </c>
    </row>
    <row r="64" spans="1:2">
      <c r="A64" s="24" t="s">
        <v>363</v>
      </c>
      <c r="B64" s="24" t="s">
        <v>362</v>
      </c>
    </row>
    <row r="65" spans="1:2">
      <c r="A65" s="24" t="s">
        <v>1</v>
      </c>
      <c r="B65" s="24" t="s">
        <v>364</v>
      </c>
    </row>
  </sheetData>
  <phoneticPr fontId="122"/>
  <hyperlinks>
    <hyperlink ref="C1" location="トップ!A1" display="トップ"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sheetPr>
  <dimension ref="A1:U37"/>
  <sheetViews>
    <sheetView workbookViewId="0">
      <selection activeCell="K48" sqref="K48"/>
    </sheetView>
  </sheetViews>
  <sheetFormatPr defaultColWidth="9" defaultRowHeight="13.2"/>
  <cols>
    <col min="1" max="2" width="9" style="16" customWidth="1"/>
    <col min="3" max="3" width="32.77734375" style="16" bestFit="1" customWidth="1"/>
    <col min="4" max="4" width="13" style="16" bestFit="1" customWidth="1"/>
    <col min="5" max="9" width="3.33203125" style="16" bestFit="1" customWidth="1"/>
    <col min="10" max="10" width="4.33203125" style="16" bestFit="1" customWidth="1"/>
    <col min="11" max="11" width="24.109375" style="16" bestFit="1" customWidth="1"/>
    <col min="12" max="12" width="20.33203125" style="16" bestFit="1" customWidth="1"/>
    <col min="13" max="13" width="36.109375" style="16" bestFit="1" customWidth="1"/>
    <col min="14" max="14" width="55.21875" style="16" bestFit="1" customWidth="1"/>
    <col min="15" max="15" width="6.77734375" style="16" bestFit="1" customWidth="1"/>
    <col min="16" max="20" width="3.33203125" style="16" bestFit="1" customWidth="1"/>
    <col min="21" max="21" width="3.6640625" style="16" customWidth="1"/>
    <col min="22" max="22" width="9" style="16" customWidth="1"/>
    <col min="23" max="16384" width="9" style="16"/>
  </cols>
  <sheetData>
    <row r="1" spans="1:21">
      <c r="A1" s="17" t="s">
        <v>436</v>
      </c>
      <c r="I1" s="23" t="s">
        <v>40</v>
      </c>
      <c r="K1" s="16" t="s">
        <v>488</v>
      </c>
      <c r="L1" s="16" t="s">
        <v>487</v>
      </c>
      <c r="Q1" s="21" t="s">
        <v>154</v>
      </c>
      <c r="R1" s="16">
        <v>11</v>
      </c>
      <c r="S1" s="16" t="s">
        <v>437</v>
      </c>
      <c r="T1" s="16" t="s">
        <v>440</v>
      </c>
    </row>
    <row r="2" spans="1:21">
      <c r="B2" s="16" t="s">
        <v>486</v>
      </c>
      <c r="C2" s="16" t="s">
        <v>485</v>
      </c>
      <c r="D2" s="16" t="s">
        <v>145</v>
      </c>
      <c r="E2" s="16">
        <v>21</v>
      </c>
      <c r="F2" s="16" t="s">
        <v>484</v>
      </c>
      <c r="G2" s="16">
        <v>1</v>
      </c>
      <c r="H2" s="16">
        <v>1</v>
      </c>
      <c r="I2" s="23" t="s">
        <v>483</v>
      </c>
      <c r="J2" s="16">
        <v>100</v>
      </c>
      <c r="K2" s="16" t="s">
        <v>482</v>
      </c>
      <c r="L2" s="16" t="s">
        <v>481</v>
      </c>
      <c r="M2" s="20" t="s">
        <v>480</v>
      </c>
      <c r="N2" s="16" t="s">
        <v>479</v>
      </c>
      <c r="O2" s="22" t="s">
        <v>430</v>
      </c>
      <c r="P2" s="23" t="s">
        <v>478</v>
      </c>
      <c r="Q2" s="21" t="s">
        <v>165</v>
      </c>
      <c r="R2" s="16">
        <v>12</v>
      </c>
      <c r="S2" s="16" t="s">
        <v>477</v>
      </c>
      <c r="T2" s="16" t="s">
        <v>439</v>
      </c>
      <c r="U2" s="16" t="s">
        <v>381</v>
      </c>
    </row>
    <row r="3" spans="1:21">
      <c r="A3" s="16" t="s">
        <v>476</v>
      </c>
      <c r="B3" s="16" t="s">
        <v>475</v>
      </c>
      <c r="C3" s="16" t="s">
        <v>474</v>
      </c>
      <c r="D3" s="16" t="s">
        <v>177</v>
      </c>
      <c r="E3" s="16">
        <v>22</v>
      </c>
      <c r="F3" s="16" t="s">
        <v>473</v>
      </c>
      <c r="G3" s="16">
        <v>2</v>
      </c>
      <c r="H3" s="16">
        <v>2</v>
      </c>
      <c r="J3" s="16">
        <v>125</v>
      </c>
      <c r="K3" s="16" t="s">
        <v>472</v>
      </c>
      <c r="L3" s="16" t="s">
        <v>471</v>
      </c>
      <c r="M3" s="20" t="s">
        <v>435</v>
      </c>
      <c r="N3" s="16" t="s">
        <v>470</v>
      </c>
      <c r="O3" s="22" t="s">
        <v>469</v>
      </c>
      <c r="Q3" s="21" t="s">
        <v>176</v>
      </c>
      <c r="R3" s="16">
        <v>13</v>
      </c>
      <c r="T3" s="16" t="s">
        <v>438</v>
      </c>
    </row>
    <row r="4" spans="1:21">
      <c r="A4" s="16" t="s">
        <v>468</v>
      </c>
      <c r="C4" s="16" t="s">
        <v>467</v>
      </c>
      <c r="D4" s="16" t="s">
        <v>155</v>
      </c>
      <c r="E4" s="16">
        <v>23</v>
      </c>
      <c r="G4" s="16">
        <v>3</v>
      </c>
      <c r="H4" s="16">
        <v>3</v>
      </c>
      <c r="J4" s="16">
        <v>165</v>
      </c>
      <c r="K4" s="16" t="s">
        <v>466</v>
      </c>
      <c r="L4" s="16" t="s">
        <v>465</v>
      </c>
      <c r="M4" s="20" t="s">
        <v>434</v>
      </c>
      <c r="N4" s="16" t="s">
        <v>464</v>
      </c>
      <c r="Q4" s="21" t="s">
        <v>185</v>
      </c>
      <c r="R4" s="16">
        <v>14</v>
      </c>
    </row>
    <row r="5" spans="1:21">
      <c r="A5" s="16" t="s">
        <v>13</v>
      </c>
      <c r="C5" s="16" t="s">
        <v>463</v>
      </c>
      <c r="E5" s="16">
        <v>24</v>
      </c>
      <c r="G5" s="16">
        <v>4</v>
      </c>
      <c r="H5" s="16">
        <v>4</v>
      </c>
      <c r="L5" s="16" t="s">
        <v>462</v>
      </c>
      <c r="M5" s="20" t="s">
        <v>433</v>
      </c>
      <c r="N5" s="16" t="s">
        <v>461</v>
      </c>
      <c r="Q5" s="21" t="s">
        <v>195</v>
      </c>
      <c r="R5" s="16">
        <v>15</v>
      </c>
    </row>
    <row r="6" spans="1:21">
      <c r="C6" s="16" t="s">
        <v>460</v>
      </c>
      <c r="E6" s="16">
        <v>25</v>
      </c>
      <c r="G6" s="16">
        <v>5</v>
      </c>
      <c r="H6" s="16">
        <v>5</v>
      </c>
      <c r="L6" s="16" t="s">
        <v>459</v>
      </c>
      <c r="M6" s="20" t="s">
        <v>458</v>
      </c>
      <c r="N6" s="16" t="s">
        <v>457</v>
      </c>
      <c r="Q6" s="21"/>
      <c r="R6" s="16">
        <v>16</v>
      </c>
    </row>
    <row r="7" spans="1:21">
      <c r="E7" s="16">
        <v>26</v>
      </c>
      <c r="G7" s="16">
        <v>6</v>
      </c>
      <c r="H7" s="16">
        <v>6</v>
      </c>
      <c r="L7" s="16" t="s">
        <v>456</v>
      </c>
      <c r="M7" s="20" t="s">
        <v>432</v>
      </c>
      <c r="N7" s="16" t="s">
        <v>455</v>
      </c>
      <c r="R7" s="16">
        <v>17</v>
      </c>
    </row>
    <row r="8" spans="1:21">
      <c r="E8" s="16">
        <v>27</v>
      </c>
      <c r="G8" s="16">
        <v>7</v>
      </c>
      <c r="H8" s="16">
        <v>7</v>
      </c>
      <c r="L8" s="16" t="s">
        <v>454</v>
      </c>
      <c r="M8" s="20" t="s">
        <v>431</v>
      </c>
      <c r="N8" s="16" t="s">
        <v>453</v>
      </c>
      <c r="R8" s="16">
        <v>18</v>
      </c>
    </row>
    <row r="9" spans="1:21">
      <c r="E9" s="16">
        <v>28</v>
      </c>
      <c r="G9" s="16">
        <v>8</v>
      </c>
      <c r="H9" s="16">
        <v>8</v>
      </c>
      <c r="L9" s="16" t="s">
        <v>452</v>
      </c>
      <c r="M9" s="20" t="s">
        <v>451</v>
      </c>
      <c r="N9" s="16" t="s">
        <v>450</v>
      </c>
      <c r="R9" s="16">
        <v>19</v>
      </c>
    </row>
    <row r="10" spans="1:21">
      <c r="E10" s="16">
        <v>29</v>
      </c>
      <c r="G10" s="16">
        <v>9</v>
      </c>
      <c r="H10" s="16">
        <v>9</v>
      </c>
      <c r="L10" s="16" t="s">
        <v>449</v>
      </c>
      <c r="M10" s="20" t="s">
        <v>429</v>
      </c>
      <c r="N10" s="16" t="s">
        <v>448</v>
      </c>
      <c r="R10" s="16">
        <v>20</v>
      </c>
    </row>
    <row r="11" spans="1:21">
      <c r="E11" s="16">
        <v>30</v>
      </c>
      <c r="G11" s="16">
        <v>10</v>
      </c>
      <c r="H11" s="16">
        <v>10</v>
      </c>
      <c r="L11" s="16" t="s">
        <v>447</v>
      </c>
      <c r="M11" s="20" t="s">
        <v>446</v>
      </c>
      <c r="N11" s="16" t="s">
        <v>445</v>
      </c>
      <c r="R11" s="16">
        <v>21</v>
      </c>
    </row>
    <row r="12" spans="1:21">
      <c r="E12" s="16">
        <v>31</v>
      </c>
      <c r="G12" s="16">
        <v>11</v>
      </c>
      <c r="H12" s="16">
        <v>11</v>
      </c>
      <c r="L12" s="16" t="s">
        <v>444</v>
      </c>
      <c r="M12" s="20" t="s">
        <v>443</v>
      </c>
      <c r="N12" s="16" t="s">
        <v>442</v>
      </c>
      <c r="R12" s="16">
        <v>22</v>
      </c>
    </row>
    <row r="13" spans="1:21">
      <c r="E13" s="16">
        <v>1</v>
      </c>
      <c r="G13" s="16">
        <v>12</v>
      </c>
      <c r="H13" s="16">
        <v>12</v>
      </c>
      <c r="L13" s="16" t="s">
        <v>134</v>
      </c>
      <c r="M13" s="20" t="s">
        <v>428</v>
      </c>
      <c r="R13" s="16">
        <v>23</v>
      </c>
    </row>
    <row r="14" spans="1:21">
      <c r="E14" s="16">
        <v>2</v>
      </c>
      <c r="G14" s="16">
        <v>13</v>
      </c>
      <c r="M14" s="20" t="s">
        <v>441</v>
      </c>
      <c r="R14" s="16">
        <v>24</v>
      </c>
    </row>
    <row r="15" spans="1:21">
      <c r="E15" s="16">
        <v>3</v>
      </c>
      <c r="G15" s="16">
        <v>14</v>
      </c>
      <c r="M15" s="20" t="s">
        <v>427</v>
      </c>
      <c r="R15" s="16">
        <v>25</v>
      </c>
    </row>
    <row r="16" spans="1:21">
      <c r="E16" s="16">
        <v>4</v>
      </c>
      <c r="G16" s="16">
        <v>15</v>
      </c>
      <c r="M16" s="20" t="s">
        <v>426</v>
      </c>
      <c r="R16" s="16">
        <v>26</v>
      </c>
    </row>
    <row r="17" spans="5:18">
      <c r="E17" s="16">
        <v>5</v>
      </c>
      <c r="G17" s="16">
        <v>16</v>
      </c>
      <c r="M17" s="20" t="s">
        <v>425</v>
      </c>
      <c r="R17" s="16">
        <v>27</v>
      </c>
    </row>
    <row r="18" spans="5:18">
      <c r="E18" s="16">
        <v>6</v>
      </c>
      <c r="G18" s="16">
        <v>17</v>
      </c>
      <c r="M18" s="20" t="s">
        <v>424</v>
      </c>
      <c r="R18" s="16">
        <v>28</v>
      </c>
    </row>
    <row r="19" spans="5:18">
      <c r="E19" s="16">
        <v>7</v>
      </c>
      <c r="G19" s="16">
        <v>18</v>
      </c>
      <c r="M19" s="20" t="s">
        <v>423</v>
      </c>
      <c r="R19" s="16">
        <v>29</v>
      </c>
    </row>
    <row r="20" spans="5:18">
      <c r="E20" s="16">
        <v>8</v>
      </c>
      <c r="G20" s="16">
        <v>19</v>
      </c>
      <c r="M20" s="20" t="s">
        <v>422</v>
      </c>
      <c r="R20" s="16">
        <v>30</v>
      </c>
    </row>
    <row r="21" spans="5:18">
      <c r="E21" s="16">
        <v>9</v>
      </c>
      <c r="G21" s="16">
        <v>20</v>
      </c>
      <c r="R21" s="16">
        <v>31</v>
      </c>
    </row>
    <row r="22" spans="5:18">
      <c r="E22" s="16">
        <v>10</v>
      </c>
      <c r="G22" s="16">
        <v>21</v>
      </c>
      <c r="R22" s="16">
        <v>32</v>
      </c>
    </row>
    <row r="23" spans="5:18">
      <c r="G23" s="16">
        <v>22</v>
      </c>
      <c r="R23" s="16">
        <v>33</v>
      </c>
    </row>
    <row r="24" spans="5:18">
      <c r="G24" s="16">
        <v>23</v>
      </c>
      <c r="R24" s="16">
        <v>34</v>
      </c>
    </row>
    <row r="25" spans="5:18">
      <c r="G25" s="16">
        <v>24</v>
      </c>
      <c r="R25" s="16">
        <v>35</v>
      </c>
    </row>
    <row r="26" spans="5:18">
      <c r="G26" s="16">
        <v>25</v>
      </c>
      <c r="R26" s="16">
        <v>36</v>
      </c>
    </row>
    <row r="27" spans="5:18">
      <c r="G27" s="16">
        <v>26</v>
      </c>
      <c r="R27" s="16">
        <v>37</v>
      </c>
    </row>
    <row r="28" spans="5:18">
      <c r="G28" s="16">
        <v>27</v>
      </c>
      <c r="R28" s="16">
        <v>38</v>
      </c>
    </row>
    <row r="29" spans="5:18">
      <c r="G29" s="16">
        <v>28</v>
      </c>
      <c r="R29" s="16">
        <v>39</v>
      </c>
    </row>
    <row r="30" spans="5:18">
      <c r="G30" s="16">
        <v>29</v>
      </c>
      <c r="R30" s="16">
        <v>40</v>
      </c>
    </row>
    <row r="31" spans="5:18">
      <c r="G31" s="16">
        <v>30</v>
      </c>
      <c r="R31" s="16">
        <v>41</v>
      </c>
    </row>
    <row r="32" spans="5:18">
      <c r="G32" s="16">
        <v>31</v>
      </c>
      <c r="R32" s="16">
        <v>42</v>
      </c>
    </row>
    <row r="33" spans="18:18">
      <c r="R33" s="16">
        <v>43</v>
      </c>
    </row>
    <row r="34" spans="18:18">
      <c r="R34" s="16">
        <v>44</v>
      </c>
    </row>
    <row r="35" spans="18:18">
      <c r="R35" s="16">
        <v>45</v>
      </c>
    </row>
    <row r="36" spans="18:18">
      <c r="R36" s="16">
        <v>46</v>
      </c>
    </row>
    <row r="37" spans="18:18">
      <c r="R37" s="16">
        <v>99</v>
      </c>
    </row>
  </sheetData>
  <phoneticPr fontId="122"/>
  <hyperlinks>
    <hyperlink ref="A1" location="トップ!A1" display="トップ"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38"/>
  <sheetViews>
    <sheetView workbookViewId="0"/>
  </sheetViews>
  <sheetFormatPr defaultColWidth="3.6640625" defaultRowHeight="15" customHeight="1"/>
  <cols>
    <col min="1" max="25" width="3.6640625" style="1084" customWidth="1"/>
    <col min="26" max="254" width="2.33203125" style="1084" customWidth="1"/>
    <col min="255" max="281" width="3.6640625" style="1084" customWidth="1"/>
    <col min="282" max="510" width="2.33203125" style="1084" customWidth="1"/>
    <col min="511" max="537" width="3.6640625" style="1084" customWidth="1"/>
    <col min="538" max="766" width="2.33203125" style="1084" customWidth="1"/>
    <col min="767" max="793" width="3.6640625" style="1084" customWidth="1"/>
    <col min="794" max="1022" width="2.33203125" style="1084" customWidth="1"/>
    <col min="1023" max="1049" width="3.6640625" style="1084" customWidth="1"/>
    <col min="1050" max="1278" width="2.33203125" style="1084" customWidth="1"/>
    <col min="1279" max="1305" width="3.6640625" style="1084" customWidth="1"/>
    <col min="1306" max="1534" width="2.33203125" style="1084" customWidth="1"/>
    <col min="1535" max="1561" width="3.6640625" style="1084" customWidth="1"/>
    <col min="1562" max="1790" width="2.33203125" style="1084" customWidth="1"/>
    <col min="1791" max="1817" width="3.6640625" style="1084" customWidth="1"/>
    <col min="1818" max="2046" width="2.33203125" style="1084" customWidth="1"/>
    <col min="2047" max="2073" width="3.6640625" style="1084" customWidth="1"/>
    <col min="2074" max="2302" width="2.33203125" style="1084" customWidth="1"/>
    <col min="2303" max="2329" width="3.6640625" style="1084" customWidth="1"/>
    <col min="2330" max="2558" width="2.33203125" style="1084" customWidth="1"/>
    <col min="2559" max="2585" width="3.6640625" style="1084" customWidth="1"/>
    <col min="2586" max="2814" width="2.33203125" style="1084" customWidth="1"/>
    <col min="2815" max="2841" width="3.6640625" style="1084" customWidth="1"/>
    <col min="2842" max="3070" width="2.33203125" style="1084" customWidth="1"/>
    <col min="3071" max="3097" width="3.6640625" style="1084" customWidth="1"/>
    <col min="3098" max="3326" width="2.33203125" style="1084" customWidth="1"/>
    <col min="3327" max="3353" width="3.6640625" style="1084" customWidth="1"/>
    <col min="3354" max="3582" width="2.33203125" style="1084" customWidth="1"/>
    <col min="3583" max="3609" width="3.6640625" style="1084" customWidth="1"/>
    <col min="3610" max="3838" width="2.33203125" style="1084" customWidth="1"/>
    <col min="3839" max="3865" width="3.6640625" style="1084" customWidth="1"/>
    <col min="3866" max="4094" width="2.33203125" style="1084" customWidth="1"/>
    <col min="4095" max="4121" width="3.6640625" style="1084" customWidth="1"/>
    <col min="4122" max="4350" width="2.33203125" style="1084" customWidth="1"/>
    <col min="4351" max="4377" width="3.6640625" style="1084" customWidth="1"/>
    <col min="4378" max="4606" width="2.33203125" style="1084" customWidth="1"/>
    <col min="4607" max="4633" width="3.6640625" style="1084" customWidth="1"/>
    <col min="4634" max="4862" width="2.33203125" style="1084" customWidth="1"/>
    <col min="4863" max="4889" width="3.6640625" style="1084" customWidth="1"/>
    <col min="4890" max="5118" width="2.33203125" style="1084" customWidth="1"/>
    <col min="5119" max="5145" width="3.6640625" style="1084" customWidth="1"/>
    <col min="5146" max="5374" width="2.33203125" style="1084" customWidth="1"/>
    <col min="5375" max="5401" width="3.6640625" style="1084" customWidth="1"/>
    <col min="5402" max="5630" width="2.33203125" style="1084" customWidth="1"/>
    <col min="5631" max="5657" width="3.6640625" style="1084" customWidth="1"/>
    <col min="5658" max="5886" width="2.33203125" style="1084" customWidth="1"/>
    <col min="5887" max="5913" width="3.6640625" style="1084" customWidth="1"/>
    <col min="5914" max="6142" width="2.33203125" style="1084" customWidth="1"/>
    <col min="6143" max="6169" width="3.6640625" style="1084" customWidth="1"/>
    <col min="6170" max="6398" width="2.33203125" style="1084" customWidth="1"/>
    <col min="6399" max="6425" width="3.6640625" style="1084" customWidth="1"/>
    <col min="6426" max="6654" width="2.33203125" style="1084" customWidth="1"/>
    <col min="6655" max="6681" width="3.6640625" style="1084" customWidth="1"/>
    <col min="6682" max="6910" width="2.33203125" style="1084" customWidth="1"/>
    <col min="6911" max="6937" width="3.6640625" style="1084" customWidth="1"/>
    <col min="6938" max="7166" width="2.33203125" style="1084" customWidth="1"/>
    <col min="7167" max="7193" width="3.6640625" style="1084" customWidth="1"/>
    <col min="7194" max="7422" width="2.33203125" style="1084" customWidth="1"/>
    <col min="7423" max="7449" width="3.6640625" style="1084" customWidth="1"/>
    <col min="7450" max="7678" width="2.33203125" style="1084" customWidth="1"/>
    <col min="7679" max="7705" width="3.6640625" style="1084" customWidth="1"/>
    <col min="7706" max="7934" width="2.33203125" style="1084" customWidth="1"/>
    <col min="7935" max="7961" width="3.6640625" style="1084" customWidth="1"/>
    <col min="7962" max="8190" width="2.33203125" style="1084" customWidth="1"/>
    <col min="8191" max="8217" width="3.6640625" style="1084" customWidth="1"/>
    <col min="8218" max="8446" width="2.33203125" style="1084" customWidth="1"/>
    <col min="8447" max="8473" width="3.6640625" style="1084" customWidth="1"/>
    <col min="8474" max="8702" width="2.33203125" style="1084" customWidth="1"/>
    <col min="8703" max="8729" width="3.6640625" style="1084" customWidth="1"/>
    <col min="8730" max="8958" width="2.33203125" style="1084" customWidth="1"/>
    <col min="8959" max="8985" width="3.6640625" style="1084" customWidth="1"/>
    <col min="8986" max="9214" width="2.33203125" style="1084" customWidth="1"/>
    <col min="9215" max="9241" width="3.6640625" style="1084" customWidth="1"/>
    <col min="9242" max="9470" width="2.33203125" style="1084" customWidth="1"/>
    <col min="9471" max="9497" width="3.6640625" style="1084" customWidth="1"/>
    <col min="9498" max="9726" width="2.33203125" style="1084" customWidth="1"/>
    <col min="9727" max="9753" width="3.6640625" style="1084" customWidth="1"/>
    <col min="9754" max="9982" width="2.33203125" style="1084" customWidth="1"/>
    <col min="9983" max="10009" width="3.6640625" style="1084" customWidth="1"/>
    <col min="10010" max="10238" width="2.33203125" style="1084" customWidth="1"/>
    <col min="10239" max="10265" width="3.6640625" style="1084" customWidth="1"/>
    <col min="10266" max="10494" width="2.33203125" style="1084" customWidth="1"/>
    <col min="10495" max="10521" width="3.6640625" style="1084" customWidth="1"/>
    <col min="10522" max="10750" width="2.33203125" style="1084" customWidth="1"/>
    <col min="10751" max="10777" width="3.6640625" style="1084" customWidth="1"/>
    <col min="10778" max="11006" width="2.33203125" style="1084" customWidth="1"/>
    <col min="11007" max="11033" width="3.6640625" style="1084" customWidth="1"/>
    <col min="11034" max="11262" width="2.33203125" style="1084" customWidth="1"/>
    <col min="11263" max="11289" width="3.6640625" style="1084" customWidth="1"/>
    <col min="11290" max="11518" width="2.33203125" style="1084" customWidth="1"/>
    <col min="11519" max="11545" width="3.6640625" style="1084" customWidth="1"/>
    <col min="11546" max="11774" width="2.33203125" style="1084" customWidth="1"/>
    <col min="11775" max="11801" width="3.6640625" style="1084" customWidth="1"/>
    <col min="11802" max="12030" width="2.33203125" style="1084" customWidth="1"/>
    <col min="12031" max="12057" width="3.6640625" style="1084" customWidth="1"/>
    <col min="12058" max="12286" width="2.33203125" style="1084" customWidth="1"/>
    <col min="12287" max="12313" width="3.6640625" style="1084" customWidth="1"/>
    <col min="12314" max="12542" width="2.33203125" style="1084" customWidth="1"/>
    <col min="12543" max="12569" width="3.6640625" style="1084" customWidth="1"/>
    <col min="12570" max="12798" width="2.33203125" style="1084" customWidth="1"/>
    <col min="12799" max="12825" width="3.6640625" style="1084" customWidth="1"/>
    <col min="12826" max="13054" width="2.33203125" style="1084" customWidth="1"/>
    <col min="13055" max="13081" width="3.6640625" style="1084" customWidth="1"/>
    <col min="13082" max="13310" width="2.33203125" style="1084" customWidth="1"/>
    <col min="13311" max="13337" width="3.6640625" style="1084" customWidth="1"/>
    <col min="13338" max="13566" width="2.33203125" style="1084" customWidth="1"/>
    <col min="13567" max="13593" width="3.6640625" style="1084" customWidth="1"/>
    <col min="13594" max="13822" width="2.33203125" style="1084" customWidth="1"/>
    <col min="13823" max="13849" width="3.6640625" style="1084" customWidth="1"/>
    <col min="13850" max="14078" width="2.33203125" style="1084" customWidth="1"/>
    <col min="14079" max="14105" width="3.6640625" style="1084" customWidth="1"/>
    <col min="14106" max="14334" width="2.33203125" style="1084" customWidth="1"/>
    <col min="14335" max="14361" width="3.6640625" style="1084" customWidth="1"/>
    <col min="14362" max="14590" width="2.33203125" style="1084" customWidth="1"/>
    <col min="14591" max="14617" width="3.6640625" style="1084" customWidth="1"/>
    <col min="14618" max="14846" width="2.33203125" style="1084" customWidth="1"/>
    <col min="14847" max="14873" width="3.6640625" style="1084" customWidth="1"/>
    <col min="14874" max="15102" width="2.33203125" style="1084" customWidth="1"/>
    <col min="15103" max="15129" width="3.6640625" style="1084" customWidth="1"/>
    <col min="15130" max="15358" width="2.33203125" style="1084" customWidth="1"/>
    <col min="15359" max="15385" width="3.6640625" style="1084" customWidth="1"/>
    <col min="15386" max="15614" width="2.33203125" style="1084" customWidth="1"/>
    <col min="15615" max="15641" width="3.6640625" style="1084" customWidth="1"/>
    <col min="15642" max="15870" width="2.33203125" style="1084" customWidth="1"/>
    <col min="15871" max="15897" width="3.6640625" style="1084" customWidth="1"/>
    <col min="15898" max="16126" width="2.33203125" style="1084" customWidth="1"/>
    <col min="16127" max="16153" width="3.6640625" style="1084" customWidth="1"/>
    <col min="16154" max="16382" width="2.33203125" style="1084" customWidth="1"/>
    <col min="16383" max="16384" width="3.6640625" style="1084" customWidth="1"/>
  </cols>
  <sheetData>
    <row r="1" spans="1:26" ht="15" customHeight="1">
      <c r="A1" s="1084" t="s">
        <v>3765</v>
      </c>
    </row>
    <row r="4" spans="1:26" ht="20.100000000000001" customHeight="1">
      <c r="A4" s="1326" t="s">
        <v>3766</v>
      </c>
      <c r="B4" s="1326"/>
      <c r="C4" s="1326"/>
      <c r="D4" s="1326"/>
      <c r="E4" s="1326"/>
      <c r="F4" s="1326"/>
      <c r="G4" s="1326"/>
      <c r="H4" s="1326"/>
      <c r="I4" s="1326"/>
      <c r="J4" s="1326"/>
      <c r="K4" s="1326"/>
      <c r="L4" s="1326"/>
      <c r="M4" s="1326"/>
      <c r="N4" s="1326"/>
      <c r="O4" s="1326"/>
      <c r="P4" s="1326"/>
      <c r="Q4" s="1326"/>
      <c r="R4" s="1326"/>
      <c r="S4" s="1326"/>
      <c r="T4" s="1326"/>
      <c r="U4" s="1326"/>
      <c r="V4" s="1326"/>
      <c r="W4" s="1326"/>
      <c r="X4" s="1326"/>
      <c r="Y4" s="1326"/>
      <c r="Z4" s="1085"/>
    </row>
    <row r="6" spans="1:26" ht="15" customHeight="1">
      <c r="A6" s="1316" t="s">
        <v>5</v>
      </c>
      <c r="B6" s="1316"/>
      <c r="C6" s="1316"/>
      <c r="D6" s="1316"/>
      <c r="E6" s="1316"/>
      <c r="F6" s="1316"/>
      <c r="G6" s="1316"/>
      <c r="H6" s="1316"/>
      <c r="I6" s="1316"/>
      <c r="J6" s="1316"/>
      <c r="K6" s="1316"/>
      <c r="L6" s="1316"/>
      <c r="M6" s="1316"/>
      <c r="N6" s="1316"/>
      <c r="O6" s="1316"/>
      <c r="P6" s="1316"/>
      <c r="Q6" s="1316"/>
      <c r="R6" s="1316"/>
      <c r="S6" s="1316"/>
      <c r="T6" s="1316"/>
      <c r="U6" s="1316"/>
      <c r="V6" s="1316"/>
      <c r="W6" s="1316"/>
      <c r="X6" s="1316"/>
      <c r="Y6" s="1316"/>
    </row>
    <row r="10" spans="1:26" ht="36" customHeight="1">
      <c r="A10" s="1327" t="s">
        <v>3767</v>
      </c>
      <c r="B10" s="1327"/>
      <c r="C10" s="1327"/>
      <c r="D10" s="1327"/>
      <c r="E10" s="1327"/>
      <c r="F10" s="1327"/>
      <c r="G10" s="1327"/>
      <c r="H10" s="1327"/>
      <c r="I10" s="1327"/>
      <c r="J10" s="1327"/>
      <c r="K10" s="1327"/>
      <c r="L10" s="1327"/>
      <c r="M10" s="1327"/>
      <c r="N10" s="1327"/>
      <c r="O10" s="1327"/>
      <c r="P10" s="1327"/>
      <c r="Q10" s="1327"/>
      <c r="R10" s="1327"/>
      <c r="S10" s="1327"/>
      <c r="T10" s="1327"/>
      <c r="U10" s="1327"/>
      <c r="V10" s="1327"/>
      <c r="W10" s="1327"/>
      <c r="X10" s="1327"/>
      <c r="Y10" s="1327"/>
    </row>
    <row r="11" spans="1:26" ht="15" customHeight="1">
      <c r="A11" s="1087"/>
      <c r="B11" s="1087"/>
      <c r="C11" s="1087"/>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row>
    <row r="12" spans="1:26" ht="15" customHeight="1">
      <c r="Y12" s="1088"/>
    </row>
    <row r="13" spans="1:26" ht="15" customHeight="1">
      <c r="Y13" s="1088"/>
    </row>
    <row r="14" spans="1:26" ht="15" customHeight="1">
      <c r="B14" s="1084" t="str">
        <f ca="1">cst_Pre_Corp__SHINSEI&amp;"　御中"</f>
        <v>株式会社　都市居住評価センター　御中</v>
      </c>
      <c r="Y14" s="1088"/>
    </row>
    <row r="15" spans="1:26" ht="15" customHeight="1">
      <c r="B15" s="1089"/>
      <c r="Y15" s="1088"/>
    </row>
    <row r="16" spans="1:26" ht="15" customHeight="1">
      <c r="Y16" s="1088"/>
    </row>
    <row r="17" spans="1:25" ht="15" customHeight="1">
      <c r="Y17" s="1088"/>
    </row>
    <row r="18" spans="1:25" ht="15" customHeight="1">
      <c r="Y18" s="1088"/>
    </row>
    <row r="19" spans="1:25" ht="15" customHeight="1">
      <c r="P19" s="1328" t="str">
        <f>cst_wskakunin_SHINSEI_DATE</f>
        <v/>
      </c>
      <c r="Q19" s="1328"/>
      <c r="R19" s="1328"/>
      <c r="S19" s="1328"/>
      <c r="T19" s="1090" t="str">
        <f>cst_wskakunin_SHINSEI_DATE</f>
        <v/>
      </c>
      <c r="U19" s="1091" t="s">
        <v>380</v>
      </c>
      <c r="V19" s="1092" t="str">
        <f>cst_wskakunin_SHINSEI_DATE</f>
        <v/>
      </c>
      <c r="W19" s="1091" t="s">
        <v>0</v>
      </c>
      <c r="X19" s="1093" t="str">
        <f>cst_wskakunin_SHINSEI_DATE</f>
        <v/>
      </c>
      <c r="Y19" s="1091" t="s">
        <v>3057</v>
      </c>
    </row>
    <row r="21" spans="1:25" ht="15" customHeight="1">
      <c r="N21" s="1329" t="str">
        <f>cst_wskakunin_APPLICANT_NAME</f>
        <v>株式会社ユーイック不動産 代表取締役社長 野崎　豊</v>
      </c>
      <c r="O21" s="1329"/>
      <c r="P21" s="1329"/>
      <c r="Q21" s="1329"/>
      <c r="R21" s="1329"/>
      <c r="S21" s="1329"/>
      <c r="T21" s="1329"/>
      <c r="U21" s="1329"/>
      <c r="V21" s="1329"/>
      <c r="W21" s="1329"/>
      <c r="X21" s="1329"/>
    </row>
    <row r="22" spans="1:25" ht="15" customHeight="1">
      <c r="N22" s="1329"/>
      <c r="O22" s="1329"/>
      <c r="P22" s="1329"/>
      <c r="Q22" s="1329"/>
      <c r="R22" s="1329"/>
      <c r="S22" s="1329"/>
      <c r="T22" s="1329"/>
      <c r="U22" s="1329"/>
      <c r="V22" s="1329"/>
      <c r="W22" s="1329"/>
      <c r="X22" s="1329"/>
    </row>
    <row r="23" spans="1:25" ht="15" customHeight="1">
      <c r="C23" s="1094"/>
      <c r="D23" s="1094"/>
      <c r="E23" s="1094"/>
      <c r="F23" s="1094"/>
      <c r="G23" s="1094"/>
      <c r="H23" s="1094"/>
      <c r="I23" s="1094"/>
      <c r="J23" s="1095"/>
      <c r="K23" s="1095"/>
      <c r="L23" s="1096" t="s">
        <v>3459</v>
      </c>
      <c r="N23" s="1329"/>
      <c r="O23" s="1329"/>
      <c r="P23" s="1329"/>
      <c r="Q23" s="1329"/>
      <c r="R23" s="1329"/>
      <c r="S23" s="1329"/>
      <c r="T23" s="1329"/>
      <c r="U23" s="1329"/>
      <c r="V23" s="1329"/>
      <c r="W23" s="1329"/>
      <c r="X23" s="1329"/>
      <c r="Y23" s="1097"/>
    </row>
    <row r="24" spans="1:25" ht="15" customHeight="1">
      <c r="A24" s="1098"/>
      <c r="B24" s="1098"/>
      <c r="C24" s="1098"/>
      <c r="D24" s="1098"/>
      <c r="E24" s="1098"/>
      <c r="F24" s="1098"/>
      <c r="G24" s="1098"/>
      <c r="H24" s="1098"/>
      <c r="I24" s="1098"/>
      <c r="J24" s="1098"/>
      <c r="K24" s="1099"/>
      <c r="L24" s="1099"/>
      <c r="M24" s="1099"/>
      <c r="N24" s="1099"/>
      <c r="O24" s="1099"/>
      <c r="P24" s="1099"/>
      <c r="Q24" s="1099"/>
      <c r="R24" s="1099"/>
      <c r="S24" s="1099"/>
      <c r="T24" s="1099"/>
      <c r="U24" s="1099"/>
      <c r="V24" s="1099"/>
      <c r="W24" s="1099"/>
      <c r="X24" s="1099"/>
      <c r="Y24" s="1099"/>
    </row>
    <row r="25" spans="1:25" ht="15" customHeight="1">
      <c r="K25" s="1100"/>
      <c r="L25" s="1100"/>
      <c r="M25" s="1100"/>
      <c r="N25" s="1100"/>
      <c r="O25" s="1100"/>
      <c r="P25" s="1100"/>
      <c r="Q25" s="1100"/>
      <c r="R25" s="1100"/>
      <c r="S25" s="1100"/>
      <c r="T25" s="1100"/>
      <c r="U25" s="1100"/>
      <c r="V25" s="1100"/>
      <c r="W25" s="1100"/>
      <c r="X25" s="1100"/>
      <c r="Y25" s="1100"/>
    </row>
    <row r="26" spans="1:25" ht="15" customHeight="1">
      <c r="K26" s="1100"/>
      <c r="L26" s="1100"/>
      <c r="M26" s="1100"/>
      <c r="N26" s="1323" t="str">
        <f>cst_wskakunin_sekkei1_JIMU_NAME</f>
        <v>一級建築士事務所　UHEC</v>
      </c>
      <c r="O26" s="1323"/>
      <c r="P26" s="1323"/>
      <c r="Q26" s="1323"/>
      <c r="R26" s="1323"/>
      <c r="S26" s="1323"/>
      <c r="T26" s="1323"/>
      <c r="U26" s="1323"/>
      <c r="V26" s="1323"/>
      <c r="W26" s="1323"/>
      <c r="X26" s="1323"/>
      <c r="Y26" s="1100"/>
    </row>
    <row r="27" spans="1:25" ht="15" customHeight="1">
      <c r="L27" s="1096" t="s">
        <v>3768</v>
      </c>
      <c r="N27" s="1323" t="str">
        <f>cst_wskakunin_sekkei1_NAME</f>
        <v>髙橋　一郎</v>
      </c>
      <c r="O27" s="1323"/>
      <c r="P27" s="1323"/>
      <c r="Q27" s="1323"/>
      <c r="R27" s="1323"/>
      <c r="S27" s="1323"/>
      <c r="T27" s="1323"/>
      <c r="U27" s="1323"/>
      <c r="V27" s="1323"/>
      <c r="W27" s="1323"/>
      <c r="X27" s="1323"/>
      <c r="Y27" s="1097"/>
    </row>
    <row r="28" spans="1:25" ht="15" customHeight="1">
      <c r="P28" s="1100"/>
      <c r="Q28" s="1100"/>
      <c r="R28" s="1100"/>
      <c r="S28" s="1100"/>
      <c r="T28" s="1100"/>
      <c r="U28" s="1100"/>
      <c r="V28" s="1100"/>
      <c r="W28" s="1100"/>
      <c r="X28" s="1100"/>
      <c r="Y28" s="1100"/>
    </row>
    <row r="29" spans="1:25" ht="15" customHeight="1">
      <c r="A29" s="1324" t="s">
        <v>3455</v>
      </c>
      <c r="B29" s="1325"/>
      <c r="C29" s="1325"/>
      <c r="D29" s="1101"/>
      <c r="E29" s="1102"/>
      <c r="F29" s="1103"/>
      <c r="G29" s="1103"/>
      <c r="H29" s="1103"/>
      <c r="I29" s="1103"/>
      <c r="J29" s="1103"/>
      <c r="K29" s="1103"/>
      <c r="L29" s="1103"/>
      <c r="M29" s="1103"/>
      <c r="N29" s="1103"/>
      <c r="O29" s="1103"/>
      <c r="P29" s="1104"/>
      <c r="Q29" s="1104"/>
      <c r="R29" s="1104"/>
      <c r="S29" s="1104"/>
      <c r="T29" s="1104"/>
      <c r="U29" s="1104"/>
      <c r="V29" s="1104"/>
      <c r="W29" s="1104"/>
      <c r="X29" s="1104"/>
      <c r="Y29" s="1105"/>
    </row>
    <row r="30" spans="1:25" ht="15" customHeight="1">
      <c r="A30" s="1106"/>
      <c r="B30" s="1266" t="str">
        <f ca="1">TEXT(TODAY(),"ggg")</f>
        <v>令和</v>
      </c>
      <c r="C30" s="1267"/>
      <c r="D30" s="1267"/>
      <c r="E30" s="1267" t="s">
        <v>380</v>
      </c>
      <c r="F30" s="1267"/>
      <c r="G30" s="1267" t="s">
        <v>0</v>
      </c>
      <c r="H30" s="1267"/>
      <c r="I30" s="1267" t="s">
        <v>3057</v>
      </c>
      <c r="J30" s="1267" t="s">
        <v>3454</v>
      </c>
      <c r="K30" s="1267"/>
      <c r="P30" s="1100"/>
      <c r="Q30" s="1100"/>
      <c r="R30" s="1100"/>
      <c r="S30" s="1100"/>
      <c r="T30" s="1100"/>
      <c r="U30" s="1100"/>
      <c r="V30" s="1100"/>
      <c r="W30" s="1100"/>
      <c r="X30" s="1100"/>
      <c r="Y30" s="1107"/>
    </row>
    <row r="31" spans="1:25" ht="15" customHeight="1">
      <c r="A31" s="1106"/>
      <c r="B31" s="1267"/>
      <c r="C31" s="1267"/>
      <c r="D31" s="1267"/>
      <c r="E31" s="1267"/>
      <c r="F31" s="1267"/>
      <c r="G31" s="1267"/>
      <c r="H31" s="1267"/>
      <c r="I31" s="1267"/>
      <c r="J31" s="1267"/>
      <c r="K31" s="1267"/>
      <c r="P31" s="1100"/>
      <c r="Q31" s="1100"/>
      <c r="R31" s="1100"/>
      <c r="S31" s="1100"/>
      <c r="T31" s="1100"/>
      <c r="U31" s="1100"/>
      <c r="V31" s="1100"/>
      <c r="W31" s="1100"/>
      <c r="X31" s="1100"/>
      <c r="Y31" s="1107"/>
    </row>
    <row r="32" spans="1:25" ht="15" customHeight="1">
      <c r="A32" s="1106"/>
      <c r="B32" s="1268" t="s">
        <v>3453</v>
      </c>
      <c r="C32" s="1268"/>
      <c r="D32" s="1268"/>
      <c r="E32" s="1268"/>
      <c r="F32" s="1268"/>
      <c r="G32" s="1268"/>
      <c r="H32" s="1268"/>
      <c r="I32" s="1268"/>
      <c r="J32" s="1268" t="s">
        <v>3452</v>
      </c>
      <c r="K32" s="1268"/>
      <c r="P32" s="1100"/>
      <c r="Q32" s="1100"/>
      <c r="R32" s="1100"/>
      <c r="S32" s="1100"/>
      <c r="T32" s="1100"/>
      <c r="U32" s="1100"/>
      <c r="V32" s="1100"/>
      <c r="W32" s="1100"/>
      <c r="X32" s="1100"/>
      <c r="Y32" s="1107"/>
    </row>
    <row r="33" spans="1:25" ht="36" customHeight="1">
      <c r="A33" s="1322" t="s">
        <v>3258</v>
      </c>
      <c r="B33" s="1322"/>
      <c r="C33" s="1322"/>
      <c r="D33" s="1322"/>
      <c r="E33" s="1322"/>
      <c r="F33" s="1322"/>
      <c r="G33" s="1322"/>
      <c r="H33" s="1322" t="s">
        <v>3769</v>
      </c>
      <c r="I33" s="1322"/>
      <c r="J33" s="1322"/>
      <c r="K33" s="1322"/>
      <c r="L33" s="1322"/>
      <c r="M33" s="1322" t="s">
        <v>3449</v>
      </c>
      <c r="N33" s="1322"/>
      <c r="O33" s="1322"/>
      <c r="P33" s="1322"/>
      <c r="Q33" s="1322"/>
      <c r="R33" s="1322"/>
      <c r="S33" s="1322" t="s">
        <v>3770</v>
      </c>
      <c r="T33" s="1322"/>
      <c r="U33" s="1322"/>
      <c r="V33" s="1322"/>
      <c r="W33" s="1322"/>
      <c r="X33" s="1322"/>
      <c r="Y33" s="1322"/>
    </row>
    <row r="34" spans="1:25" ht="36" customHeight="1">
      <c r="A34" s="1311" t="s">
        <v>3276</v>
      </c>
      <c r="B34" s="1311"/>
      <c r="C34" s="1311"/>
      <c r="D34" s="1311"/>
      <c r="E34" s="1311"/>
      <c r="F34" s="1311"/>
      <c r="G34" s="1311"/>
      <c r="H34" s="1312"/>
      <c r="I34" s="1313"/>
      <c r="J34" s="1313"/>
      <c r="K34" s="1313"/>
      <c r="L34" s="1314"/>
      <c r="M34" s="1321"/>
      <c r="N34" s="1321"/>
      <c r="O34" s="1321"/>
      <c r="P34" s="1321"/>
      <c r="Q34" s="1321"/>
      <c r="R34" s="1321"/>
      <c r="S34" s="1311" t="s">
        <v>3276</v>
      </c>
      <c r="T34" s="1311"/>
      <c r="U34" s="1311"/>
      <c r="V34" s="1311"/>
      <c r="W34" s="1311"/>
      <c r="X34" s="1311"/>
      <c r="Y34" s="1311"/>
    </row>
    <row r="35" spans="1:25" ht="36" customHeight="1">
      <c r="A35" s="1321" t="s">
        <v>4099</v>
      </c>
      <c r="B35" s="1321"/>
      <c r="C35" s="1321"/>
      <c r="D35" s="1321"/>
      <c r="E35" s="1321"/>
      <c r="F35" s="1321"/>
      <c r="G35" s="1321"/>
      <c r="H35" s="1315"/>
      <c r="I35" s="1316"/>
      <c r="J35" s="1316"/>
      <c r="K35" s="1316"/>
      <c r="L35" s="1317"/>
      <c r="M35" s="1321"/>
      <c r="N35" s="1321"/>
      <c r="O35" s="1321"/>
      <c r="P35" s="1321"/>
      <c r="Q35" s="1321"/>
      <c r="R35" s="1321"/>
      <c r="S35" s="1321" t="s">
        <v>4099</v>
      </c>
      <c r="T35" s="1321"/>
      <c r="U35" s="1321"/>
      <c r="V35" s="1321"/>
      <c r="W35" s="1321"/>
      <c r="X35" s="1321"/>
      <c r="Y35" s="1321"/>
    </row>
    <row r="36" spans="1:25" ht="36" customHeight="1">
      <c r="A36" s="1322" t="s">
        <v>3254</v>
      </c>
      <c r="B36" s="1322"/>
      <c r="C36" s="1322"/>
      <c r="D36" s="1322"/>
      <c r="E36" s="1322"/>
      <c r="F36" s="1322"/>
      <c r="G36" s="1322"/>
      <c r="H36" s="1318"/>
      <c r="I36" s="1319"/>
      <c r="J36" s="1319"/>
      <c r="K36" s="1319"/>
      <c r="L36" s="1320"/>
      <c r="M36" s="1321"/>
      <c r="N36" s="1321"/>
      <c r="O36" s="1321"/>
      <c r="P36" s="1321"/>
      <c r="Q36" s="1321"/>
      <c r="R36" s="1321"/>
      <c r="S36" s="1322" t="s">
        <v>3254</v>
      </c>
      <c r="T36" s="1322"/>
      <c r="U36" s="1322"/>
      <c r="V36" s="1322"/>
      <c r="W36" s="1322"/>
      <c r="X36" s="1322"/>
      <c r="Y36" s="1322"/>
    </row>
    <row r="37" spans="1:25" ht="15" customHeight="1">
      <c r="B37" s="1108"/>
      <c r="C37" s="1108"/>
      <c r="D37" s="1108"/>
      <c r="E37" s="1108"/>
      <c r="F37" s="1108"/>
      <c r="G37" s="1108"/>
      <c r="H37" s="1086"/>
      <c r="I37" s="1086"/>
      <c r="J37" s="1086"/>
      <c r="K37" s="1086"/>
      <c r="L37" s="1086"/>
      <c r="M37" s="1086"/>
      <c r="N37" s="1086"/>
      <c r="O37" s="1086"/>
      <c r="P37" s="1086"/>
      <c r="Q37" s="1086"/>
      <c r="R37" s="1086"/>
      <c r="S37" s="1108"/>
      <c r="T37" s="1108"/>
      <c r="U37" s="1108"/>
      <c r="V37" s="1108"/>
      <c r="W37" s="1108"/>
      <c r="X37" s="1108"/>
      <c r="Y37" s="1108"/>
    </row>
    <row r="38" spans="1:25" ht="15" customHeight="1">
      <c r="X38" s="1100"/>
      <c r="Y38" s="1100"/>
    </row>
  </sheetData>
  <mergeCells count="20">
    <mergeCell ref="N26:X26"/>
    <mergeCell ref="A4:Y4"/>
    <mergeCell ref="A6:Y6"/>
    <mergeCell ref="A10:Y10"/>
    <mergeCell ref="P19:S19"/>
    <mergeCell ref="N21:X23"/>
    <mergeCell ref="N27:X27"/>
    <mergeCell ref="A29:C29"/>
    <mergeCell ref="A33:G33"/>
    <mergeCell ref="H33:L33"/>
    <mergeCell ref="M33:R33"/>
    <mergeCell ref="S33:Y33"/>
    <mergeCell ref="A34:G34"/>
    <mergeCell ref="H34:L36"/>
    <mergeCell ref="M34:R36"/>
    <mergeCell ref="S34:Y34"/>
    <mergeCell ref="A35:G35"/>
    <mergeCell ref="S35:Y35"/>
    <mergeCell ref="A36:G36"/>
    <mergeCell ref="S36:Y36"/>
  </mergeCells>
  <phoneticPr fontId="122"/>
  <printOptions horizontalCentered="1"/>
  <pageMargins left="0.55118110236220474" right="0.55118110236220474" top="0.78740157480314965" bottom="0.78740157480314965" header="0.51181102362204722" footer="0.51181102362204722"/>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2316</vt:i4>
      </vt:variant>
    </vt:vector>
  </HeadingPairs>
  <TitlesOfParts>
    <vt:vector size="2317" baseType="lpstr">
      <vt:lpstr>受付連絡票</vt:lpstr>
      <vt:lpstr>_１級</vt:lpstr>
      <vt:lpstr>_output_sheetname</vt:lpstr>
      <vt:lpstr>_output_title</vt:lpstr>
      <vt:lpstr>chk_INTER_state_in_final</vt:lpstr>
      <vt:lpstr>chk_INTER1_state_in_conf</vt:lpstr>
      <vt:lpstr>chk_INTER2_state_in_conf</vt:lpstr>
      <vt:lpstr>chk_INTER3_state_in_conf</vt:lpstr>
      <vt:lpstr>chk_JOB_KIND_kakunin</vt:lpstr>
      <vt:lpstr>cls_JOB_KIND_base_point</vt:lpstr>
      <vt:lpstr>cls_JOB_KIND_erea</vt:lpstr>
      <vt:lpstr>cls_JOB_SET_KIND_base_point</vt:lpstr>
      <vt:lpstr>cls_JOB_SET_KIND_erea</vt:lpstr>
      <vt:lpstr>cls_TARGET_KIND_base_point</vt:lpstr>
      <vt:lpstr>cls_TARGET_KIND_erea</vt:lpstr>
      <vt:lpstr>cst__output_sheetname</vt:lpstr>
      <vt:lpstr>cst__output_title</vt:lpstr>
      <vt:lpstr>cst_ISSUE_DATE_select</vt:lpstr>
      <vt:lpstr>cst_ISSUE_KOUFU_NAME_select</vt:lpstr>
      <vt:lpstr>cst_ISSUE_NO_select</vt:lpstr>
      <vt:lpstr>cst_KAKU_SUMI_KOUFU_DATE</vt:lpstr>
      <vt:lpstr>cst_KAKU_SUMI_KOUFU_DATE_JOB_KIND</vt:lpstr>
      <vt:lpstr>cst_KAKU_SUMI_KOUFU_NAME</vt:lpstr>
      <vt:lpstr>cst_KAKU_SUMI_KOUFU_NAME_JOB_KIND</vt:lpstr>
      <vt:lpstr>cst_koujikikan_month</vt:lpstr>
      <vt:lpstr>cst_koujikikan_year</vt:lpstr>
      <vt:lpstr>cst_Pre_Corp__SHINSEI</vt:lpstr>
      <vt:lpstr>cst_Pre_Corptype__SHINSEI</vt:lpstr>
      <vt:lpstr>cst_Pre_Daihyou__SHINSEI</vt:lpstr>
      <vt:lpstr>cst_shinsei_build_p6_01_PAGE6_KOUZOU_KEISAN_KIND__002</vt:lpstr>
      <vt:lpstr>cst_shinsei_build_p6_01_PAGE6_KOUZOU_KEISAN_KIND__004</vt:lpstr>
      <vt:lpstr>cst_shinsei_build_p6_01_PAGE6_KOUZOU_KEISAN_KIND__005</vt:lpstr>
      <vt:lpstr>cst_shinsei_build_YOUTO</vt:lpstr>
      <vt:lpstr>cst_shinsei_HIKIUKE_DATE</vt:lpstr>
      <vt:lpstr>cst_shinsei_ISSUE_DATE</vt:lpstr>
      <vt:lpstr>cst_shinsei_ISSUE_KOUFU_NAME</vt:lpstr>
      <vt:lpstr>cst_shinsei_ISSUE_NO</vt:lpstr>
      <vt:lpstr>cst_shinsei_ISSUE_NO_disp</vt:lpstr>
      <vt:lpstr>cst_shinsei_KAKU_SUMI_NO</vt:lpstr>
      <vt:lpstr>cst_shinsei_KAKU_SUMI_NO_JOB_KIND</vt:lpstr>
      <vt:lpstr>cst_shinsei_KAKUNIN_ISSUE_NO</vt:lpstr>
      <vt:lpstr>cst_shinsei_KAKUNIN_KOUFU_DATE</vt:lpstr>
      <vt:lpstr>cst_shinsei_PROVO_DATE</vt:lpstr>
      <vt:lpstr>cst_shinsei_PROVO_NO</vt:lpstr>
      <vt:lpstr>cst_shinsei_UKETUKE_NO</vt:lpstr>
      <vt:lpstr>cst_shinsei_UNIT_COUNT</vt:lpstr>
      <vt:lpstr>cst_wsecoteki_APPLICANT_NAME</vt:lpstr>
      <vt:lpstr>cst_wsecoteki_BUILD__address</vt:lpstr>
      <vt:lpstr>cst_wsecoteki_BUILD_ADDRESS</vt:lpstr>
      <vt:lpstr>cst_wsecoteki_BUILD_KEN__ken</vt:lpstr>
      <vt:lpstr>cst_wsecoteki_BUILD_NAME</vt:lpstr>
      <vt:lpstr>cst_wsecoteki_dairi1__address</vt:lpstr>
      <vt:lpstr>cst_wsecoteki_dairi1__sikaku</vt:lpstr>
      <vt:lpstr>cst_wsecoteki_dairi1_FAX</vt:lpstr>
      <vt:lpstr>cst_wsecoteki_dairi1_JIMU__sikaku</vt:lpstr>
      <vt:lpstr>cst_wsecoteki_dairi1_JIMU_NAME</vt:lpstr>
      <vt:lpstr>cst_wsecoteki_dairi1_JIMU_NAME_KANA</vt:lpstr>
      <vt:lpstr>cst_wsecoteki_dairi1_JIMU_NO</vt:lpstr>
      <vt:lpstr>cst_wsecoteki_dairi1_JIMU_SIKAKU__label</vt:lpstr>
      <vt:lpstr>cst_wsecoteki_dairi1_JIMU_TOUROKU_KIKAN__label</vt:lpstr>
      <vt:lpstr>cst_wsecoteki_dairi1_KENTIKUSI_NO</vt:lpstr>
      <vt:lpstr>cst_wsecoteki_dairi1_NAME</vt:lpstr>
      <vt:lpstr>cst_wsecoteki_dairi1_NAME_KANA</vt:lpstr>
      <vt:lpstr>cst_wsecoteki_dairi1_POST</vt:lpstr>
      <vt:lpstr>cst_wsecoteki_dairi1_POST_KANA</vt:lpstr>
      <vt:lpstr>cst_wsecoteki_dairi1_SIKAKU__label</vt:lpstr>
      <vt:lpstr>cst_wsecoteki_dairi1_TEL</vt:lpstr>
      <vt:lpstr>cst_wsecoteki_dairi1_TOUROKU_KIKAN__label</vt:lpstr>
      <vt:lpstr>cst_wsecoteki_dairi1_ZIP</vt:lpstr>
      <vt:lpstr>cst_wsecoteki_owner1__address</vt:lpstr>
      <vt:lpstr>cst_wsecoteki_owner1__space</vt:lpstr>
      <vt:lpstr>cst_wsecoteki_owner1__space_kana</vt:lpstr>
      <vt:lpstr>cst_wsecoteki_owner1_JIMU_NAME</vt:lpstr>
      <vt:lpstr>cst_wsecoteki_owner1_JIMU_NAME_KANA</vt:lpstr>
      <vt:lpstr>cst_wsecoteki_owner1_NAME</vt:lpstr>
      <vt:lpstr>cst_wsecoteki_owner1_NAME_KANA</vt:lpstr>
      <vt:lpstr>cst_wsecoteki_owner1_POST</vt:lpstr>
      <vt:lpstr>cst_wsecoteki_owner1_POST_KANA</vt:lpstr>
      <vt:lpstr>cst_wsecoteki_owner1_TEL</vt:lpstr>
      <vt:lpstr>cst_wsecoteki_owner1_ZIP</vt:lpstr>
      <vt:lpstr>cst_wsecoteki_owner2__address</vt:lpstr>
      <vt:lpstr>cst_wsecoteki_owner2_JIMU_NAME</vt:lpstr>
      <vt:lpstr>cst_wsecoteki_owner2_JIMU_NAME_KANA</vt:lpstr>
      <vt:lpstr>cst_wsecoteki_owner2_NAME</vt:lpstr>
      <vt:lpstr>cst_wsecoteki_owner2_NAME_KANA</vt:lpstr>
      <vt:lpstr>cst_wsecoteki_owner2_POST</vt:lpstr>
      <vt:lpstr>cst_wsecoteki_owner2_POST_KANA</vt:lpstr>
      <vt:lpstr>cst_wsecoteki_owner2_TEL</vt:lpstr>
      <vt:lpstr>cst_wsecoteki_owner2_ZIP</vt:lpstr>
      <vt:lpstr>cst_wsflat35_dairi1_POST</vt:lpstr>
      <vt:lpstr>cst_wsjob_JOB_INPUT_VERSION</vt:lpstr>
      <vt:lpstr>cst_wsjob_JOB_KIND</vt:lpstr>
      <vt:lpstr>cst_wsjob_JOB_KIND_final_box</vt:lpstr>
      <vt:lpstr>cst_wsjob_JOB_KIND_inter_box</vt:lpstr>
      <vt:lpstr>cst_wsjob_JOB_KIND_kakunin_box</vt:lpstr>
      <vt:lpstr>cst_wsjob_JOB_SET_KIND</vt:lpstr>
      <vt:lpstr>cst_wsjob_KENTIKUBUTU_box</vt:lpstr>
      <vt:lpstr>cst_wsjob_KENTIKUSETUBI_box</vt:lpstr>
      <vt:lpstr>cst_wsjob_KOUSAKUBUTU_1_box</vt:lpstr>
      <vt:lpstr>cst_wsjob_KOUSAKUBUTU_2_box</vt:lpstr>
      <vt:lpstr>cst_wsjob_SYOUKOUKI_box</vt:lpstr>
      <vt:lpstr>cst_wsjob_TARGET_KIND</vt:lpstr>
      <vt:lpstr>cst_wsjob_TARGET_KIND__label</vt:lpstr>
      <vt:lpstr>cst_wskakunin__bouka</vt:lpstr>
      <vt:lpstr>cst_wskakunin__kouji</vt:lpstr>
      <vt:lpstr>cst_wskakunin__kuiki</vt:lpstr>
      <vt:lpstr>cst_wskakunin__kuiki_box</vt:lpstr>
      <vt:lpstr>cst_wskakunin__tosi_kuiki</vt:lpstr>
      <vt:lpstr>cst_wskakunin_20kouzou101_KOUZOUSEKKEI_KOUFU_NO</vt:lpstr>
      <vt:lpstr>cst_wskakunin_20kouzou101_NAME</vt:lpstr>
      <vt:lpstr>cst_wskakunin_20kouzou102_KOUZOUSEKKEI_KOUFU_NO</vt:lpstr>
      <vt:lpstr>cst_wskakunin_20kouzou102_NAME</vt:lpstr>
      <vt:lpstr>cst_wskakunin_20kouzou103_KOUZOUSEKKEI_KOUFU_NO</vt:lpstr>
      <vt:lpstr>cst_wskakunin_20kouzou103_NAME</vt:lpstr>
      <vt:lpstr>cst_wskakunin_20kouzou104_KOUZOUSEKKEI_KOUFU_NO</vt:lpstr>
      <vt:lpstr>cst_wskakunin_20kouzou104_NAME</vt:lpstr>
      <vt:lpstr>cst_wskakunin_20kouzou105_KOUZOUSEKKEI_KOUFU_NO</vt:lpstr>
      <vt:lpstr>cst_wskakunin_20kouzou105_NAME</vt:lpstr>
      <vt:lpstr>cst_wskakunin_20kouzou301_KOUZOUSEKKEI_KOUFU_NO</vt:lpstr>
      <vt:lpstr>cst_wskakunin_20kouzou301_NAME</vt:lpstr>
      <vt:lpstr>cst_wskakunin_20kouzou302_KOUZOUSEKKEI_KOUFU_NO</vt:lpstr>
      <vt:lpstr>cst_wskakunin_20kouzou302_NAME</vt:lpstr>
      <vt:lpstr>cst_wskakunin_20kouzou303_KOUZOUSEKKEI_KOUFU_NO</vt:lpstr>
      <vt:lpstr>cst_wskakunin_20kouzou303_NAME</vt:lpstr>
      <vt:lpstr>cst_wskakunin_20kouzou304_KOUZOUSEKKEI_KOUFU_NO</vt:lpstr>
      <vt:lpstr>cst_wskakunin_20kouzou304_NAME</vt:lpstr>
      <vt:lpstr>cst_wskakunin_20kouzou305_KOUZOUSEKKEI_KOUFU_NO</vt:lpstr>
      <vt:lpstr>cst_wskakunin_20kouzou305_NAME</vt:lpstr>
      <vt:lpstr>cst_wskakunin_20setubi101_NAME</vt:lpstr>
      <vt:lpstr>cst_wskakunin_20setubi101_SETUBISEKKEI_KOUFU_NO</vt:lpstr>
      <vt:lpstr>cst_wskakunin_20setubi102_NAME</vt:lpstr>
      <vt:lpstr>cst_wskakunin_20setubi102_SETUBISEKKEI_KOUFU_NO</vt:lpstr>
      <vt:lpstr>cst_wskakunin_20setubi103_NAME</vt:lpstr>
      <vt:lpstr>cst_wskakunin_20setubi103_SETUBISEKKEI_KOUFU_NO</vt:lpstr>
      <vt:lpstr>cst_wskakunin_20setubi104_NAME</vt:lpstr>
      <vt:lpstr>cst_wskakunin_20setubi104_SETUBISEKKEI_KOUFU_NO</vt:lpstr>
      <vt:lpstr>cst_wskakunin_20setubi105_NAME</vt:lpstr>
      <vt:lpstr>cst_wskakunin_20setubi105_SETUBISEKKEI_KOUFU_NO</vt:lpstr>
      <vt:lpstr>cst_wskakunin_20setubi301_NAME</vt:lpstr>
      <vt:lpstr>cst_wskakunin_20setubi301_SETUBISEKKEI_KOUFU_NO</vt:lpstr>
      <vt:lpstr>cst_wskakunin_20setubi302_NAME</vt:lpstr>
      <vt:lpstr>cst_wskakunin_20setubi302_SETUBISEKKEI_KOUFU_NO</vt:lpstr>
      <vt:lpstr>cst_wskakunin_20setubi303_NAME</vt:lpstr>
      <vt:lpstr>cst_wskakunin_20setubi303_SETUBISEKKEI_KOUFU_NO</vt:lpstr>
      <vt:lpstr>cst_wskakunin_20setubi304_NAME</vt:lpstr>
      <vt:lpstr>cst_wskakunin_20setubi304_SETUBISEKKEI_KOUFU_NO</vt:lpstr>
      <vt:lpstr>cst_wskakunin_20setubi305_NAME</vt:lpstr>
      <vt:lpstr>cst_wskakunin_20setubi305_SETUBISEKKEI_KOUFU_NO</vt:lpstr>
      <vt:lpstr>cst_wskakunin_APPLICANT_NAME</vt:lpstr>
      <vt:lpstr>cst_wskakunin_BOUKA_22JYO</vt:lpstr>
      <vt:lpstr>cst_wskakunin_BOUKA_BOUKA</vt:lpstr>
      <vt:lpstr>cst_wskakunin_BOUKA_JYUN_BOUKA</vt:lpstr>
      <vt:lpstr>cst_wskakunin_BOUKA_NASI</vt:lpstr>
      <vt:lpstr>cst_wskakunin_BOUKA_SETUBI_FLAG</vt:lpstr>
      <vt:lpstr>cst_wskakunin_BOUKA_SETUBI_FLAG_box_off</vt:lpstr>
      <vt:lpstr>cst_wskakunin_BOUKA_SETUBI_FLAG_box_on</vt:lpstr>
      <vt:lpstr>cst_wskakunin_BUILD__address</vt:lpstr>
      <vt:lpstr>cst_wskakunin_BUILD_ADDRESS</vt:lpstr>
      <vt:lpstr>cst_wskakunin_BUILD_JYUKYO__address</vt:lpstr>
      <vt:lpstr>cst_wskakunin_BUILD_JYUKYO_ADDRESS</vt:lpstr>
      <vt:lpstr>cst_wskakunin_BUILD_JYUKYO_KEN__ken</vt:lpstr>
      <vt:lpstr>cst_wskakunin_BUILD_KEN__ken</vt:lpstr>
      <vt:lpstr>cst_wskakunin_BUILD_NAME</vt:lpstr>
      <vt:lpstr>cst_wskakunin_BUILD_NAME_KANA</vt:lpstr>
      <vt:lpstr>cst_wskakunin_BUILD_SHINSEI_COUNT</vt:lpstr>
      <vt:lpstr>cst_wskakunin_BUILD_SONOTA_COUNT</vt:lpstr>
      <vt:lpstr>cst_wskakunin_dairi1__address</vt:lpstr>
      <vt:lpstr>cst_wskakunin_dairi1__sikaku</vt:lpstr>
      <vt:lpstr>cst_wskakunin_dairi1__space</vt:lpstr>
      <vt:lpstr>cst_wskakunin_dairi1__space2</vt:lpstr>
      <vt:lpstr>cst_wskakunin_dairi1__space3</vt:lpstr>
      <vt:lpstr>cst_wskakunin_dairi1__space5</vt:lpstr>
      <vt:lpstr>cst_wskakunin_dairi1_FAX</vt:lpstr>
      <vt:lpstr>cst_wskakunin_dairi1_JIMU__sikaku</vt:lpstr>
      <vt:lpstr>cst_wskakunin_dairi1_JIMU_NAME</vt:lpstr>
      <vt:lpstr>cst_wskakunin_dairi1_JIMU_NO</vt:lpstr>
      <vt:lpstr>cst_wskakunin_dairi1_JIMU_SIKAKU</vt:lpstr>
      <vt:lpstr>cst_wskakunin_dairi1_JIMU_TOUROKU_KIKAN</vt:lpstr>
      <vt:lpstr>cst_wskakunin_dairi1_KENTIKUSI_NO</vt:lpstr>
      <vt:lpstr>cst_wskakunin_dairi1_NAME</vt:lpstr>
      <vt:lpstr>cst_wskakunin_dairi1_NAME_KANA</vt:lpstr>
      <vt:lpstr>cst_wskakunin_dairi1_SIKAKU</vt:lpstr>
      <vt:lpstr>cst_wskakunin_dairi1_TEL</vt:lpstr>
      <vt:lpstr>cst_wskakunin_dairi1_TOUROKU_KIKAN</vt:lpstr>
      <vt:lpstr>cst_wskakunin_dairi1_ZIP</vt:lpstr>
      <vt:lpstr>cst_wskakunin_dairi2__address</vt:lpstr>
      <vt:lpstr>cst_wskakunin_dairi2__sikaku</vt:lpstr>
      <vt:lpstr>cst_wskakunin_dairi2__space</vt:lpstr>
      <vt:lpstr>cst_wskakunin_dairi2_FAX</vt:lpstr>
      <vt:lpstr>cst_wskakunin_dairi2_JIMU__sikaku</vt:lpstr>
      <vt:lpstr>cst_wskakunin_dairi2_JIMU_NAME</vt:lpstr>
      <vt:lpstr>cst_wskakunin_dairi2_JIMU_NO</vt:lpstr>
      <vt:lpstr>cst_wskakunin_dairi2_JIMU_SIKAKU</vt:lpstr>
      <vt:lpstr>cst_wskakunin_dairi2_JIMU_TOUROKU_KIKAN</vt:lpstr>
      <vt:lpstr>cst_wskakunin_dairi2_KENTIKUSI_NO</vt:lpstr>
      <vt:lpstr>cst_wskakunin_dairi2_NAME</vt:lpstr>
      <vt:lpstr>cst_wskakunin_dairi2_NAME_KANA</vt:lpstr>
      <vt:lpstr>cst_wskakunin_dairi2_SIKAKU</vt:lpstr>
      <vt:lpstr>cst_wskakunin_dairi2_TEL</vt:lpstr>
      <vt:lpstr>cst_wskakunin_dairi2_TOUROKU_KIKAN</vt:lpstr>
      <vt:lpstr>cst_wskakunin_dairi2_ZIP</vt:lpstr>
      <vt:lpstr>cst_wskakunin_dairi3__address</vt:lpstr>
      <vt:lpstr>cst_wskakunin_dairi3__sikaku</vt:lpstr>
      <vt:lpstr>cst_wskakunin_dairi3__space</vt:lpstr>
      <vt:lpstr>cst_wskakunin_dairi3_FAX</vt:lpstr>
      <vt:lpstr>cst_wskakunin_dairi3_JIMU__sikaku</vt:lpstr>
      <vt:lpstr>cst_wskakunin_dairi3_JIMU_NAME</vt:lpstr>
      <vt:lpstr>cst_wskakunin_dairi3_JIMU_NO</vt:lpstr>
      <vt:lpstr>cst_wskakunin_dairi3_JIMU_SIKAKU</vt:lpstr>
      <vt:lpstr>cst_wskakunin_dairi3_JIMU_TOUROKU_KIKAN</vt:lpstr>
      <vt:lpstr>cst_wskakunin_dairi3_KENTIKUSI_NO</vt:lpstr>
      <vt:lpstr>cst_wskakunin_dairi3_NAME</vt:lpstr>
      <vt:lpstr>cst_wskakunin_dairi3_NAME_KANA</vt:lpstr>
      <vt:lpstr>cst_wskakunin_dairi3_SIKAKU</vt:lpstr>
      <vt:lpstr>cst_wskakunin_dairi3_TEL</vt:lpstr>
      <vt:lpstr>cst_wskakunin_dairi3_TOUROKU_KIKAN</vt:lpstr>
      <vt:lpstr>cst_wskakunin_dairi3_ZIP</vt:lpstr>
      <vt:lpstr>cst_wskakunin_dairi4__address</vt:lpstr>
      <vt:lpstr>cst_wskakunin_dairi4__sikaku</vt:lpstr>
      <vt:lpstr>cst_wskakunin_dairi4__space</vt:lpstr>
      <vt:lpstr>cst_wskakunin_dairi4_FAX</vt:lpstr>
      <vt:lpstr>cst_wskakunin_dairi4_JIMU__sikaku</vt:lpstr>
      <vt:lpstr>cst_wskakunin_dairi4_JIMU_NAME</vt:lpstr>
      <vt:lpstr>cst_wskakunin_dairi4_JIMU_NO</vt:lpstr>
      <vt:lpstr>cst_wskakunin_dairi4_JIMU_SIKAKU</vt:lpstr>
      <vt:lpstr>cst_wskakunin_dairi4_JIMU_TOUROKU_KIKAN</vt:lpstr>
      <vt:lpstr>cst_wskakunin_dairi4_KENTIKUSI_NO</vt:lpstr>
      <vt:lpstr>cst_wskakunin_dairi4_NAME</vt:lpstr>
      <vt:lpstr>cst_wskakunin_dairi4_NAME_KANA</vt:lpstr>
      <vt:lpstr>cst_wskakunin_dairi4_SIKAKU</vt:lpstr>
      <vt:lpstr>cst_wskakunin_dairi4_TEL</vt:lpstr>
      <vt:lpstr>cst_wskakunin_dairi4_TOUROKU_KIKAN</vt:lpstr>
      <vt:lpstr>cst_wskakunin_dairi4_ZIP</vt:lpstr>
      <vt:lpstr>cst_wskakunin_dairi5__address</vt:lpstr>
      <vt:lpstr>cst_wskakunin_dairi5__sikaku</vt:lpstr>
      <vt:lpstr>cst_wskakunin_dairi5__space</vt:lpstr>
      <vt:lpstr>cst_wskakunin_dairi5_FAX</vt:lpstr>
      <vt:lpstr>cst_wskakunin_dairi5_JIMU__sikaku</vt:lpstr>
      <vt:lpstr>cst_wskakunin_dairi5_JIMU_NAME</vt:lpstr>
      <vt:lpstr>cst_wskakunin_dairi5_JIMU_NO</vt:lpstr>
      <vt:lpstr>cst_wskakunin_dairi5_JIMU_SIKAKU</vt:lpstr>
      <vt:lpstr>cst_wskakunin_dairi5_JIMU_TOUROKU_KIKAN</vt:lpstr>
      <vt:lpstr>cst_wskakunin_dairi5_KENTIKUSI_NO</vt:lpstr>
      <vt:lpstr>cst_wskakunin_dairi5_NAME</vt:lpstr>
      <vt:lpstr>cst_wskakunin_dairi5_NAME_KANA</vt:lpstr>
      <vt:lpstr>cst_wskakunin_dairi5_SIKAKU</vt:lpstr>
      <vt:lpstr>cst_wskakunin_dairi5_TEL</vt:lpstr>
      <vt:lpstr>cst_wskakunin_dairi5_TOUROKU_KIKAN</vt:lpstr>
      <vt:lpstr>cst_wskakunin_dairi5_ZIP</vt:lpstr>
      <vt:lpstr>cst_wskakunin_dairi6__address</vt:lpstr>
      <vt:lpstr>cst_wskakunin_dairi6__sikaku</vt:lpstr>
      <vt:lpstr>cst_wskakunin_dairi6__space</vt:lpstr>
      <vt:lpstr>cst_wskakunin_dairi6_FAX</vt:lpstr>
      <vt:lpstr>cst_wskakunin_dairi6_JIMU__sikaku</vt:lpstr>
      <vt:lpstr>cst_wskakunin_dairi6_JIMU_NAME</vt:lpstr>
      <vt:lpstr>cst_wskakunin_dairi6_JIMU_NO</vt:lpstr>
      <vt:lpstr>cst_wskakunin_dairi6_JIMU_SIKAKU</vt:lpstr>
      <vt:lpstr>cst_wskakunin_dairi6_JIMU_TOUROKU_KIKAN</vt:lpstr>
      <vt:lpstr>cst_wskakunin_dairi6_KENTIKUSI_NO</vt:lpstr>
      <vt:lpstr>cst_wskakunin_dairi6_NAME</vt:lpstr>
      <vt:lpstr>cst_wskakunin_dairi6_NAME_KANA</vt:lpstr>
      <vt:lpstr>cst_wskakunin_dairi6_SIKAKU</vt:lpstr>
      <vt:lpstr>cst_wskakunin_dairi6_TEL</vt:lpstr>
      <vt:lpstr>cst_wskakunin_dairi6_TOUROKU_KIKAN</vt:lpstr>
      <vt:lpstr>cst_wskakunin_dairi6_ZIP</vt:lpstr>
      <vt:lpstr>cst_wskakunin_dairi7__address</vt:lpstr>
      <vt:lpstr>cst_wskakunin_dairi7__sikaku</vt:lpstr>
      <vt:lpstr>cst_wskakunin_dairi7__space</vt:lpstr>
      <vt:lpstr>cst_wskakunin_dairi7_FAX</vt:lpstr>
      <vt:lpstr>cst_wskakunin_dairi7_JIMU__sikaku</vt:lpstr>
      <vt:lpstr>cst_wskakunin_dairi7_JIMU_NAME</vt:lpstr>
      <vt:lpstr>cst_wskakunin_dairi7_JIMU_NO</vt:lpstr>
      <vt:lpstr>cst_wskakunin_dairi7_JIMU_SIKAKU</vt:lpstr>
      <vt:lpstr>cst_wskakunin_dairi7_JIMU_TOUROKU_KIKAN</vt:lpstr>
      <vt:lpstr>cst_wskakunin_dairi7_KENTIKUSI_NO</vt:lpstr>
      <vt:lpstr>cst_wskakunin_dairi7_NAME</vt:lpstr>
      <vt:lpstr>cst_wskakunin_dairi7_NAME_KANA</vt:lpstr>
      <vt:lpstr>cst_wskakunin_dairi7_SIKAKU</vt:lpstr>
      <vt:lpstr>cst_wskakunin_dairi7_TEL</vt:lpstr>
      <vt:lpstr>cst_wskakunin_dairi7_TOUROKU_KIKAN</vt:lpstr>
      <vt:lpstr>cst_wskakunin_dairi7_ZIP</vt:lpstr>
      <vt:lpstr>cst_wskakunin_dairi8__address</vt:lpstr>
      <vt:lpstr>cst_wskakunin_dairi8__sikaku</vt:lpstr>
      <vt:lpstr>cst_wskakunin_dairi8__space</vt:lpstr>
      <vt:lpstr>cst_wskakunin_dairi8_FAX</vt:lpstr>
      <vt:lpstr>cst_wskakunin_dairi8_JIMU__sikaku</vt:lpstr>
      <vt:lpstr>cst_wskakunin_dairi8_JIMU_NAME</vt:lpstr>
      <vt:lpstr>cst_wskakunin_dairi8_JIMU_NO</vt:lpstr>
      <vt:lpstr>cst_wskakunin_dairi8_JIMU_SIKAKU</vt:lpstr>
      <vt:lpstr>cst_wskakunin_dairi8_JIMU_TOUROKU_KIKAN</vt:lpstr>
      <vt:lpstr>cst_wskakunin_dairi8_KENTIKUSI_NO</vt:lpstr>
      <vt:lpstr>cst_wskakunin_dairi8_NAME</vt:lpstr>
      <vt:lpstr>cst_wskakunin_dairi8_NAME_KANA</vt:lpstr>
      <vt:lpstr>cst_wskakunin_dairi8_SIKAKU</vt:lpstr>
      <vt:lpstr>cst_wskakunin_dairi8_TEL</vt:lpstr>
      <vt:lpstr>cst_wskakunin_dairi8_TOUROKU_KIKAN</vt:lpstr>
      <vt:lpstr>cst_wskakunin_dairi8_ZIP</vt:lpstr>
      <vt:lpstr>cst_wskakunin_DOURO_FUKUIN</vt:lpstr>
      <vt:lpstr>cst_wskakunin_DOURO_NAGASA</vt:lpstr>
      <vt:lpstr>cst_wskakunin_ecotekihan01_FUYOU_CAUSE</vt:lpstr>
      <vt:lpstr>cst_wskakunin_ecotekihan01_miteisyutu_kikan_info</vt:lpstr>
      <vt:lpstr>cst_wskakunin_ecotekihan01_teisyutu_kikan_info</vt:lpstr>
      <vt:lpstr>cst_wskakunin_ecotekihan01_TEKIHAN_KIKAN_ADDRESS</vt:lpstr>
      <vt:lpstr>cst_wskakunin_ecotekihan01_TEKIHAN_KIKAN_KEN__ken</vt:lpstr>
      <vt:lpstr>cst_wskakunin_ecotekihan01_TEKIHAN_KIKAN_NAME</vt:lpstr>
      <vt:lpstr>cst_wskakunin_ecotekihan01_TEKIHAN_STATE_miteisyutu</vt:lpstr>
      <vt:lpstr>cst_wskakunin_ecotekihan01_TEKIHAN_STATE_teisyutu</vt:lpstr>
      <vt:lpstr>cst_wskakunin_ecotekihan01_TEKIHAN_STATE_teisyutufuyou</vt:lpstr>
      <vt:lpstr>cst_wskakunin_gaiyou1_EV_KIND</vt:lpstr>
      <vt:lpstr>cst_wskakunin_gaiyou1_KOUJI_KAITIKU</vt:lpstr>
      <vt:lpstr>cst_wskakunin_gaiyou1_KOUJI_SINTIKU</vt:lpstr>
      <vt:lpstr>cst_wskakunin_gaiyou1_KOUJI_SONOTA</vt:lpstr>
      <vt:lpstr>cst_wskakunin_gaiyou1_KOUJI_SONOTA_TEXT</vt:lpstr>
      <vt:lpstr>cst_wskakunin_gaiyou1_KOUJI_ZOUTIKU</vt:lpstr>
      <vt:lpstr>cst_wskakunin_gaiyou1_KOUZOU</vt:lpstr>
      <vt:lpstr>cst_wskakunin_gaiyou1_NINSYOU_NO</vt:lpstr>
      <vt:lpstr>cst_wskakunin_gaiyou1_NO</vt:lpstr>
      <vt:lpstr>cst_wskakunin_gaiyou1_SEKISAI</vt:lpstr>
      <vt:lpstr>cst_wskakunin_gaiyou1_SONOTA</vt:lpstr>
      <vt:lpstr>cst_wskakunin_gaiyou1_SONOTA_and_NINSYOU_NO</vt:lpstr>
      <vt:lpstr>cst_wskakunin_gaiyou1_SPEED</vt:lpstr>
      <vt:lpstr>cst_wskakunin_gaiyou1_TAKASA</vt:lpstr>
      <vt:lpstr>cst_wskakunin_gaiyou1_TEIIN</vt:lpstr>
      <vt:lpstr>cst_wskakunin_gaiyou1_TIKUZOU_MENSEKI_IGAI</vt:lpstr>
      <vt:lpstr>cst_wskakunin_gaiyou1_TIKUZOU_MENSEKI_SHINSEI</vt:lpstr>
      <vt:lpstr>cst_wskakunin_gaiyou1_TIKUZOU_MENSEKI_TOTAL</vt:lpstr>
      <vt:lpstr>cst_wskakunin_gaiyou1_WORK_COUNT_IGAI</vt:lpstr>
      <vt:lpstr>cst_wskakunin_gaiyou1_WORK_COUNT_SHINSEI</vt:lpstr>
      <vt:lpstr>cst_wskakunin_gaiyou1_WORK_COUNT_TOTAL</vt:lpstr>
      <vt:lpstr>cst_wskakunin_gaiyou1_WORK_SYURUI</vt:lpstr>
      <vt:lpstr>cst_wskakunin_gaiyou1_WORK_SYURUI_CODE</vt:lpstr>
      <vt:lpstr>cst_wskakunin_gaiyou1_YOUTO</vt:lpstr>
      <vt:lpstr>cst_wskakunin_iken1__address</vt:lpstr>
      <vt:lpstr>cst_wskakunin_iken1_DOC</vt:lpstr>
      <vt:lpstr>cst_wskakunin_iken1_IKEN_NO</vt:lpstr>
      <vt:lpstr>cst_wskakunin_iken1_JIMU_NAME</vt:lpstr>
      <vt:lpstr>cst_wskakunin_iken1_NAME</vt:lpstr>
      <vt:lpstr>cst_wskakunin_iken1_TEL</vt:lpstr>
      <vt:lpstr>cst_wskakunin_iken1_ZIP</vt:lpstr>
      <vt:lpstr>cst_wskakunin_iken2__address</vt:lpstr>
      <vt:lpstr>cst_wskakunin_iken2_DOC</vt:lpstr>
      <vt:lpstr>cst_wskakunin_iken2_IKEN_NO</vt:lpstr>
      <vt:lpstr>cst_wskakunin_iken2_JIMU_NAME</vt:lpstr>
      <vt:lpstr>cst_wskakunin_iken2_NAME</vt:lpstr>
      <vt:lpstr>cst_wskakunin_iken2_TEL</vt:lpstr>
      <vt:lpstr>cst_wskakunin_iken2_ZIP</vt:lpstr>
      <vt:lpstr>cst_wskakunin_iken3__address</vt:lpstr>
      <vt:lpstr>cst_wskakunin_iken3_DOC</vt:lpstr>
      <vt:lpstr>cst_wskakunin_iken3_IKEN_NO</vt:lpstr>
      <vt:lpstr>cst_wskakunin_iken3_JIMU_NAME</vt:lpstr>
      <vt:lpstr>cst_wskakunin_iken3_NAME</vt:lpstr>
      <vt:lpstr>cst_wskakunin_iken3_TEL</vt:lpstr>
      <vt:lpstr>cst_wskakunin_iken3_ZIP</vt:lpstr>
      <vt:lpstr>cst_wskakunin_iken4__address</vt:lpstr>
      <vt:lpstr>cst_wskakunin_iken4_DOC</vt:lpstr>
      <vt:lpstr>cst_wskakunin_iken4_IKEN_NO</vt:lpstr>
      <vt:lpstr>cst_wskakunin_iken4_JIMU_NAME</vt:lpstr>
      <vt:lpstr>cst_wskakunin_iken4_NAME</vt:lpstr>
      <vt:lpstr>cst_wskakunin_iken4_TEL</vt:lpstr>
      <vt:lpstr>cst_wskakunin_iken4_ZIP</vt:lpstr>
      <vt:lpstr>cst_wskakunin_iken5__address</vt:lpstr>
      <vt:lpstr>cst_wskakunin_iken5_DOC</vt:lpstr>
      <vt:lpstr>cst_wskakunin_iken5_IKEN_NO</vt:lpstr>
      <vt:lpstr>cst_wskakunin_iken5_JIMU_NAME</vt:lpstr>
      <vt:lpstr>cst_wskakunin_iken5_NAME</vt:lpstr>
      <vt:lpstr>cst_wskakunin_iken5_TEL</vt:lpstr>
      <vt:lpstr>cst_wskakunin_iken5_ZIP</vt:lpstr>
      <vt:lpstr>cst_wskakunin_KAISU_TIJYOU_SHINSEI</vt:lpstr>
      <vt:lpstr>cst_wskakunin_KAISU_TIJYOU_SONOTA</vt:lpstr>
      <vt:lpstr>cst_wskakunin_KAISU_TIKA_SHINSEI__zero</vt:lpstr>
      <vt:lpstr>cst_wskakunin_KAISU_TIKA_SONOTA</vt:lpstr>
      <vt:lpstr>cst_wskakunin_kanri1__address</vt:lpstr>
      <vt:lpstr>cst_wskakunin_kanri1__sikaku</vt:lpstr>
      <vt:lpstr>cst_wskakunin_kanri1_DOC</vt:lpstr>
      <vt:lpstr>cst_wskakunin_kanri1_JIMU</vt:lpstr>
      <vt:lpstr>cst_wskakunin_kanri1_JIMU_NAME</vt:lpstr>
      <vt:lpstr>cst_wskakunin_kanri1_JIMU_NO</vt:lpstr>
      <vt:lpstr>cst_wskakunin_kanri1_JIMU_SIKAKU</vt:lpstr>
      <vt:lpstr>cst_wskakunin_kanri1_JIMU_TOUROKU_KIKAN</vt:lpstr>
      <vt:lpstr>cst_wskakunin_kanri1_KENTIKUSI_NO</vt:lpstr>
      <vt:lpstr>cst_wskakunin_kanri1_NAME</vt:lpstr>
      <vt:lpstr>cst_wskakunin_kanri1_SIKAKU</vt:lpstr>
      <vt:lpstr>cst_wskakunin_kanri1_TEL</vt:lpstr>
      <vt:lpstr>cst_wskakunin_kanri1_TOUROKU_KIKAN</vt:lpstr>
      <vt:lpstr>cst_wskakunin_kanri1_ZIP</vt:lpstr>
      <vt:lpstr>cst_wskakunin_kanri1_ZIP2</vt:lpstr>
      <vt:lpstr>cst_wskakunin_kanri10__address</vt:lpstr>
      <vt:lpstr>cst_wskakunin_kanri10__sikaku</vt:lpstr>
      <vt:lpstr>cst_wskakunin_kanri10_DOC</vt:lpstr>
      <vt:lpstr>cst_wskakunin_kanri10_JIMU__sikaku</vt:lpstr>
      <vt:lpstr>cst_wskakunin_kanri10_JIMU_NAME</vt:lpstr>
      <vt:lpstr>cst_wskakunin_kanri10_JIMU_NO</vt:lpstr>
      <vt:lpstr>cst_wskakunin_kanri10_JIMU_SIKAKU</vt:lpstr>
      <vt:lpstr>cst_wskakunin_kanri10_JIMU_TOUROKU_KIKAN</vt:lpstr>
      <vt:lpstr>cst_wskakunin_kanri10_KENTIKUSI_NO</vt:lpstr>
      <vt:lpstr>cst_wskakunin_kanri10_NAME</vt:lpstr>
      <vt:lpstr>cst_wskakunin_kanri10_SIKAKU</vt:lpstr>
      <vt:lpstr>cst_wskakunin_kanri10_TEL</vt:lpstr>
      <vt:lpstr>cst_wskakunin_kanri10_TOUROKU_KIKAN</vt:lpstr>
      <vt:lpstr>cst_wskakunin_kanri10_ZIP</vt:lpstr>
      <vt:lpstr>cst_wskakunin_kanri11__address</vt:lpstr>
      <vt:lpstr>cst_wskakunin_kanri11__sikaku</vt:lpstr>
      <vt:lpstr>cst_wskakunin_kanri11_DOC</vt:lpstr>
      <vt:lpstr>cst_wskakunin_kanri11_JIMU__sikaku</vt:lpstr>
      <vt:lpstr>cst_wskakunin_kanri11_JIMU_NAME</vt:lpstr>
      <vt:lpstr>cst_wskakunin_kanri11_JIMU_NO</vt:lpstr>
      <vt:lpstr>cst_wskakunin_kanri11_JIMU_SIKAKU</vt:lpstr>
      <vt:lpstr>cst_wskakunin_kanri11_JIMU_TOUROKU_KIKAN</vt:lpstr>
      <vt:lpstr>cst_wskakunin_kanri11_KENTIKUSI_NO</vt:lpstr>
      <vt:lpstr>cst_wskakunin_kanri11_NAME</vt:lpstr>
      <vt:lpstr>cst_wskakunin_kanri11_SIKAKU</vt:lpstr>
      <vt:lpstr>cst_wskakunin_kanri11_TEL</vt:lpstr>
      <vt:lpstr>cst_wskakunin_kanri11_TOUROKU_KIKAN</vt:lpstr>
      <vt:lpstr>cst_wskakunin_kanri11_ZIP</vt:lpstr>
      <vt:lpstr>cst_wskakunin_kanri12__address</vt:lpstr>
      <vt:lpstr>cst_wskakunin_kanri12__sikaku</vt:lpstr>
      <vt:lpstr>cst_wskakunin_kanri12_DOC</vt:lpstr>
      <vt:lpstr>cst_wskakunin_kanri12_JIMU__sikaku</vt:lpstr>
      <vt:lpstr>cst_wskakunin_kanri12_JIMU_NAME</vt:lpstr>
      <vt:lpstr>cst_wskakunin_kanri12_JIMU_NO</vt:lpstr>
      <vt:lpstr>cst_wskakunin_kanri12_JIMU_SIKAKU</vt:lpstr>
      <vt:lpstr>cst_wskakunin_kanri12_JIMU_TOUROKU_KIKAN</vt:lpstr>
      <vt:lpstr>cst_wskakunin_kanri12_KENTIKUSI_NO</vt:lpstr>
      <vt:lpstr>cst_wskakunin_kanri12_NAME</vt:lpstr>
      <vt:lpstr>cst_wskakunin_kanri12_SIKAKU</vt:lpstr>
      <vt:lpstr>cst_wskakunin_kanri12_TEL</vt:lpstr>
      <vt:lpstr>cst_wskakunin_kanri12_TOUROKU_KIKAN</vt:lpstr>
      <vt:lpstr>cst_wskakunin_kanri12_ZIP</vt:lpstr>
      <vt:lpstr>cst_wskakunin_kanri2__address</vt:lpstr>
      <vt:lpstr>cst_wskakunin_kanri2__sikaku</vt:lpstr>
      <vt:lpstr>cst_wskakunin_kanri2_DOC</vt:lpstr>
      <vt:lpstr>cst_wskakunin_kanri2_JIMU</vt:lpstr>
      <vt:lpstr>cst_wskakunin_kanri2_JIMU_NAME</vt:lpstr>
      <vt:lpstr>cst_wskakunin_kanri2_JIMU_NO</vt:lpstr>
      <vt:lpstr>cst_wskakunin_kanri2_JIMU_SIKAKU</vt:lpstr>
      <vt:lpstr>cst_wskakunin_kanri2_JIMU_TOUROKU_KIKAN</vt:lpstr>
      <vt:lpstr>cst_wskakunin_kanri2_KENTIKUSI_NO</vt:lpstr>
      <vt:lpstr>cst_wskakunin_kanri2_NAME</vt:lpstr>
      <vt:lpstr>cst_wskakunin_kanri2_SIKAKU</vt:lpstr>
      <vt:lpstr>cst_wskakunin_kanri2_TEL</vt:lpstr>
      <vt:lpstr>cst_wskakunin_kanri2_TOUROKU_KIKAN</vt:lpstr>
      <vt:lpstr>cst_wskakunin_kanri2_ZIP</vt:lpstr>
      <vt:lpstr>cst_wskakunin_kanri3__address</vt:lpstr>
      <vt:lpstr>cst_wskakunin_kanri3__sikaku</vt:lpstr>
      <vt:lpstr>cst_wskakunin_kanri3_DOC</vt:lpstr>
      <vt:lpstr>cst_wskakunin_kanri3_JIMU__sikaku</vt:lpstr>
      <vt:lpstr>cst_wskakunin_kanri3_JIMU_NAME</vt:lpstr>
      <vt:lpstr>cst_wskakunin_kanri3_JIMU_NO</vt:lpstr>
      <vt:lpstr>cst_wskakunin_kanri3_JIMU_SIKAKU</vt:lpstr>
      <vt:lpstr>cst_wskakunin_kanri3_JIMU_TOUROKU_KIKAN</vt:lpstr>
      <vt:lpstr>cst_wskakunin_kanri3_KENTIKUSI_NO</vt:lpstr>
      <vt:lpstr>cst_wskakunin_kanri3_NAME</vt:lpstr>
      <vt:lpstr>cst_wskakunin_kanri3_SIKAKU</vt:lpstr>
      <vt:lpstr>cst_wskakunin_kanri3_TEL</vt:lpstr>
      <vt:lpstr>cst_wskakunin_kanri3_TOUROKU_KIKAN</vt:lpstr>
      <vt:lpstr>cst_wskakunin_kanri3_ZIP</vt:lpstr>
      <vt:lpstr>cst_wskakunin_kanri4__address</vt:lpstr>
      <vt:lpstr>cst_wskakunin_kanri4__sikaku</vt:lpstr>
      <vt:lpstr>cst_wskakunin_kanri4_DOC</vt:lpstr>
      <vt:lpstr>cst_wskakunin_kanri4_JIMU__sikaku</vt:lpstr>
      <vt:lpstr>cst_wskakunin_kanri4_JIMU_NAME</vt:lpstr>
      <vt:lpstr>cst_wskakunin_kanri4_JIMU_NO</vt:lpstr>
      <vt:lpstr>cst_wskakunin_kanri4_JIMU_SIKAKU</vt:lpstr>
      <vt:lpstr>cst_wskakunin_kanri4_JIMU_TOUROKU_KIKAN</vt:lpstr>
      <vt:lpstr>cst_wskakunin_kanri4_KENTIKUSI_NO</vt:lpstr>
      <vt:lpstr>cst_wskakunin_kanri4_NAME</vt:lpstr>
      <vt:lpstr>cst_wskakunin_kanri4_SIKAKU</vt:lpstr>
      <vt:lpstr>cst_wskakunin_kanri4_TEL</vt:lpstr>
      <vt:lpstr>cst_wskakunin_kanri4_TOUROKU_KIKAN</vt:lpstr>
      <vt:lpstr>cst_wskakunin_kanri4_ZIP</vt:lpstr>
      <vt:lpstr>cst_wskakunin_kanri5__address</vt:lpstr>
      <vt:lpstr>cst_wskakunin_kanri5__sikaku</vt:lpstr>
      <vt:lpstr>cst_wskakunin_kanri5_DOC</vt:lpstr>
      <vt:lpstr>cst_wskakunin_kanri5_JIMU__sikaku</vt:lpstr>
      <vt:lpstr>cst_wskakunin_kanri5_JIMU_NAME</vt:lpstr>
      <vt:lpstr>cst_wskakunin_kanri5_JIMU_NO</vt:lpstr>
      <vt:lpstr>cst_wskakunin_kanri5_JIMU_SIKAKU</vt:lpstr>
      <vt:lpstr>cst_wskakunin_kanri5_JIMU_TOUROKU_KIKAN</vt:lpstr>
      <vt:lpstr>cst_wskakunin_kanri5_KENTIKUSI_NO</vt:lpstr>
      <vt:lpstr>cst_wskakunin_kanri5_NAME</vt:lpstr>
      <vt:lpstr>cst_wskakunin_kanri5_SIKAKU</vt:lpstr>
      <vt:lpstr>cst_wskakunin_kanri5_TEL</vt:lpstr>
      <vt:lpstr>cst_wskakunin_kanri5_TOUROKU_KIKAN</vt:lpstr>
      <vt:lpstr>cst_wskakunin_kanri5_ZIP</vt:lpstr>
      <vt:lpstr>cst_wskakunin_kanri6__address</vt:lpstr>
      <vt:lpstr>cst_wskakunin_kanri6__sikaku</vt:lpstr>
      <vt:lpstr>cst_wskakunin_kanri6_DOC</vt:lpstr>
      <vt:lpstr>cst_wskakunin_kanri6_JIMU__sikaku</vt:lpstr>
      <vt:lpstr>cst_wskakunin_kanri6_JIMU_NAME</vt:lpstr>
      <vt:lpstr>cst_wskakunin_kanri6_JIMU_NO</vt:lpstr>
      <vt:lpstr>cst_wskakunin_kanri6_JIMU_SIKAKU</vt:lpstr>
      <vt:lpstr>cst_wskakunin_kanri6_JIMU_TOUROKU_KIKAN</vt:lpstr>
      <vt:lpstr>cst_wskakunin_kanri6_KENTIKUSI_NO</vt:lpstr>
      <vt:lpstr>cst_wskakunin_kanri6_NAME</vt:lpstr>
      <vt:lpstr>cst_wskakunin_kanri6_SIKAKU</vt:lpstr>
      <vt:lpstr>cst_wskakunin_kanri6_TEL</vt:lpstr>
      <vt:lpstr>cst_wskakunin_kanri6_TOUROKU_KIKAN</vt:lpstr>
      <vt:lpstr>cst_wskakunin_kanri6_ZIP</vt:lpstr>
      <vt:lpstr>cst_wskakunin_kanri7__address</vt:lpstr>
      <vt:lpstr>cst_wskakunin_kanri7__sikaku</vt:lpstr>
      <vt:lpstr>cst_wskakunin_kanri7_DOC</vt:lpstr>
      <vt:lpstr>cst_wskakunin_kanri7_JIMU__sikaku</vt:lpstr>
      <vt:lpstr>cst_wskakunin_kanri7_JIMU_NAME</vt:lpstr>
      <vt:lpstr>cst_wskakunin_kanri7_JIMU_NO</vt:lpstr>
      <vt:lpstr>cst_wskakunin_kanri7_JIMU_SIKAKU</vt:lpstr>
      <vt:lpstr>cst_wskakunin_kanri7_JIMU_TOUROKU_KIKAN</vt:lpstr>
      <vt:lpstr>cst_wskakunin_kanri7_KENTIKUSI_NO</vt:lpstr>
      <vt:lpstr>cst_wskakunin_kanri7_NAME</vt:lpstr>
      <vt:lpstr>cst_wskakunin_kanri7_SIKAKU</vt:lpstr>
      <vt:lpstr>cst_wskakunin_kanri7_TEL</vt:lpstr>
      <vt:lpstr>cst_wskakunin_kanri7_TOUROKU_KIKAN</vt:lpstr>
      <vt:lpstr>cst_wskakunin_kanri7_ZIP</vt:lpstr>
      <vt:lpstr>cst_wskakunin_kanri8__address</vt:lpstr>
      <vt:lpstr>cst_wskakunin_kanri8__sikaku</vt:lpstr>
      <vt:lpstr>cst_wskakunin_kanri8_DOC</vt:lpstr>
      <vt:lpstr>cst_wskakunin_kanri8_JIMU__sikaku</vt:lpstr>
      <vt:lpstr>cst_wskakunin_kanri8_JIMU_NAME</vt:lpstr>
      <vt:lpstr>cst_wskakunin_kanri8_JIMU_NO</vt:lpstr>
      <vt:lpstr>cst_wskakunin_kanri8_JIMU_SIKAKU</vt:lpstr>
      <vt:lpstr>cst_wskakunin_kanri8_JIMU_TOUROKU_KIKAN</vt:lpstr>
      <vt:lpstr>cst_wskakunin_kanri8_KENTIKUSI_NO</vt:lpstr>
      <vt:lpstr>cst_wskakunin_kanri8_NAME</vt:lpstr>
      <vt:lpstr>cst_wskakunin_kanri8_SIKAKU</vt:lpstr>
      <vt:lpstr>cst_wskakunin_kanri8_TEL</vt:lpstr>
      <vt:lpstr>cst_wskakunin_kanri8_TOUROKU_KIKAN</vt:lpstr>
      <vt:lpstr>cst_wskakunin_kanri8_ZIP</vt:lpstr>
      <vt:lpstr>cst_wskakunin_kanri9__address</vt:lpstr>
      <vt:lpstr>cst_wskakunin_kanri9__sikaku</vt:lpstr>
      <vt:lpstr>cst_wskakunin_kanri9_DOC</vt:lpstr>
      <vt:lpstr>cst_wskakunin_kanri9_JIMU__sikaku</vt:lpstr>
      <vt:lpstr>cst_wskakunin_kanri9_JIMU_NAME</vt:lpstr>
      <vt:lpstr>cst_wskakunin_kanri9_JIMU_NO</vt:lpstr>
      <vt:lpstr>cst_wskakunin_kanri9_JIMU_SIKAKU</vt:lpstr>
      <vt:lpstr>cst_wskakunin_kanri9_JIMU_TOUROKU_KIKAN</vt:lpstr>
      <vt:lpstr>cst_wskakunin_kanri9_KENTIKUSI_NO</vt:lpstr>
      <vt:lpstr>cst_wskakunin_kanri9_NAME</vt:lpstr>
      <vt:lpstr>cst_wskakunin_kanri9_SIKAKU</vt:lpstr>
      <vt:lpstr>cst_wskakunin_kanri9_TEL</vt:lpstr>
      <vt:lpstr>cst_wskakunin_kanri9_TOUROKU_KIKAN</vt:lpstr>
      <vt:lpstr>cst_wskakunin_kanri9_ZIP</vt:lpstr>
      <vt:lpstr>cst_wskakunin_keibi_henkou01_HENKOU_GAIYOU</vt:lpstr>
      <vt:lpstr>cst_wskakunin_keibi_henkou01_HENKOU_SYURUI</vt:lpstr>
      <vt:lpstr>cst_wskakunin_KENPEI_RITU</vt:lpstr>
      <vt:lpstr>cst_wskakunin_KENPEI_RITU_A</vt:lpstr>
      <vt:lpstr>cst_wskakunin_KENPEI_RITU_B</vt:lpstr>
      <vt:lpstr>cst_wskakunin_KENPEI_RITU_C</vt:lpstr>
      <vt:lpstr>cst_wskakunin_KENPEI_RITU_D</vt:lpstr>
      <vt:lpstr>cst_wskakunin_KENSA_YUKA_MENSEKI_select</vt:lpstr>
      <vt:lpstr>cst_wskakunin_KENTIKU_MENSEKI_IGAI</vt:lpstr>
      <vt:lpstr>cst_wskakunin_KENTIKU_MENSEKI_SHINSEI</vt:lpstr>
      <vt:lpstr>cst_wskakunin_KENTIKU_MENSEKI_TOTAL</vt:lpstr>
      <vt:lpstr>cst_wskakunin_KENTIKU_MENSEKI_ZENTAI_IGAI</vt:lpstr>
      <vt:lpstr>cst_wskakunin_KENTIKU_MENSEKI_ZENTAI_SHINSEI</vt:lpstr>
      <vt:lpstr>cst_wskakunin_KENTIKU_MENSEKI_ZENTAI_TOTAL</vt:lpstr>
      <vt:lpstr>cst_wskakunin_KENTIKU_NINSYO_NO</vt:lpstr>
      <vt:lpstr>cst_wskakunin_KIKAN_NAME</vt:lpstr>
      <vt:lpstr>cst_wskakunin_KITEI_CHOUSA_FLAG</vt:lpstr>
      <vt:lpstr>cst_wskakunin_KITEI_CHOUSA_FLAG_box_off</vt:lpstr>
      <vt:lpstr>cst_wskakunin_KITEI_CHOUSA_FLAG_box_on</vt:lpstr>
      <vt:lpstr>cst_wskakunin_KOUJI_DAI_MOYOUGAE_box</vt:lpstr>
      <vt:lpstr>cst_wskakunin_KOUJI_DAI_SYUUZEN_box</vt:lpstr>
      <vt:lpstr>cst_wskakunin_KOUJI_ITEN_box</vt:lpstr>
      <vt:lpstr>cst_wskakunin_KOUJI_KAITIKU_box</vt:lpstr>
      <vt:lpstr>cst_wskakunin_KOUJI_KANRYOU_DATE_select</vt:lpstr>
      <vt:lpstr>cst_wskakunin_KOUJI_KANRYOU_YOTEI_DATE</vt:lpstr>
      <vt:lpstr>cst_wskakunin_KOUJI_KANRYOU_YOTEI_DATE_select</vt:lpstr>
      <vt:lpstr>cst_wskakunin_KOUJI_SETUBI_box</vt:lpstr>
      <vt:lpstr>cst_wskakunin_KOUJI_SINTIKU_box</vt:lpstr>
      <vt:lpstr>cst_wskakunin_KOUJI_TYAKUSYU_DATE_select</vt:lpstr>
      <vt:lpstr>cst_wskakunin_KOUJI_TYAKUSYU_YOTEI_DATE</vt:lpstr>
      <vt:lpstr>cst_wskakunin_KOUJI_YOUTOHENKOU_box</vt:lpstr>
      <vt:lpstr>cst_wskakunin_KOUJI_zoukaitiku_box</vt:lpstr>
      <vt:lpstr>cst_wskakunin_KOUJI_ZOUTIKU_box</vt:lpstr>
      <vt:lpstr>cst_wskakunin_koutei_ikou01_KOUTEI_DATE</vt:lpstr>
      <vt:lpstr>cst_wskakunin_koutei_ikou01_KOUTEI_DATE_inter1</vt:lpstr>
      <vt:lpstr>cst_wskakunin_koutei_ikou01_KOUTEI_DATE_inter2</vt:lpstr>
      <vt:lpstr>cst_wskakunin_koutei_ikou01_KOUTEI_KAISUU</vt:lpstr>
      <vt:lpstr>cst_wskakunin_koutei_ikou01_KOUTEI_KAISUU_inter1</vt:lpstr>
      <vt:lpstr>cst_wskakunin_koutei_ikou01_KOUTEI_KAISUU_inter2</vt:lpstr>
      <vt:lpstr>cst_wskakunin_koutei_ikou01_KOUTEI_TEXT</vt:lpstr>
      <vt:lpstr>cst_wskakunin_koutei_ikou01_KOUTEI_TEXT_inter1</vt:lpstr>
      <vt:lpstr>cst_wskakunin_koutei_ikou01_KOUTEI_TEXT_inter2</vt:lpstr>
      <vt:lpstr>cst_wskakunin_koutei_ikou02_KOUTEI_DATE</vt:lpstr>
      <vt:lpstr>cst_wskakunin_koutei_ikou02_KOUTEI_DATE_inter1</vt:lpstr>
      <vt:lpstr>cst_wskakunin_koutei_ikou02_KOUTEI_DATE_inter2</vt:lpstr>
      <vt:lpstr>cst_wskakunin_koutei_ikou02_KOUTEI_KAISUU</vt:lpstr>
      <vt:lpstr>cst_wskakunin_koutei_ikou02_KOUTEI_KAISUU_inter1</vt:lpstr>
      <vt:lpstr>cst_wskakunin_koutei_ikou02_KOUTEI_KAISUU_inter2</vt:lpstr>
      <vt:lpstr>cst_wskakunin_koutei_ikou02_KOUTEI_TEXT</vt:lpstr>
      <vt:lpstr>cst_wskakunin_koutei_ikou02_KOUTEI_TEXT_inter1</vt:lpstr>
      <vt:lpstr>cst_wskakunin_koutei_ikou02_KOUTEI_TEXT_inter2</vt:lpstr>
      <vt:lpstr>cst_wskakunin_koutei_izen01_INTER_ISSUE_DATE</vt:lpstr>
      <vt:lpstr>cst_wskakunin_koutei_izen01_INTER_ISSUE_DATE_inter1</vt:lpstr>
      <vt:lpstr>cst_wskakunin_koutei_izen01_INTER_ISSUE_DATE_inter2</vt:lpstr>
      <vt:lpstr>cst_wskakunin_koutei_izen01_INTER_ISSUE_NAME</vt:lpstr>
      <vt:lpstr>cst_wskakunin_koutei_izen01_INTER_ISSUE_NAME_inter1</vt:lpstr>
      <vt:lpstr>cst_wskakunin_koutei_izen01_INTER_ISSUE_NAME_inter2</vt:lpstr>
      <vt:lpstr>cst_wskakunin_koutei_izen01_INTER_ISSUE_NO</vt:lpstr>
      <vt:lpstr>cst_wskakunin_koutei_izen01_INTER_ISSUE_NO_inter1</vt:lpstr>
      <vt:lpstr>cst_wskakunin_koutei_izen01_INTER_ISSUE_NO_inter2</vt:lpstr>
      <vt:lpstr>cst_wskakunin_koutei_izen01_KOUTEI_KAISUU</vt:lpstr>
      <vt:lpstr>cst_wskakunin_koutei_izen01_KOUTEI_KAISUU_inter1</vt:lpstr>
      <vt:lpstr>cst_wskakunin_koutei_izen01_KOUTEI_KAISUU_inter2</vt:lpstr>
      <vt:lpstr>cst_wskakunin_koutei_izen01_KOUTEI_TEXT</vt:lpstr>
      <vt:lpstr>cst_wskakunin_koutei_izen01_KOUTEI_TEXT_inter1</vt:lpstr>
      <vt:lpstr>cst_wskakunin_koutei_izen01_KOUTEI_TEXT_inter2</vt:lpstr>
      <vt:lpstr>cst_wskakunin_koutei_izen02_INTER_ISSUE_DATE</vt:lpstr>
      <vt:lpstr>cst_wskakunin_koutei_izen02_INTER_ISSUE_DATE_inter1</vt:lpstr>
      <vt:lpstr>cst_wskakunin_koutei_izen02_INTER_ISSUE_DATE_inter2</vt:lpstr>
      <vt:lpstr>cst_wskakunin_koutei_izen02_INTER_ISSUE_NAME</vt:lpstr>
      <vt:lpstr>cst_wskakunin_koutei_izen02_INTER_ISSUE_NAME_inter1</vt:lpstr>
      <vt:lpstr>cst_wskakunin_koutei_izen02_INTER_ISSUE_NAME_inter2</vt:lpstr>
      <vt:lpstr>cst_wskakunin_koutei_izen02_INTER_ISSUE_NO</vt:lpstr>
      <vt:lpstr>cst_wskakunin_koutei_izen02_INTER_ISSUE_NO_inter1</vt:lpstr>
      <vt:lpstr>cst_wskakunin_koutei_izen02_INTER_ISSUE_NO_inter2</vt:lpstr>
      <vt:lpstr>cst_wskakunin_koutei_izen02_KOUTEI_KAISUU</vt:lpstr>
      <vt:lpstr>cst_wskakunin_koutei_izen02_KOUTEI_KAISUU_inter1</vt:lpstr>
      <vt:lpstr>cst_wskakunin_koutei_izen02_KOUTEI_KAISUU_inter2</vt:lpstr>
      <vt:lpstr>cst_wskakunin_koutei_izen02_KOUTEI_TEXT</vt:lpstr>
      <vt:lpstr>cst_wskakunin_koutei_izen02_KOUTEI_TEXT_inter1</vt:lpstr>
      <vt:lpstr>cst_wskakunin_koutei_izen02_KOUTEI_TEXT_inter2</vt:lpstr>
      <vt:lpstr>cst_wskakunin_koutei_izen03_INTER_ISSUE_DATE</vt:lpstr>
      <vt:lpstr>cst_wskakunin_koutei_izen03_INTER_ISSUE_NAME</vt:lpstr>
      <vt:lpstr>cst_wskakunin_koutei_izen03_INTER_ISSUE_NO</vt:lpstr>
      <vt:lpstr>cst_wskakunin_koutei_izen03_KOUTEI_KAISUU</vt:lpstr>
      <vt:lpstr>cst_wskakunin_koutei_izen03_KOUTEI_TEXT</vt:lpstr>
      <vt:lpstr>cst_wskakunin_koutei_izen04_INTER_ISSUE_DATE</vt:lpstr>
      <vt:lpstr>cst_wskakunin_koutei_izen04_INTER_ISSUE_NAME</vt:lpstr>
      <vt:lpstr>cst_wskakunin_koutei_izen04_INTER_ISSUE_NO</vt:lpstr>
      <vt:lpstr>cst_wskakunin_koutei_izen04_KOUTEI_KAISUU</vt:lpstr>
      <vt:lpstr>cst_wskakunin_koutei_izen04_KOUTEI_TEXT</vt:lpstr>
      <vt:lpstr>cst_wskakunin_koutei_keika01_INTER_ISSUE_DATE_select</vt:lpstr>
      <vt:lpstr>cst_wskakunin_koutei_keika01_INTER_ISSUE_NAME_select</vt:lpstr>
      <vt:lpstr>cst_wskakunin_koutei_keika01_INTER_ISSUE_NO_select</vt:lpstr>
      <vt:lpstr>cst_wskakunin_koutei_keika01_KOUTEI_KAISUU_select</vt:lpstr>
      <vt:lpstr>cst_wskakunin_koutei_keika01_KOUTEI_TEXT_select</vt:lpstr>
      <vt:lpstr>cst_wskakunin_koutei_keika02_INTER_ISSUE_DATE_select</vt:lpstr>
      <vt:lpstr>cst_wskakunin_koutei_keika02_INTER_ISSUE_NAME_select</vt:lpstr>
      <vt:lpstr>cst_wskakunin_koutei_keika02_INTER_ISSUE_NO_select</vt:lpstr>
      <vt:lpstr>cst_wskakunin_koutei_keika02_KOUTEI_KAISUU_select</vt:lpstr>
      <vt:lpstr>cst_wskakunin_koutei_keika02_KOUTEI_TEXT_select</vt:lpstr>
      <vt:lpstr>cst_wskakunin_koutei01_INTER_ISSUE_DATE</vt:lpstr>
      <vt:lpstr>cst_wskakunin_koutei01_INTER_ISSUE_NAME</vt:lpstr>
      <vt:lpstr>cst_wskakunin_koutei01_INTER_ISSUE_NO</vt:lpstr>
      <vt:lpstr>cst_wskakunin_koutei01_KOUTEI_DATE</vt:lpstr>
      <vt:lpstr>cst_wskakunin_koutei01_KOUTEI_KAISUU</vt:lpstr>
      <vt:lpstr>cst_wskakunin_koutei01_KOUTEI_TEXT</vt:lpstr>
      <vt:lpstr>cst_wskakunin_koutei02_INTER_ISSUE_DATE</vt:lpstr>
      <vt:lpstr>cst_wskakunin_koutei02_INTER_ISSUE_NAME</vt:lpstr>
      <vt:lpstr>cst_wskakunin_koutei02_INTER_ISSUE_NO</vt:lpstr>
      <vt:lpstr>cst_wskakunin_koutei02_KOUTEI_DATE</vt:lpstr>
      <vt:lpstr>cst_wskakunin_koutei02_KOUTEI_KAISUU</vt:lpstr>
      <vt:lpstr>cst_wskakunin_koutei02_KOUTEI_TEXT</vt:lpstr>
      <vt:lpstr>cst_wskakunin_koutei03_KOUTEI_DATE</vt:lpstr>
      <vt:lpstr>cst_wskakunin_koutei03_KOUTEI_KAISUU</vt:lpstr>
      <vt:lpstr>cst_wskakunin_koutei03_KOUTEI_TEXT</vt:lpstr>
      <vt:lpstr>cst_wskakunin_koutei04_KOUTEI_DATE</vt:lpstr>
      <vt:lpstr>cst_wskakunin_koutei04_KOUTEI_KAISUU</vt:lpstr>
      <vt:lpstr>cst_wskakunin_koutei04_KOUTEI_TEXT</vt:lpstr>
      <vt:lpstr>cst_wskakunin_KOUZOU</vt:lpstr>
      <vt:lpstr>cst_wskakunin_KOUZOU_mokuzou</vt:lpstr>
      <vt:lpstr>cst_wskakunin_KOUZOU_zairai</vt:lpstr>
      <vt:lpstr>cst_wskakunin_KOUZOU1</vt:lpstr>
      <vt:lpstr>cst_wskakunin_KOUZOU2</vt:lpstr>
      <vt:lpstr>cst_wskakunin_KUIKI_HISETTEI</vt:lpstr>
      <vt:lpstr>cst_wskakunin_KUIKI_JYUN_TOSHI</vt:lpstr>
      <vt:lpstr>cst_wskakunin_KUIKI_KUIKIGAI</vt:lpstr>
      <vt:lpstr>cst_wskakunin_KUIKI_SIGAIKA</vt:lpstr>
      <vt:lpstr>cst_wskakunin_KUIKI_TOSI</vt:lpstr>
      <vt:lpstr>cst_wskakunin_KUIKI_TYOSEI</vt:lpstr>
      <vt:lpstr>cst_wskakunin_kyoka_HOUREI_all</vt:lpstr>
      <vt:lpstr>cst_wskakunin_kyoka01_BIKOU</vt:lpstr>
      <vt:lpstr>cst_wskakunin_kyoka01_HOUREI</vt:lpstr>
      <vt:lpstr>cst_wskakunin_kyoka01_JOUKOU</vt:lpstr>
      <vt:lpstr>cst_wskakunin_kyoka01_KYOKA_DATE</vt:lpstr>
      <vt:lpstr>cst_wskakunin_kyoka01_KYOKA_NO</vt:lpstr>
      <vt:lpstr>cst_wskakunin_kyoka02_BIKOU</vt:lpstr>
      <vt:lpstr>cst_wskakunin_kyoka02_HOUREI</vt:lpstr>
      <vt:lpstr>cst_wskakunin_kyoka02_JOUKOU</vt:lpstr>
      <vt:lpstr>cst_wskakunin_kyoka02_KYOKA_DATE</vt:lpstr>
      <vt:lpstr>cst_wskakunin_kyoka02_KYOKA_NO</vt:lpstr>
      <vt:lpstr>cst_wskakunin_kyoka03_BIKOU</vt:lpstr>
      <vt:lpstr>cst_wskakunin_kyoka03_HOUREI</vt:lpstr>
      <vt:lpstr>cst_wskakunin_kyoka03_JOUKOU</vt:lpstr>
      <vt:lpstr>cst_wskakunin_kyoka03_KYOKA_DATE</vt:lpstr>
      <vt:lpstr>cst_wskakunin_kyoka03_KYOKA_NO</vt:lpstr>
      <vt:lpstr>cst_wskakunin_LAST_ISSUE_DATE</vt:lpstr>
      <vt:lpstr>cst_wskakunin_LAST_ISSUE_NAME</vt:lpstr>
      <vt:lpstr>cst_wskakunin_LAST_ISSUE_NO</vt:lpstr>
      <vt:lpstr>cst_wskakunin_LIMIT_KENPEI_RITU</vt:lpstr>
      <vt:lpstr>cst_wskakunin_LIMIT_YOUSEKI_RITU</vt:lpstr>
      <vt:lpstr>cst_wskakunin_MOKUZOU_KEIKA_ETC_FLAG</vt:lpstr>
      <vt:lpstr>cst_wskakunin_MOKUZOU_KEIKA_FLAG</vt:lpstr>
      <vt:lpstr>cst_wskakunin_MOKUZOU_KEIKA_FLAG_ari</vt:lpstr>
      <vt:lpstr>cst_wskakunin_MOKUZOU_KEIKA_FLAG_nashi</vt:lpstr>
      <vt:lpstr>cst_wskakunin_MOKUZOU_KEIKA_HASIRA_FLAG</vt:lpstr>
      <vt:lpstr>cst_wskakunin_NOBE_MENSEKI</vt:lpstr>
      <vt:lpstr>cst_wskakunin_NOBE_MENSEKI_BITIKUSOUKO_IGAI</vt:lpstr>
      <vt:lpstr>cst_wskakunin_NOBE_MENSEKI_BITIKUSOUKO_SHINSEI</vt:lpstr>
      <vt:lpstr>cst_wskakunin_NOBE_MENSEKI_BITIKUSOUKO_TOTAL</vt:lpstr>
      <vt:lpstr>cst_wskakunin_NOBE_MENSEKI_BUILD_IGAI</vt:lpstr>
      <vt:lpstr>cst_wskakunin_NOBE_MENSEKI_BUILD_SHINSEI</vt:lpstr>
      <vt:lpstr>cst_wskakunin_NOBE_MENSEKI_BUILD_TOTAL</vt:lpstr>
      <vt:lpstr>cst_wskakunin_NOBE_MENSEKI_CHOSUISOU_IGAI</vt:lpstr>
      <vt:lpstr>cst_wskakunin_NOBE_MENSEKI_CHOSUISOU_SHINSEI</vt:lpstr>
      <vt:lpstr>cst_wskakunin_NOBE_MENSEKI_CHOSUISOU_TOTAL</vt:lpstr>
      <vt:lpstr>cst_wskakunin_NOBE_MENSEKI_FUSANNYU_IGAI</vt:lpstr>
      <vt:lpstr>cst_wskakunin_NOBE_MENSEKI_FUSANNYU_SHINSEI</vt:lpstr>
      <vt:lpstr>cst_wskakunin_NOBE_MENSEKI_FUSANNYU_TOTAL</vt:lpstr>
      <vt:lpstr>cst_wskakunin_NOBE_MENSEKI_JIKAHATUDEN_IGAI</vt:lpstr>
      <vt:lpstr>cst_wskakunin_NOBE_MENSEKI_JIKAHATUDEN_SHINSEI</vt:lpstr>
      <vt:lpstr>cst_wskakunin_NOBE_MENSEKI_JIKAHATUDEN_TOTAL</vt:lpstr>
      <vt:lpstr>cst_wskakunin_NOBE_MENSEKI_JYUTAKU_IGAI</vt:lpstr>
      <vt:lpstr>cst_wskakunin_NOBE_MENSEKI_JYUTAKU_SHINSEI</vt:lpstr>
      <vt:lpstr>cst_wskakunin_NOBE_MENSEKI_JYUTAKU_TOTAL</vt:lpstr>
      <vt:lpstr>cst_wskakunin_NOBE_MENSEKI_KIKAI_IGAI</vt:lpstr>
      <vt:lpstr>cst_wskakunin_NOBE_MENSEKI_KIKAI_SHINSEI</vt:lpstr>
      <vt:lpstr>cst_wskakunin_NOBE_MENSEKI_KIKAI_TOTAL</vt:lpstr>
      <vt:lpstr>cst_wskakunin_NOBE_MENSEKI_KYOYOU_IGAI</vt:lpstr>
      <vt:lpstr>cst_wskakunin_NOBE_MENSEKI_KYOYOU_SHINSEI</vt:lpstr>
      <vt:lpstr>cst_wskakunin_NOBE_MENSEKI_KYOYOU_TOTAL</vt:lpstr>
      <vt:lpstr>cst_wskakunin_NOBE_MENSEKI_ROUJIN_IGAI</vt:lpstr>
      <vt:lpstr>cst_wskakunin_NOBE_MENSEKI_ROUJIN_SHINSEI</vt:lpstr>
      <vt:lpstr>cst_wskakunin_NOBE_MENSEKI_ROUJIN_TOTAL</vt:lpstr>
      <vt:lpstr>cst_wskakunin_NOBE_MENSEKI_SYAKO_IGAI</vt:lpstr>
      <vt:lpstr>cst_wskakunin_NOBE_MENSEKI_SYAKO_SHINSEI</vt:lpstr>
      <vt:lpstr>cst_wskakunin_NOBE_MENSEKI_SYAKO_TOTAL</vt:lpstr>
      <vt:lpstr>cst_wskakunin_NOBE_MENSEKI_SYOUKOURO_IGAI</vt:lpstr>
      <vt:lpstr>cst_wskakunin_NOBE_MENSEKI_SYOUKOURO_SHINSEI</vt:lpstr>
      <vt:lpstr>cst_wskakunin_NOBE_MENSEKI_SYOUKOURO_TOTAL</vt:lpstr>
      <vt:lpstr>cst_wskakunin_NOBE_MENSEKI_TAKUHAI_IGAI</vt:lpstr>
      <vt:lpstr>cst_wskakunin_NOBE_MENSEKI_TAKUHAI_SHINSEI</vt:lpstr>
      <vt:lpstr>cst_wskakunin_NOBE_MENSEKI_TAKUHAI_TOTAL</vt:lpstr>
      <vt:lpstr>cst_wskakunin_NOBE_MENSEKI_TIKAI_IGAI</vt:lpstr>
      <vt:lpstr>cst_wskakunin_NOBE_MENSEKI_TIKAI_SHINSEI</vt:lpstr>
      <vt:lpstr>cst_wskakunin_NOBE_MENSEKI_TIKAI_TOTAL</vt:lpstr>
      <vt:lpstr>cst_wskakunin_NOBE_MENSEKI_TIKUDENTI_IGAI</vt:lpstr>
      <vt:lpstr>cst_wskakunin_NOBE_MENSEKI_TIKUDENTI_SHINSEI</vt:lpstr>
      <vt:lpstr>cst_wskakunin_NOBE_MENSEKI_TIKUDENTI_TOTAL</vt:lpstr>
      <vt:lpstr>cst_wskakunin_owner1__address</vt:lpstr>
      <vt:lpstr>cst_wskakunin_owner1__line1</vt:lpstr>
      <vt:lpstr>cst_wskakunin_owner1__line2</vt:lpstr>
      <vt:lpstr>cst_wskakunin_owner1__space</vt:lpstr>
      <vt:lpstr>cst_wskakunin_owner1__space_KANA</vt:lpstr>
      <vt:lpstr>cst_wskakunin_owner1__space_KANA2</vt:lpstr>
      <vt:lpstr>cst_wskakunin_owner1__space2</vt:lpstr>
      <vt:lpstr>cst_wskakunin_owner1__space3</vt:lpstr>
      <vt:lpstr>cst_wskakunin_owner1__space4</vt:lpstr>
      <vt:lpstr>cst_wskakunin_owner1_JIMU_NAME</vt:lpstr>
      <vt:lpstr>cst_wskakunin_owner1_JIMU_NAME_KANA</vt:lpstr>
      <vt:lpstr>cst_wskakunin_owner1_NAME</vt:lpstr>
      <vt:lpstr>cst_wskakunin_owner1_NAME_KANA</vt:lpstr>
      <vt:lpstr>cst_wskakunin_owner1_POST</vt:lpstr>
      <vt:lpstr>cst_wskakunin_owner1_POST_KANA</vt:lpstr>
      <vt:lpstr>cst_wskakunin_owner1_TEL</vt:lpstr>
      <vt:lpstr>cst_wskakunin_owner1_ZIP</vt:lpstr>
      <vt:lpstr>cst_wskakunin_owner1_ZIP2</vt:lpstr>
      <vt:lpstr>cst_wskakunin_owner2__address</vt:lpstr>
      <vt:lpstr>cst_wskakunin_owner2__space</vt:lpstr>
      <vt:lpstr>cst_wskakunin_owner2__space_KANA</vt:lpstr>
      <vt:lpstr>cst_wskakunin_owner2__space2</vt:lpstr>
      <vt:lpstr>cst_wskakunin_owner2__space3</vt:lpstr>
      <vt:lpstr>cst_wskakunin_owner2_JIMU_NAME</vt:lpstr>
      <vt:lpstr>cst_wskakunin_owner2_JIMU_NAME_KANA</vt:lpstr>
      <vt:lpstr>cst_wskakunin_owner2_NAME</vt:lpstr>
      <vt:lpstr>cst_wskakunin_owner2_NAME_KANA</vt:lpstr>
      <vt:lpstr>cst_wskakunin_owner2_POST</vt:lpstr>
      <vt:lpstr>cst_wskakunin_owner2_POST_KANA</vt:lpstr>
      <vt:lpstr>cst_wskakunin_owner2_TEL</vt:lpstr>
      <vt:lpstr>cst_wskakunin_owner2_ZIP</vt:lpstr>
      <vt:lpstr>cst_wskakunin_owner3__address</vt:lpstr>
      <vt:lpstr>cst_wskakunin_owner3__space</vt:lpstr>
      <vt:lpstr>cst_wskakunin_owner3__space_KANA</vt:lpstr>
      <vt:lpstr>cst_wskakunin_owner3__space2</vt:lpstr>
      <vt:lpstr>cst_wskakunin_owner3__space3</vt:lpstr>
      <vt:lpstr>cst_wskakunin_owner3_JIMU_NAME</vt:lpstr>
      <vt:lpstr>cst_wskakunin_owner3_JIMU_NAME_KANA</vt:lpstr>
      <vt:lpstr>cst_wskakunin_owner3_NAME</vt:lpstr>
      <vt:lpstr>cst_wskakunin_owner3_NAME_KANA</vt:lpstr>
      <vt:lpstr>cst_wskakunin_owner3_POST</vt:lpstr>
      <vt:lpstr>cst_wskakunin_owner3_POST_KANA</vt:lpstr>
      <vt:lpstr>cst_wskakunin_owner3_TEL</vt:lpstr>
      <vt:lpstr>cst_wskakunin_owner3_ZIP</vt:lpstr>
      <vt:lpstr>cst_wskakunin_owner4__address</vt:lpstr>
      <vt:lpstr>cst_wskakunin_owner4__space</vt:lpstr>
      <vt:lpstr>cst_wskakunin_owner4__space_KANA</vt:lpstr>
      <vt:lpstr>cst_wskakunin_owner4_JIMU_NAME</vt:lpstr>
      <vt:lpstr>cst_wskakunin_owner4_JIMU_NAME_KANA</vt:lpstr>
      <vt:lpstr>cst_wskakunin_owner4_NAME</vt:lpstr>
      <vt:lpstr>cst_wskakunin_owner4_NAME_KANA</vt:lpstr>
      <vt:lpstr>cst_wskakunin_owner4_POST</vt:lpstr>
      <vt:lpstr>cst_wskakunin_owner4_POST_KANA</vt:lpstr>
      <vt:lpstr>cst_wskakunin_owner4_TEL</vt:lpstr>
      <vt:lpstr>cst_wskakunin_owner4_ZIP</vt:lpstr>
      <vt:lpstr>cst_wskakunin_owner5__address</vt:lpstr>
      <vt:lpstr>cst_wskakunin_owner5__space</vt:lpstr>
      <vt:lpstr>cst_wskakunin_owner5__space_KANA</vt:lpstr>
      <vt:lpstr>cst_wskakunin_owner5_JIMU_NAME</vt:lpstr>
      <vt:lpstr>cst_wskakunin_owner5_JIMU_NAME_KANA</vt:lpstr>
      <vt:lpstr>cst_wskakunin_owner5_NAME</vt:lpstr>
      <vt:lpstr>cst_wskakunin_owner5_NAME_KANA</vt:lpstr>
      <vt:lpstr>cst_wskakunin_owner5_POST</vt:lpstr>
      <vt:lpstr>cst_wskakunin_owner5_POST_KANA</vt:lpstr>
      <vt:lpstr>cst_wskakunin_owner5_TEL</vt:lpstr>
      <vt:lpstr>cst_wskakunin_owner5_ZIP</vt:lpstr>
      <vt:lpstr>cst_wskakunin_owner6__address</vt:lpstr>
      <vt:lpstr>cst_wskakunin_owner6__space</vt:lpstr>
      <vt:lpstr>cst_wskakunin_owner6__space_KANA</vt:lpstr>
      <vt:lpstr>cst_wskakunin_owner6__space2</vt:lpstr>
      <vt:lpstr>cst_wskakunin_owner6__space3</vt:lpstr>
      <vt:lpstr>cst_wskakunin_owner6_JIMU_NAME</vt:lpstr>
      <vt:lpstr>cst_wskakunin_owner6_JIMU_NAME_KANA</vt:lpstr>
      <vt:lpstr>cst_wskakunin_owner6_NAME</vt:lpstr>
      <vt:lpstr>cst_wskakunin_owner6_NAME_KANA</vt:lpstr>
      <vt:lpstr>cst_wskakunin_owner6_POST</vt:lpstr>
      <vt:lpstr>cst_wskakunin_owner6_POST_KANA</vt:lpstr>
      <vt:lpstr>cst_wskakunin_owner6_TEL</vt:lpstr>
      <vt:lpstr>cst_wskakunin_owner6_ZIP</vt:lpstr>
      <vt:lpstr>cst_wskakunin_owner7__address</vt:lpstr>
      <vt:lpstr>cst_wskakunin_owner7__space</vt:lpstr>
      <vt:lpstr>cst_wskakunin_owner7__space_KANA</vt:lpstr>
      <vt:lpstr>cst_wskakunin_owner7_JIMU_NAME</vt:lpstr>
      <vt:lpstr>cst_wskakunin_owner7_JIMU_NAME_KANA</vt:lpstr>
      <vt:lpstr>cst_wskakunin_owner7_NAME</vt:lpstr>
      <vt:lpstr>cst_wskakunin_owner7_NAME_KANA</vt:lpstr>
      <vt:lpstr>cst_wskakunin_owner7_POST</vt:lpstr>
      <vt:lpstr>cst_wskakunin_owner7_POST_KANA</vt:lpstr>
      <vt:lpstr>cst_wskakunin_owner7_TEL</vt:lpstr>
      <vt:lpstr>cst_wskakunin_owner7_ZIP</vt:lpstr>
      <vt:lpstr>cst_wskakunin_owner8__address</vt:lpstr>
      <vt:lpstr>cst_wskakunin_owner8__space</vt:lpstr>
      <vt:lpstr>cst_wskakunin_owner8__space_KANA</vt:lpstr>
      <vt:lpstr>cst_wskakunin_owner8_JIMU_NAME</vt:lpstr>
      <vt:lpstr>cst_wskakunin_owner8_JIMU_NAME_KANA</vt:lpstr>
      <vt:lpstr>cst_wskakunin_owner8_NAME</vt:lpstr>
      <vt:lpstr>cst_wskakunin_owner8_NAME_KANA</vt:lpstr>
      <vt:lpstr>cst_wskakunin_owner8_POST</vt:lpstr>
      <vt:lpstr>cst_wskakunin_owner8_POST_KANA</vt:lpstr>
      <vt:lpstr>cst_wskakunin_owner8_TEL</vt:lpstr>
      <vt:lpstr>cst_wskakunin_owner8_ZIP</vt:lpstr>
      <vt:lpstr>cst_wskakunin_owner9__address</vt:lpstr>
      <vt:lpstr>cst_wskakunin_owner9_JIMU_NAME</vt:lpstr>
      <vt:lpstr>cst_wskakunin_owner9_JIMU_NAME_KANA</vt:lpstr>
      <vt:lpstr>cst_wskakunin_owner9_NAME</vt:lpstr>
      <vt:lpstr>cst_wskakunin_owner9_NAME_KANA</vt:lpstr>
      <vt:lpstr>cst_wskakunin_owner9_POST</vt:lpstr>
      <vt:lpstr>cst_wskakunin_owner9_POST_KANA</vt:lpstr>
      <vt:lpstr>cst_wskakunin_owner9_TEL</vt:lpstr>
      <vt:lpstr>cst_wskakunin_owner9_ZIP</vt:lpstr>
      <vt:lpstr>cst_wskakunin_P1_HENKOU_GAIYOU</vt:lpstr>
      <vt:lpstr>cst_wskakunin_P2_BIKOU</vt:lpstr>
      <vt:lpstr>cst_wskakunin_P2_HENKOU_GAIYOU</vt:lpstr>
      <vt:lpstr>cst_wskakunin_P3_BIKOU</vt:lpstr>
      <vt:lpstr>cst_wskakunin_P3_SONOTA</vt:lpstr>
      <vt:lpstr>cst_wskakunin_p4_1__kouji</vt:lpstr>
      <vt:lpstr>cst_wskakunin_p4_1__kouji_box</vt:lpstr>
      <vt:lpstr>cst_wskakunin_p4_1__kouji_box_2</vt:lpstr>
      <vt:lpstr>cst_wskakunin_p4_1_KAISU_TIKAI</vt:lpstr>
      <vt:lpstr>cst_wskakunin_p4_1_KAISU_TIKAI_NOZOKU</vt:lpstr>
      <vt:lpstr>cst_wskakunin_p4_1_KAISU_TIKAI_NOZOKU_SINTIKU</vt:lpstr>
      <vt:lpstr>cst_wskakunin_p4_1_KAISU_TIKAI_SINTIKU</vt:lpstr>
      <vt:lpstr>cst_wskakunin_p4_1_KOUZOU1</vt:lpstr>
      <vt:lpstr>cst_wskakunin_p4_1_KOUZOU2</vt:lpstr>
      <vt:lpstr>cst_wskakunin_p4_1_p5_1_KAI</vt:lpstr>
      <vt:lpstr>cst_wskakunin_p4_1_p5_1_P4_MENSEKI_SHINSEI</vt:lpstr>
      <vt:lpstr>cst_wskakunin_p4_1_p5_2_KAI</vt:lpstr>
      <vt:lpstr>cst_wskakunin_p4_1_p5_2_P4_MENSEKI_SHINSEI</vt:lpstr>
      <vt:lpstr>cst_wskakunin_p4_1_p5_3_KAI</vt:lpstr>
      <vt:lpstr>cst_wskakunin_p4_1_p5_3_P4_MENSEKI_SHINSEI</vt:lpstr>
      <vt:lpstr>cst_wskakunin_p4_1_TAKASA_KEN_MAX</vt:lpstr>
      <vt:lpstr>cst_wskakunin_p4_1_TAKASA_MAX</vt:lpstr>
      <vt:lpstr>cst_wskakunin_p4_1_TOKUREI_KAKUNIN_FLAG</vt:lpstr>
      <vt:lpstr>cst_wskakunin_p4_1_TOKUREI_KAKUNIN_FLAG_off</vt:lpstr>
      <vt:lpstr>cst_wskakunin_p4_1_TOKUREI_KAKUNIN_FLAG_on</vt:lpstr>
      <vt:lpstr>cst_wskakunin_p4_1_youto1_YOUTO</vt:lpstr>
      <vt:lpstr>cst_wskakunin_p4_1_youto1_YOUTO_1</vt:lpstr>
      <vt:lpstr>cst_wskakunin_p4_1_youto1_YOUTO_2</vt:lpstr>
      <vt:lpstr>cst_wskakunin_p4_1_youto1_YOUTO_3</vt:lpstr>
      <vt:lpstr>cst_wskakunin_p4_1_youto1_YOUTO_4</vt:lpstr>
      <vt:lpstr>cst_wskakunin_p4_1_youto1_YOUTO_5</vt:lpstr>
      <vt:lpstr>cst_wskakunin_p4_1_youto1_YOUTO_6</vt:lpstr>
      <vt:lpstr>cst_wskakunin_p4_1_youto1_YOUTO_9</vt:lpstr>
      <vt:lpstr>cst_wskakunin_p4_1_youto1_YOUTO_CODE</vt:lpstr>
      <vt:lpstr>cst_wskakunin_p4_1_YUKA_MENSEKI_SHINSEI</vt:lpstr>
      <vt:lpstr>cst_wskakunin_PAGE1_ALTERATION_NOTE</vt:lpstr>
      <vt:lpstr>cst_wskakunin_sekkei1__address</vt:lpstr>
      <vt:lpstr>cst_wskakunin_sekkei1__sikaku</vt:lpstr>
      <vt:lpstr>cst_wskakunin_sekkei1_DOC</vt:lpstr>
      <vt:lpstr>cst_wskakunin_sekkei1_JIMU__sikaku</vt:lpstr>
      <vt:lpstr>cst_wskakunin_sekkei1_JIMU_NAME</vt:lpstr>
      <vt:lpstr>cst_wskakunin_sekkei1_JIMU_NO</vt:lpstr>
      <vt:lpstr>cst_wskakunin_sekkei1_JIMU_SIKAKU</vt:lpstr>
      <vt:lpstr>cst_wskakunin_sekkei1_JIMU_TOUROKU_KIKAN</vt:lpstr>
      <vt:lpstr>cst_wskakunin_sekkei1_jimuname_name</vt:lpstr>
      <vt:lpstr>cst_wskakunin_sekkei1_KENTIKUSI_NO</vt:lpstr>
      <vt:lpstr>cst_wskakunin_sekkei1_NAME</vt:lpstr>
      <vt:lpstr>cst_wskakunin_sekkei1_SIKAKU</vt:lpstr>
      <vt:lpstr>cst_wskakunin_sekkei1_TEL</vt:lpstr>
      <vt:lpstr>cst_wskakunin_sekkei1_TOUROKU_KIKAN</vt:lpstr>
      <vt:lpstr>cst_wskakunin_sekkei1_ZIP</vt:lpstr>
      <vt:lpstr>cst_wskakunin_sekkei10__address</vt:lpstr>
      <vt:lpstr>cst_wskakunin_sekkei10__sikaku</vt:lpstr>
      <vt:lpstr>cst_wskakunin_sekkei10_DOC</vt:lpstr>
      <vt:lpstr>cst_wskakunin_sekkei10_JIMU__sikaku</vt:lpstr>
      <vt:lpstr>cst_wskakunin_sekkei10_JIMU_NAME</vt:lpstr>
      <vt:lpstr>cst_wskakunin_sekkei10_JIMU_NO</vt:lpstr>
      <vt:lpstr>cst_wskakunin_sekkei10_JIMU_SIKAKU</vt:lpstr>
      <vt:lpstr>cst_wskakunin_sekkei10_JIMU_TOUROKU_KIKAN</vt:lpstr>
      <vt:lpstr>cst_wskakunin_sekkei10_jimuname_name</vt:lpstr>
      <vt:lpstr>cst_wskakunin_sekkei10_KENTIKUSI_NO</vt:lpstr>
      <vt:lpstr>cst_wskakunin_sekkei10_NAME</vt:lpstr>
      <vt:lpstr>cst_wskakunin_sekkei10_SIKAKU</vt:lpstr>
      <vt:lpstr>cst_wskakunin_sekkei10_TEL</vt:lpstr>
      <vt:lpstr>cst_wskakunin_sekkei10_TOUROKU_KIKAN</vt:lpstr>
      <vt:lpstr>cst_wskakunin_sekkei10_ZIP</vt:lpstr>
      <vt:lpstr>cst_wskakunin_sekkei11__address</vt:lpstr>
      <vt:lpstr>cst_wskakunin_sekkei11__sikaku</vt:lpstr>
      <vt:lpstr>cst_wskakunin_sekkei11_DOC</vt:lpstr>
      <vt:lpstr>cst_wskakunin_sekkei11_JIMU__sikaku</vt:lpstr>
      <vt:lpstr>cst_wskakunin_sekkei11_JIMU_NAME</vt:lpstr>
      <vt:lpstr>cst_wskakunin_sekkei11_JIMU_NO</vt:lpstr>
      <vt:lpstr>cst_wskakunin_sekkei11_JIMU_SIKAKU</vt:lpstr>
      <vt:lpstr>cst_wskakunin_sekkei11_JIMU_TOUROKU_KIKAN</vt:lpstr>
      <vt:lpstr>cst_wskakunin_sekkei11_jimuname_name</vt:lpstr>
      <vt:lpstr>cst_wskakunin_sekkei11_KENTIKUSI_NO</vt:lpstr>
      <vt:lpstr>cst_wskakunin_sekkei11_NAME</vt:lpstr>
      <vt:lpstr>cst_wskakunin_sekkei11_SIKAKU</vt:lpstr>
      <vt:lpstr>cst_wskakunin_sekkei11_TEL</vt:lpstr>
      <vt:lpstr>cst_wskakunin_sekkei11_TOUROKU_KIKAN</vt:lpstr>
      <vt:lpstr>cst_wskakunin_sekkei11_ZIP</vt:lpstr>
      <vt:lpstr>cst_wskakunin_sekkei12__address</vt:lpstr>
      <vt:lpstr>cst_wskakunin_sekkei12__sikaku</vt:lpstr>
      <vt:lpstr>cst_wskakunin_sekkei12_DOC</vt:lpstr>
      <vt:lpstr>cst_wskakunin_sekkei12_JIMU__sikaku</vt:lpstr>
      <vt:lpstr>cst_wskakunin_sekkei12_JIMU_NAME</vt:lpstr>
      <vt:lpstr>cst_wskakunin_sekkei12_JIMU_NO</vt:lpstr>
      <vt:lpstr>cst_wskakunin_sekkei12_JIMU_SIKAKU</vt:lpstr>
      <vt:lpstr>cst_wskakunin_sekkei12_JIMU_TOUROKU_KIKAN</vt:lpstr>
      <vt:lpstr>cst_wskakunin_sekkei12_jimuname_name</vt:lpstr>
      <vt:lpstr>cst_wskakunin_sekkei12_KENTIKUSI_NO</vt:lpstr>
      <vt:lpstr>cst_wskakunin_sekkei12_NAME</vt:lpstr>
      <vt:lpstr>cst_wskakunin_sekkei12_SIKAKU</vt:lpstr>
      <vt:lpstr>cst_wskakunin_sekkei12_TEL</vt:lpstr>
      <vt:lpstr>cst_wskakunin_sekkei12_TOUROKU_KIKAN</vt:lpstr>
      <vt:lpstr>cst_wskakunin_sekkei12_ZIP</vt:lpstr>
      <vt:lpstr>cst_wskakunin_sekkei2__address</vt:lpstr>
      <vt:lpstr>cst_wskakunin_sekkei2__sikaku</vt:lpstr>
      <vt:lpstr>cst_wskakunin_sekkei2_DOC</vt:lpstr>
      <vt:lpstr>cst_wskakunin_sekkei2_JIMU__sikaku</vt:lpstr>
      <vt:lpstr>cst_wskakunin_sekkei2_JIMU_NAME</vt:lpstr>
      <vt:lpstr>cst_wskakunin_sekkei2_JIMU_NO</vt:lpstr>
      <vt:lpstr>cst_wskakunin_sekkei2_JIMU_SIKAKU</vt:lpstr>
      <vt:lpstr>cst_wskakunin_sekkei2_JIMU_TOUROKU_KIKAN</vt:lpstr>
      <vt:lpstr>cst_wskakunin_sekkei2_jimuname_name</vt:lpstr>
      <vt:lpstr>cst_wskakunin_sekkei2_KENTIKUSI_NO</vt:lpstr>
      <vt:lpstr>cst_wskakunin_sekkei2_NAME</vt:lpstr>
      <vt:lpstr>cst_wskakunin_sekkei2_SIKAKU</vt:lpstr>
      <vt:lpstr>cst_wskakunin_sekkei2_TEL</vt:lpstr>
      <vt:lpstr>cst_wskakunin_sekkei2_TOUROKU_KIKAN</vt:lpstr>
      <vt:lpstr>cst_wskakunin_sekkei2_ZIP</vt:lpstr>
      <vt:lpstr>cst_wskakunin_sekkei3__address</vt:lpstr>
      <vt:lpstr>cst_wskakunin_sekkei3__sikaku</vt:lpstr>
      <vt:lpstr>cst_wskakunin_sekkei3_DOC</vt:lpstr>
      <vt:lpstr>cst_wskakunin_sekkei3_JIMU__sikaku</vt:lpstr>
      <vt:lpstr>cst_wskakunin_sekkei3_JIMU_NAME</vt:lpstr>
      <vt:lpstr>cst_wskakunin_sekkei3_JIMU_NO</vt:lpstr>
      <vt:lpstr>cst_wskakunin_sekkei3_JIMU_SIKAKU</vt:lpstr>
      <vt:lpstr>cst_wskakunin_sekkei3_JIMU_TOUROKU_KIKAN</vt:lpstr>
      <vt:lpstr>cst_wskakunin_sekkei3_jimuname_name</vt:lpstr>
      <vt:lpstr>cst_wskakunin_sekkei3_KENTIKUSI_NO</vt:lpstr>
      <vt:lpstr>cst_wskakunin_sekkei3_NAME</vt:lpstr>
      <vt:lpstr>cst_wskakunin_sekkei3_SIKAKU</vt:lpstr>
      <vt:lpstr>cst_wskakunin_sekkei3_TEL</vt:lpstr>
      <vt:lpstr>cst_wskakunin_sekkei3_TOUROKU_KIKAN</vt:lpstr>
      <vt:lpstr>cst_wskakunin_sekkei3_ZIP</vt:lpstr>
      <vt:lpstr>cst_wskakunin_sekkei4__address</vt:lpstr>
      <vt:lpstr>cst_wskakunin_sekkei4__sikaku</vt:lpstr>
      <vt:lpstr>cst_wskakunin_sekkei4_DOC</vt:lpstr>
      <vt:lpstr>cst_wskakunin_sekkei4_JIMU__sikaku</vt:lpstr>
      <vt:lpstr>cst_wskakunin_sekkei4_JIMU_NAME</vt:lpstr>
      <vt:lpstr>cst_wskakunin_sekkei4_JIMU_NO</vt:lpstr>
      <vt:lpstr>cst_wskakunin_sekkei4_JIMU_SIKAKU</vt:lpstr>
      <vt:lpstr>cst_wskakunin_sekkei4_JIMU_TOUROKU_KIKAN</vt:lpstr>
      <vt:lpstr>cst_wskakunin_sekkei4_jimuname_name</vt:lpstr>
      <vt:lpstr>cst_wskakunin_sekkei4_KENTIKUSI_NO</vt:lpstr>
      <vt:lpstr>cst_wskakunin_sekkei4_NAME</vt:lpstr>
      <vt:lpstr>cst_wskakunin_sekkei4_SIKAKU</vt:lpstr>
      <vt:lpstr>cst_wskakunin_sekkei4_TEL</vt:lpstr>
      <vt:lpstr>cst_wskakunin_sekkei4_TOUROKU_KIKAN</vt:lpstr>
      <vt:lpstr>cst_wskakunin_sekkei4_ZIP</vt:lpstr>
      <vt:lpstr>cst_wskakunin_sekkei5__address</vt:lpstr>
      <vt:lpstr>cst_wskakunin_sekkei5__sikaku</vt:lpstr>
      <vt:lpstr>cst_wskakunin_sekkei5_DOC</vt:lpstr>
      <vt:lpstr>cst_wskakunin_sekkei5_JIMU__sikaku</vt:lpstr>
      <vt:lpstr>cst_wskakunin_sekkei5_JIMU_NAME</vt:lpstr>
      <vt:lpstr>cst_wskakunin_sekkei5_JIMU_NO</vt:lpstr>
      <vt:lpstr>cst_wskakunin_sekkei5_JIMU_SIKAKU</vt:lpstr>
      <vt:lpstr>cst_wskakunin_sekkei5_JIMU_TOUROKU_KIKAN</vt:lpstr>
      <vt:lpstr>cst_wskakunin_sekkei5_jimuname_name</vt:lpstr>
      <vt:lpstr>cst_wskakunin_sekkei5_KENTIKUSI_NO</vt:lpstr>
      <vt:lpstr>cst_wskakunin_sekkei5_NAME</vt:lpstr>
      <vt:lpstr>cst_wskakunin_sekkei5_SIKAKU</vt:lpstr>
      <vt:lpstr>cst_wskakunin_sekkei5_TEL</vt:lpstr>
      <vt:lpstr>cst_wskakunin_sekkei5_TOUROKU_KIKAN</vt:lpstr>
      <vt:lpstr>cst_wskakunin_sekkei5_ZIP</vt:lpstr>
      <vt:lpstr>cst_wskakunin_sekkei6__address</vt:lpstr>
      <vt:lpstr>cst_wskakunin_sekkei6__sikaku</vt:lpstr>
      <vt:lpstr>cst_wskakunin_sekkei6_DOC</vt:lpstr>
      <vt:lpstr>cst_wskakunin_sekkei6_JIMU__sikaku</vt:lpstr>
      <vt:lpstr>cst_wskakunin_sekkei6_JIMU_NAME</vt:lpstr>
      <vt:lpstr>cst_wskakunin_sekkei6_JIMU_NO</vt:lpstr>
      <vt:lpstr>cst_wskakunin_sekkei6_JIMU_SIKAKU</vt:lpstr>
      <vt:lpstr>cst_wskakunin_sekkei6_JIMU_TOUROKU_KIKAN</vt:lpstr>
      <vt:lpstr>cst_wskakunin_sekkei6_jimuname_name</vt:lpstr>
      <vt:lpstr>cst_wskakunin_sekkei6_KENTIKUSI_NO</vt:lpstr>
      <vt:lpstr>cst_wskakunin_sekkei6_NAME</vt:lpstr>
      <vt:lpstr>cst_wskakunin_sekkei6_SIKAKU</vt:lpstr>
      <vt:lpstr>cst_wskakunin_sekkei6_TEL</vt:lpstr>
      <vt:lpstr>cst_wskakunin_sekkei6_TOUROKU_KIKAN</vt:lpstr>
      <vt:lpstr>cst_wskakunin_sekkei6_ZIP</vt:lpstr>
      <vt:lpstr>cst_wskakunin_sekkei7__address</vt:lpstr>
      <vt:lpstr>cst_wskakunin_sekkei7__sikaku</vt:lpstr>
      <vt:lpstr>cst_wskakunin_sekkei7_DOC</vt:lpstr>
      <vt:lpstr>cst_wskakunin_sekkei7_JIMU__sikaku</vt:lpstr>
      <vt:lpstr>cst_wskakunin_sekkei7_JIMU_NAME</vt:lpstr>
      <vt:lpstr>cst_wskakunin_sekkei7_JIMU_NO</vt:lpstr>
      <vt:lpstr>cst_wskakunin_sekkei7_JIMU_SIKAKU</vt:lpstr>
      <vt:lpstr>cst_wskakunin_sekkei7_JIMU_TOUROKU_KIKAN</vt:lpstr>
      <vt:lpstr>cst_wskakunin_sekkei7_jimuname_name</vt:lpstr>
      <vt:lpstr>cst_wskakunin_sekkei7_KENTIKUSI_NO</vt:lpstr>
      <vt:lpstr>cst_wskakunin_sekkei7_NAME</vt:lpstr>
      <vt:lpstr>cst_wskakunin_sekkei7_SIKAKU</vt:lpstr>
      <vt:lpstr>cst_wskakunin_sekkei7_TEL</vt:lpstr>
      <vt:lpstr>cst_wskakunin_sekkei7_TOUROKU_KIKAN</vt:lpstr>
      <vt:lpstr>cst_wskakunin_sekkei7_ZIP</vt:lpstr>
      <vt:lpstr>cst_wskakunin_sekkei8__address</vt:lpstr>
      <vt:lpstr>cst_wskakunin_sekkei8__sikaku</vt:lpstr>
      <vt:lpstr>cst_wskakunin_sekkei8_DOC</vt:lpstr>
      <vt:lpstr>cst_wskakunin_sekkei8_JIMU__sikaku</vt:lpstr>
      <vt:lpstr>cst_wskakunin_sekkei8_JIMU_NAME</vt:lpstr>
      <vt:lpstr>cst_wskakunin_sekkei8_JIMU_NO</vt:lpstr>
      <vt:lpstr>cst_wskakunin_sekkei8_JIMU_SIKAKU</vt:lpstr>
      <vt:lpstr>cst_wskakunin_sekkei8_JIMU_TOUROKU_KIKAN</vt:lpstr>
      <vt:lpstr>cst_wskakunin_sekkei8_jimuname_name</vt:lpstr>
      <vt:lpstr>cst_wskakunin_sekkei8_KENTIKUSI_NO</vt:lpstr>
      <vt:lpstr>cst_wskakunin_sekkei8_NAME</vt:lpstr>
      <vt:lpstr>cst_wskakunin_sekkei8_SIKAKU</vt:lpstr>
      <vt:lpstr>cst_wskakunin_sekkei8_TEL</vt:lpstr>
      <vt:lpstr>cst_wskakunin_sekkei8_TOUROKU_KIKAN</vt:lpstr>
      <vt:lpstr>cst_wskakunin_sekkei8_ZIP</vt:lpstr>
      <vt:lpstr>cst_wskakunin_sekkei9__address</vt:lpstr>
      <vt:lpstr>cst_wskakunin_sekkei9__sikaku</vt:lpstr>
      <vt:lpstr>cst_wskakunin_sekkei9_DOC</vt:lpstr>
      <vt:lpstr>cst_wskakunin_sekkei9_JIMU__sikaku</vt:lpstr>
      <vt:lpstr>cst_wskakunin_sekkei9_JIMU_NAME</vt:lpstr>
      <vt:lpstr>cst_wskakunin_sekkei9_JIMU_NO</vt:lpstr>
      <vt:lpstr>cst_wskakunin_sekkei9_JIMU_SIKAKU</vt:lpstr>
      <vt:lpstr>cst_wskakunin_sekkei9_JIMU_TOUROKU_KIKAN</vt:lpstr>
      <vt:lpstr>cst_wskakunin_sekkei9_jimuname_name</vt:lpstr>
      <vt:lpstr>cst_wskakunin_sekkei9_KENTIKUSI_NO</vt:lpstr>
      <vt:lpstr>cst_wskakunin_sekkei9_NAME</vt:lpstr>
      <vt:lpstr>cst_wskakunin_sekkei9_SIKAKU</vt:lpstr>
      <vt:lpstr>cst_wskakunin_sekkei9_TEL</vt:lpstr>
      <vt:lpstr>cst_wskakunin_sekkei9_TOUROKU_KIKAN</vt:lpstr>
      <vt:lpstr>cst_wskakunin_sekkei9_ZIP</vt:lpstr>
      <vt:lpstr>cst_wskakunin_sekou1__address</vt:lpstr>
      <vt:lpstr>cst_wskakunin_sekou1__hajime</vt:lpstr>
      <vt:lpstr>cst_wskakunin_sekou1__kistar</vt:lpstr>
      <vt:lpstr>cst_wskakunin_sekou1_JIMU_NAME</vt:lpstr>
      <vt:lpstr>cst_wskakunin_sekou1_kakunin</vt:lpstr>
      <vt:lpstr>cst_wskakunin_sekou1_NAME</vt:lpstr>
      <vt:lpstr>cst_wskakunin_sekou1_SEKOU__sikaku</vt:lpstr>
      <vt:lpstr>cst_wskakunin_sekou1_SEKOU_NO</vt:lpstr>
      <vt:lpstr>cst_wskakunin_sekou1_SEKOU_SIKAKU</vt:lpstr>
      <vt:lpstr>cst_wskakunin_sekou1_TEL</vt:lpstr>
      <vt:lpstr>cst_wskakunin_sekou1_ZIP</vt:lpstr>
      <vt:lpstr>cst_wskakunin_sekou2__address</vt:lpstr>
      <vt:lpstr>cst_wskakunin_sekou2_JIMU_NAME</vt:lpstr>
      <vt:lpstr>cst_wskakunin_sekou2_NAME</vt:lpstr>
      <vt:lpstr>cst_wskakunin_sekou2_SEKOU__sikaku</vt:lpstr>
      <vt:lpstr>cst_wskakunin_sekou2_SEKOU_NO</vt:lpstr>
      <vt:lpstr>cst_wskakunin_sekou2_SEKOU_SIKAKU</vt:lpstr>
      <vt:lpstr>cst_wskakunin_sekou2_TEL</vt:lpstr>
      <vt:lpstr>cst_wskakunin_sekou2_ZIP</vt:lpstr>
      <vt:lpstr>cst_wskakunin_sekou3__address</vt:lpstr>
      <vt:lpstr>cst_wskakunin_sekou3_JIMU_NAME</vt:lpstr>
      <vt:lpstr>cst_wskakunin_sekou3_NAME</vt:lpstr>
      <vt:lpstr>cst_wskakunin_sekou3_SEKOU__sikaku</vt:lpstr>
      <vt:lpstr>cst_wskakunin_sekou3_SEKOU_NO</vt:lpstr>
      <vt:lpstr>cst_wskakunin_sekou3_SEKOU_SIKAKU</vt:lpstr>
      <vt:lpstr>cst_wskakunin_sekou3_TEL</vt:lpstr>
      <vt:lpstr>cst_wskakunin_sekou3_ZIP</vt:lpstr>
      <vt:lpstr>cst_wskakunin_sekou4__address</vt:lpstr>
      <vt:lpstr>cst_wskakunin_sekou4_JIMU_NAME</vt:lpstr>
      <vt:lpstr>cst_wskakunin_sekou4_NAME</vt:lpstr>
      <vt:lpstr>cst_wskakunin_sekou4_SEKOU__sikaku</vt:lpstr>
      <vt:lpstr>cst_wskakunin_sekou4_SEKOU_NO</vt:lpstr>
      <vt:lpstr>cst_wskakunin_sekou4_SEKOU_SIKAKU</vt:lpstr>
      <vt:lpstr>cst_wskakunin_sekou4_TEL</vt:lpstr>
      <vt:lpstr>cst_wskakunin_sekou4_ZIP</vt:lpstr>
      <vt:lpstr>cst_wskakunin_sekou5__address</vt:lpstr>
      <vt:lpstr>cst_wskakunin_sekou5_JIMU_NAME</vt:lpstr>
      <vt:lpstr>cst_wskakunin_sekou5_NAME</vt:lpstr>
      <vt:lpstr>cst_wskakunin_sekou5_SEKOU__sikaku</vt:lpstr>
      <vt:lpstr>cst_wskakunin_sekou5_SEKOU_NO</vt:lpstr>
      <vt:lpstr>cst_wskakunin_sekou5_SEKOU_SIKAKU</vt:lpstr>
      <vt:lpstr>cst_wskakunin_sekou5_TEL</vt:lpstr>
      <vt:lpstr>cst_wskakunin_sekou5_ZIP</vt:lpstr>
      <vt:lpstr>cst_wskakunin_sekou6__address</vt:lpstr>
      <vt:lpstr>cst_wskakunin_sekou6_JIMU_NAME</vt:lpstr>
      <vt:lpstr>cst_wskakunin_sekou6_NAME</vt:lpstr>
      <vt:lpstr>cst_wskakunin_sekou6_SEKOU__sikaku</vt:lpstr>
      <vt:lpstr>cst_wskakunin_sekou6_SEKOU_NO</vt:lpstr>
      <vt:lpstr>cst_wskakunin_sekou6_SEKOU_SIKAKU</vt:lpstr>
      <vt:lpstr>cst_wskakunin_sekou6_TEL</vt:lpstr>
      <vt:lpstr>cst_wskakunin_sekou6_ZIP</vt:lpstr>
      <vt:lpstr>cst_wskakunin_SHIKITI_MENSEKI_1_TOTAL</vt:lpstr>
      <vt:lpstr>cst_wskakunin_SHIKITI_MENSEKI_1_TOTAL_SINTIKU</vt:lpstr>
      <vt:lpstr>cst_wskakunin_SHIKITI_MENSEKI_1A</vt:lpstr>
      <vt:lpstr>cst_wskakunin_SHIKITI_MENSEKI_1B</vt:lpstr>
      <vt:lpstr>cst_wskakunin_SHIKITI_MENSEKI_1C</vt:lpstr>
      <vt:lpstr>cst_wskakunin_SHIKITI_MENSEKI_1D</vt:lpstr>
      <vt:lpstr>cst_wskakunin_SHIKITI_MENSEKI_2_TOTAL</vt:lpstr>
      <vt:lpstr>cst_wskakunin_SHIKITI_MENSEKI_2A</vt:lpstr>
      <vt:lpstr>cst_wskakunin_SHIKITI_MENSEKI_2B</vt:lpstr>
      <vt:lpstr>cst_wskakunin_SHIKITI_MENSEKI_2C</vt:lpstr>
      <vt:lpstr>cst_wskakunin_SHIKITI_MENSEKI_2D</vt:lpstr>
      <vt:lpstr>cst_wskakunin_SHIKITI_MENSEKI_BIKOU</vt:lpstr>
      <vt:lpstr>cst_wskakunin_SHINSEI_DATE</vt:lpstr>
      <vt:lpstr>cst_wskakunin_TAKASA_MAX_SHINSEI</vt:lpstr>
      <vt:lpstr>cst_wskakunin_TAKASA_MAX_SONOTA</vt:lpstr>
      <vt:lpstr>cst_wskakunin_tekihan01_TEKIHAN_KIKAN_ADDRESS</vt:lpstr>
      <vt:lpstr>cst_wskakunin_tekihan01_TEKIHAN_KIKAN_info</vt:lpstr>
      <vt:lpstr>cst_wskakunin_tekihan01_TEKIHAN_KIKAN_KEN__ken</vt:lpstr>
      <vt:lpstr>cst_wskakunin_tekihan01_TEKIHAN_KIKAN_NAME</vt:lpstr>
      <vt:lpstr>cst_wskakunin_tekihan01_TEKIHAN_STATE_mishinsei</vt:lpstr>
      <vt:lpstr>cst_wskakunin_tekihan01_TEKIHAN_STATE_shinsei</vt:lpstr>
      <vt:lpstr>cst_wskakunin_tekihan01_TEKIHAN_STATE_shinseifuyou</vt:lpstr>
      <vt:lpstr>cst_wskakunin_tekihan02_TEKIHAN_KIKAN_ADDRESS</vt:lpstr>
      <vt:lpstr>cst_wskakunin_tekihan02_TEKIHAN_KIKAN_info</vt:lpstr>
      <vt:lpstr>cst_wskakunin_tekihan02_TEKIHAN_KIKAN_KEN__ken</vt:lpstr>
      <vt:lpstr>cst_wskakunin_tekihan02_TEKIHAN_KIKAN_NAME</vt:lpstr>
      <vt:lpstr>cst_wskakunin_TOKUREI_TAKASA</vt:lpstr>
      <vt:lpstr>cst_wskakunin_TOKUREI_TAKASA_box_off</vt:lpstr>
      <vt:lpstr>cst_wskakunin_TOKUREI_TAKASA_box_on</vt:lpstr>
      <vt:lpstr>cst_wskakunin_TOKUREI_TAKASA_DOURO</vt:lpstr>
      <vt:lpstr>cst_wskakunin_TOKUREI_TAKASA_KITA</vt:lpstr>
      <vt:lpstr>cst_wskakunin_TOKUREI_TAKASA_RINTI</vt:lpstr>
      <vt:lpstr>cst_wskakunin_TOKUREI_txt</vt:lpstr>
      <vt:lpstr>cst_wskakunin_TOKUTEI_KOUJI_KANRYOU_DATE_select</vt:lpstr>
      <vt:lpstr>cst_wskakunin_TOKUTEI_KOUTEI</vt:lpstr>
      <vt:lpstr>cst_wskakunin_TOKUTEI_KOUTEI_inter1</vt:lpstr>
      <vt:lpstr>cst_wskakunin_TOKUTEI_KOUTEI_inter2</vt:lpstr>
      <vt:lpstr>cst_wskakunin_wskakunin_SONOTA_KUIKI</vt:lpstr>
      <vt:lpstr>cst_wskakunin_YOUSEKI_RITU</vt:lpstr>
      <vt:lpstr>cst_wskakunin_YOUSEKI_RITU_A</vt:lpstr>
      <vt:lpstr>cst_wskakunin_YOUSEKI_RITU_B</vt:lpstr>
      <vt:lpstr>cst_wskakunin_YOUSEKI_RITU_C</vt:lpstr>
      <vt:lpstr>cst_wskakunin_YOUSEKI_RITU_D</vt:lpstr>
      <vt:lpstr>cst_wskakunin_YOUTO</vt:lpstr>
      <vt:lpstr>cst_wskakunin_YOUTO_CODE</vt:lpstr>
      <vt:lpstr>cst_wskakunin_YOUTO_kodate_box</vt:lpstr>
      <vt:lpstr>cst_wskakunin_YOUTO_kyoudou_box</vt:lpstr>
      <vt:lpstr>cst_wskakunin_YOUTO_TIIKI</vt:lpstr>
      <vt:lpstr>cst_wskakunin_YOUTO_TIIKI_A</vt:lpstr>
      <vt:lpstr>cst_wskakunin_YOUTO_TIIKI_B</vt:lpstr>
      <vt:lpstr>cst_wskakunin_YOUTO_TIIKI_C</vt:lpstr>
      <vt:lpstr>cst_wskakunin_YOUTO_TIIKI_D</vt:lpstr>
      <vt:lpstr>委任状_建築主押印あり!Print_Area</vt:lpstr>
      <vt:lpstr>委任状_建築主押印なし!Print_Area</vt:lpstr>
      <vt:lpstr>仮使用_計画通知_第一面!Print_Area</vt:lpstr>
      <vt:lpstr>仮使用_第一面_別紙_手数料請求先!Print_Area</vt:lpstr>
      <vt:lpstr>仮使用_第一面_別紙_申請者!Print_Area</vt:lpstr>
      <vt:lpstr>仮使用_第二面!Print_Area</vt:lpstr>
      <vt:lpstr>仮使用_第二面_別紙_建築主等!Print_Area</vt:lpstr>
      <vt:lpstr>仮使用_注意!Print_Area</vt:lpstr>
      <vt:lpstr>記載事項変更届!Print_Area</vt:lpstr>
      <vt:lpstr>軽微な変更説明書!Print_Area</vt:lpstr>
      <vt:lpstr>建築主等変更届!Print_Area</vt:lpstr>
      <vt:lpstr>工事監理者変更届!Print_Area</vt:lpstr>
      <vt:lpstr>工事監理者変更届_補足用!Print_Area</vt:lpstr>
      <vt:lpstr>工事施工者変更届!Print_Area</vt:lpstr>
      <vt:lpstr>受付連絡票!Print_Area</vt:lpstr>
      <vt:lpstr>省エネ適判_委任状_押印あり!Print_Area</vt:lpstr>
      <vt:lpstr>省エネ適判_委任状_押印なし!Print_Area</vt:lpstr>
      <vt:lpstr>省エネ適判_記載事項変更届!Print_Area</vt:lpstr>
      <vt:lpstr>省エネ適判_取下げ届!Print_Area</vt:lpstr>
      <vt:lpstr>省エネ適判_追加説明書!Print_Area</vt:lpstr>
      <vt:lpstr>申請者別紙!Print_Area</vt:lpstr>
      <vt:lpstr>申請取下届!Print_Area</vt:lpstr>
      <vt:lpstr>設計者が複数の場合の別紙!Print_Area</vt:lpstr>
      <vt:lpstr>第五面!Print_Area</vt:lpstr>
      <vt:lpstr>第三面_2504!Print_Area</vt:lpstr>
      <vt:lpstr>第二面!Print_Area</vt:lpstr>
      <vt:lpstr>注意欄_参照用!Print_Area</vt:lpstr>
      <vt:lpstr>追加記入欄!Print_Area</vt:lpstr>
      <vt:lpstr>追加説明書_確認!Print_Area</vt:lpstr>
      <vt:lpstr>追加説明書_完了!Print_Area</vt:lpstr>
      <vt:lpstr>別紙_建築主設置者又は築造主!Print_Area</vt:lpstr>
      <vt:lpstr>連絡メモ!Print_Area</vt:lpstr>
      <vt:lpstr>受付連絡票!Print_Titles</vt:lpstr>
      <vt:lpstr>shinsei_build_p6_01_PAGE6_KOUZOU_KEISAN_KIND__002</vt:lpstr>
      <vt:lpstr>shinsei_build_p6_01_PAGE6_KOUZOU_KEISAN_KIND__004</vt:lpstr>
      <vt:lpstr>shinsei_build_p6_01_PAGE6_KOUZOU_KEISAN_KIND__005</vt:lpstr>
      <vt:lpstr>shinsei_build_YOUTO</vt:lpstr>
      <vt:lpstr>shinsei_HIKIUKE_DATE</vt:lpstr>
      <vt:lpstr>shinsei_ISSUE_DATE</vt:lpstr>
      <vt:lpstr>shinsei_ISSUE_KOUFU_NAME</vt:lpstr>
      <vt:lpstr>shinsei_ISSUE_NO</vt:lpstr>
      <vt:lpstr>shinsei_KAKU_SUMI_KOUFU_DATE</vt:lpstr>
      <vt:lpstr>shinsei_KAKU_SUMI_KOUFU_NAME</vt:lpstr>
      <vt:lpstr>shinsei_KAKU_SUMI_NO</vt:lpstr>
      <vt:lpstr>shinsei_PROVO_DATE</vt:lpstr>
      <vt:lpstr>shinsei_PROVO_NO</vt:lpstr>
      <vt:lpstr>shinsei_UKETUKE_NO</vt:lpstr>
      <vt:lpstr>shinsei_UNIT_COUNT</vt:lpstr>
      <vt:lpstr>showsheetflag_cst_DATA</vt:lpstr>
      <vt:lpstr>showsheetflag_dAName</vt:lpstr>
      <vt:lpstr>showsheetflag_DATA</vt:lpstr>
      <vt:lpstr>showsheetflag_dSHEET</vt:lpstr>
      <vt:lpstr>showsheetflag_dSTART</vt:lpstr>
      <vt:lpstr>showsheetflag_NoObject</vt:lpstr>
      <vt:lpstr>showsheetflag_リスト</vt:lpstr>
      <vt:lpstr>showsheetflag_委任状_建築主押印あり</vt:lpstr>
      <vt:lpstr>showsheetflag_委任状_建築主押印なし</vt:lpstr>
      <vt:lpstr>showsheetflag_仮使用_計画通知_第一面</vt:lpstr>
      <vt:lpstr>showsheetflag_仮使用_第一面</vt:lpstr>
      <vt:lpstr>showsheetflag_仮使用_第一面_別紙_手数料請求先</vt:lpstr>
      <vt:lpstr>showsheetflag_仮使用_第一面_別紙_申請者</vt:lpstr>
      <vt:lpstr>showsheetflag_仮使用_第二面</vt:lpstr>
      <vt:lpstr>showsheetflag_仮使用_第二面_別紙_建築主等</vt:lpstr>
      <vt:lpstr>showsheetflag_仮使用_注意</vt:lpstr>
      <vt:lpstr>showsheetflag_概要三面</vt:lpstr>
      <vt:lpstr>showsheetflag_概要二面</vt:lpstr>
      <vt:lpstr>showsheetflag_確認申請第一面</vt:lpstr>
      <vt:lpstr>showsheetflag_記載事項変更届</vt:lpstr>
      <vt:lpstr>showsheetflag_計変第一面</vt:lpstr>
      <vt:lpstr>showsheetflag_軽微な変更説明書</vt:lpstr>
      <vt:lpstr>showsheetflag_建築概要一面</vt:lpstr>
      <vt:lpstr>showsheetflag_建築工事届_2410</vt:lpstr>
      <vt:lpstr>showsheetflag_建築主等変更届</vt:lpstr>
      <vt:lpstr>showsheetflag_建築主用変更届_補足用</vt:lpstr>
      <vt:lpstr>showsheetflag_工事監理者変更届</vt:lpstr>
      <vt:lpstr>showsheetflag_工事監理者変更届_補足用</vt:lpstr>
      <vt:lpstr>showsheetflag_工事施工者変更届</vt:lpstr>
      <vt:lpstr>showsheetflag_項目リスト</vt:lpstr>
      <vt:lpstr>showsheetflag_受付連絡票</vt:lpstr>
      <vt:lpstr>showsheetflag_省エネ適判_委任状_押印あり</vt:lpstr>
      <vt:lpstr>showsheetflag_省エネ適判_委任状_押印なし</vt:lpstr>
      <vt:lpstr>showsheetflag_省エネ適判_記載事項変更届</vt:lpstr>
      <vt:lpstr>showsheetflag_省エネ適判_取下げ届</vt:lpstr>
      <vt:lpstr>showsheetflag_省エネ適判_追加説明書</vt:lpstr>
      <vt:lpstr>showsheetflag_申請者別紙</vt:lpstr>
      <vt:lpstr>showsheetflag_申請取下届</vt:lpstr>
      <vt:lpstr>showsheetflag_設計者が複数の場合の別紙</vt:lpstr>
      <vt:lpstr>showsheetflag_説明</vt:lpstr>
      <vt:lpstr>showsheetflag_代理者に変更があるときの別紙</vt:lpstr>
      <vt:lpstr>showsheetflag_第五面</vt:lpstr>
      <vt:lpstr>showsheetflag_第三面_2504</vt:lpstr>
      <vt:lpstr>showsheetflag_第四面_2504</vt:lpstr>
      <vt:lpstr>showsheetflag_第二面</vt:lpstr>
      <vt:lpstr>showsheetflag_第六面</vt:lpstr>
      <vt:lpstr>showsheetflag_注意欄_参照用</vt:lpstr>
      <vt:lpstr>showsheetflag_追加記入欄</vt:lpstr>
      <vt:lpstr>showsheetflag_追加説明書_確認</vt:lpstr>
      <vt:lpstr>showsheetflag_追加説明書_完了</vt:lpstr>
      <vt:lpstr>showsheetflag_別紙_建築主設置者又は築造主</vt:lpstr>
      <vt:lpstr>showsheetflag_用途の区分</vt:lpstr>
      <vt:lpstr>showsheetflag_用途番号用</vt:lpstr>
      <vt:lpstr>showsheetflag_連絡メモ</vt:lpstr>
      <vt:lpstr>wsecoteki_APPLICANT_NAME</vt:lpstr>
      <vt:lpstr>wsecoteki_BUILD__address</vt:lpstr>
      <vt:lpstr>wsecoteki_BUILD_ADDRESS</vt:lpstr>
      <vt:lpstr>wsecoteki_BUILD_KEN__ken</vt:lpstr>
      <vt:lpstr>wsecoteki_BUILD_NAME</vt:lpstr>
      <vt:lpstr>wsecoteki_dairi1__address</vt:lpstr>
      <vt:lpstr>wsecoteki_dairi1__sikaku</vt:lpstr>
      <vt:lpstr>wsecoteki_dairi1_FAX</vt:lpstr>
      <vt:lpstr>wsecoteki_dairi1_JIMU__sikaku</vt:lpstr>
      <vt:lpstr>wsecoteki_dairi1_JIMU_NAME</vt:lpstr>
      <vt:lpstr>wsecoteki_dairi1_JIMU_NAME_KANA</vt:lpstr>
      <vt:lpstr>wsecoteki_dairi1_JIMU_NO</vt:lpstr>
      <vt:lpstr>wsecoteki_dairi1_JIMU_SIKAKU__label</vt:lpstr>
      <vt:lpstr>wsecoteki_dairi1_JIMU_TOUROKU_KIKAN__label</vt:lpstr>
      <vt:lpstr>wsecoteki_dairi1_KENTIKUSI_NO</vt:lpstr>
      <vt:lpstr>wsecoteki_dairi1_NAME</vt:lpstr>
      <vt:lpstr>wsecoteki_dairi1_NAME_KANA</vt:lpstr>
      <vt:lpstr>wsecoteki_dairi1_POST</vt:lpstr>
      <vt:lpstr>wsecoteki_dairi1_POST_KANA</vt:lpstr>
      <vt:lpstr>wsecoteki_dairi1_SIKAKU__label</vt:lpstr>
      <vt:lpstr>wsecoteki_dairi1_TEL</vt:lpstr>
      <vt:lpstr>wsecoteki_dairi1_TOUROKU_KIKAN__label</vt:lpstr>
      <vt:lpstr>wsecoteki_dairi1_ZIP</vt:lpstr>
      <vt:lpstr>wsecoteki_owner1__address</vt:lpstr>
      <vt:lpstr>wsecoteki_owner1_JIMU_NAME</vt:lpstr>
      <vt:lpstr>wsecoteki_owner1_JIMU_NAME_KANA</vt:lpstr>
      <vt:lpstr>wsecoteki_owner1_NAME</vt:lpstr>
      <vt:lpstr>wsecoteki_owner1_NAME_KANA</vt:lpstr>
      <vt:lpstr>wsecoteki_owner1_POST</vt:lpstr>
      <vt:lpstr>wsecoteki_owner1_POST_KANA</vt:lpstr>
      <vt:lpstr>wsecoteki_owner1_TEL</vt:lpstr>
      <vt:lpstr>wsecoteki_owner1_ZIP</vt:lpstr>
      <vt:lpstr>wsecoteki_owner2__address</vt:lpstr>
      <vt:lpstr>wsecoteki_owner2_JIMU_NAME</vt:lpstr>
      <vt:lpstr>wsecoteki_owner2_JIMU_NAME_KANA</vt:lpstr>
      <vt:lpstr>wsecoteki_owner2_NAME</vt:lpstr>
      <vt:lpstr>wsecoteki_owner2_NAME_KANA</vt:lpstr>
      <vt:lpstr>wsecoteki_owner2_POST</vt:lpstr>
      <vt:lpstr>wsecoteki_owner2_POST_KANA</vt:lpstr>
      <vt:lpstr>wsecoteki_owner2_TEL</vt:lpstr>
      <vt:lpstr>wsecoteki_owner2_ZIP</vt:lpstr>
      <vt:lpstr>wsflat35_dairi1_POST</vt:lpstr>
      <vt:lpstr>wsjob_JOB_INPUT_VERSION</vt:lpstr>
      <vt:lpstr>wsjob_JOB_KIND</vt:lpstr>
      <vt:lpstr>wsjob_JOB_SET_KIND</vt:lpstr>
      <vt:lpstr>wsjob_TARGET_KIND</vt:lpstr>
      <vt:lpstr>wsjob_TARGET_KIND__label</vt:lpstr>
      <vt:lpstr>wskakunin__bouka</vt:lpstr>
      <vt:lpstr>wskakunin__kouji</vt:lpstr>
      <vt:lpstr>wskakunin__kuiki</vt:lpstr>
      <vt:lpstr>wskakunin__tosi_kuiki</vt:lpstr>
      <vt:lpstr>wskakunin_20kouzou101_KOUZOUSEKKEI_KOUFU_NO</vt:lpstr>
      <vt:lpstr>wskakunin_20kouzou101_NAME</vt:lpstr>
      <vt:lpstr>wskakunin_20kouzou102_KOUZOUSEKKEI_KOUFU_NO</vt:lpstr>
      <vt:lpstr>wskakunin_20kouzou102_NAME</vt:lpstr>
      <vt:lpstr>wskakunin_20kouzou103_KOUZOUSEKKEI_KOUFU_NO</vt:lpstr>
      <vt:lpstr>wskakunin_20kouzou103_NAME</vt:lpstr>
      <vt:lpstr>wskakunin_20kouzou104_KOUZOUSEKKEI_KOUFU_NO</vt:lpstr>
      <vt:lpstr>wskakunin_20kouzou104_NAME</vt:lpstr>
      <vt:lpstr>wskakunin_20kouzou105_KOUZOUSEKKEI_KOUFU_NO</vt:lpstr>
      <vt:lpstr>wskakunin_20kouzou105_NAME</vt:lpstr>
      <vt:lpstr>wskakunin_20kouzou301_KOUZOUSEKKEI_KOUFU_NO</vt:lpstr>
      <vt:lpstr>wskakunin_20kouzou301_NAME</vt:lpstr>
      <vt:lpstr>wskakunin_20kouzou302_KOUZOUSEKKEI_KOUFU_NO</vt:lpstr>
      <vt:lpstr>wskakunin_20kouzou302_NAME</vt:lpstr>
      <vt:lpstr>wskakunin_20kouzou303_KOUZOUSEKKEI_KOUFU_NO</vt:lpstr>
      <vt:lpstr>wskakunin_20kouzou303_NAME</vt:lpstr>
      <vt:lpstr>wskakunin_20kouzou304_KOUZOUSEKKEI_KOUFU_NO</vt:lpstr>
      <vt:lpstr>wskakunin_20kouzou304_NAME</vt:lpstr>
      <vt:lpstr>wskakunin_20kouzou305_KOUZOUSEKKEI_KOUFU_NO</vt:lpstr>
      <vt:lpstr>wskakunin_20kouzou305_NAME</vt:lpstr>
      <vt:lpstr>wskakunin_20setubi101_NAME</vt:lpstr>
      <vt:lpstr>wskakunin_20setubi101_SETUBISEKKEI_KOUFU_NO</vt:lpstr>
      <vt:lpstr>wskakunin_20setubi102_NAME</vt:lpstr>
      <vt:lpstr>wskakunin_20setubi102_SETUBISEKKEI_KOUFU_NO</vt:lpstr>
      <vt:lpstr>wskakunin_20setubi103_NAME</vt:lpstr>
      <vt:lpstr>wskakunin_20setubi103_SETUBISEKKEI_KOUFU_NO</vt:lpstr>
      <vt:lpstr>wskakunin_20setubi104_NAME</vt:lpstr>
      <vt:lpstr>wskakunin_20setubi104_SETUBISEKKEI_KOUFU_NO</vt:lpstr>
      <vt:lpstr>wskakunin_20setubi105_NAME</vt:lpstr>
      <vt:lpstr>wskakunin_20setubi105_SETUBISEKKEI_KOUFU_NO</vt:lpstr>
      <vt:lpstr>wskakunin_20setubi301_NAME</vt:lpstr>
      <vt:lpstr>wskakunin_20setubi301_SETUBISEKKEI_KOUFU_NO</vt:lpstr>
      <vt:lpstr>wskakunin_20setubi302_NAME</vt:lpstr>
      <vt:lpstr>wskakunin_20setubi302_SETUBISEKKEI_KOUFU_NO</vt:lpstr>
      <vt:lpstr>wskakunin_20setubi303_NAME</vt:lpstr>
      <vt:lpstr>wskakunin_20setubi303_SETUBISEKKEI_KOUFU_NO</vt:lpstr>
      <vt:lpstr>wskakunin_20setubi304_NAME</vt:lpstr>
      <vt:lpstr>wskakunin_20setubi304_SETUBISEKKEI_KOUFU_NO</vt:lpstr>
      <vt:lpstr>wskakunin_20setubi305_NAME</vt:lpstr>
      <vt:lpstr>wskakunin_20setubi305_SETUBISEKKEI_KOUFU_NO</vt:lpstr>
      <vt:lpstr>wskakunin_APPLICANT_NAME</vt:lpstr>
      <vt:lpstr>wskakunin_BOUKA_22JYO</vt:lpstr>
      <vt:lpstr>wskakunin_BOUKA_BOUKA</vt:lpstr>
      <vt:lpstr>wskakunin_BOUKA_JYUN_BOUKA</vt:lpstr>
      <vt:lpstr>wskakunin_BOUKA_NASI</vt:lpstr>
      <vt:lpstr>wskakunin_BOUKA_SETUBI_FLAG</vt:lpstr>
      <vt:lpstr>wskakunin_BUILD__address</vt:lpstr>
      <vt:lpstr>wskakunin_BUILD_ADDRESS</vt:lpstr>
      <vt:lpstr>wskakunin_BUILD_JYUKYO__address</vt:lpstr>
      <vt:lpstr>wskakunin_BUILD_JYUKYO_ADDRESS</vt:lpstr>
      <vt:lpstr>wskakunin_BUILD_JYUKYO_KEN__ken</vt:lpstr>
      <vt:lpstr>wskakunin_BUILD_KEN__ken</vt:lpstr>
      <vt:lpstr>wskakunin_BUILD_NAME</vt:lpstr>
      <vt:lpstr>wskakunin_BUILD_NAME_KANA</vt:lpstr>
      <vt:lpstr>wskakunin_BUILD_SHINSEI_COUNT</vt:lpstr>
      <vt:lpstr>wskakunin_BUILD_SONOTA_COUNT</vt:lpstr>
      <vt:lpstr>wskakunin_dairi1__address</vt:lpstr>
      <vt:lpstr>wskakunin_dairi1__sikaku</vt:lpstr>
      <vt:lpstr>wskakunin_dairi1_FAX</vt:lpstr>
      <vt:lpstr>wskakunin_dairi1_JIMU__sikaku</vt:lpstr>
      <vt:lpstr>wskakunin_dairi1_JIMU_NAME</vt:lpstr>
      <vt:lpstr>wskakunin_dairi1_JIMU_NO</vt:lpstr>
      <vt:lpstr>wskakunin_dairi1_JIMU_SIKAKU__label</vt:lpstr>
      <vt:lpstr>wskakunin_dairi1_JIMU_TOUROKU_KIKAN__label</vt:lpstr>
      <vt:lpstr>wskakunin_dairi1_KENTIKUSI_NO</vt:lpstr>
      <vt:lpstr>wskakunin_dairi1_NAME</vt:lpstr>
      <vt:lpstr>wskakunin_dairi1_NAME_KANA</vt:lpstr>
      <vt:lpstr>wskakunin_dairi1_SIKAKU__label</vt:lpstr>
      <vt:lpstr>wskakunin_dairi1_TEL</vt:lpstr>
      <vt:lpstr>wskakunin_dairi1_TOUROKU_KIKAN__label</vt:lpstr>
      <vt:lpstr>wskakunin_dairi1_ZIP</vt:lpstr>
      <vt:lpstr>wskakunin_dairi2__address</vt:lpstr>
      <vt:lpstr>wskakunin_dairi2__sikaku</vt:lpstr>
      <vt:lpstr>wskakunin_dairi2_FAX</vt:lpstr>
      <vt:lpstr>wskakunin_dairi2_JIMU__sikaku</vt:lpstr>
      <vt:lpstr>wskakunin_dairi2_JIMU_NAME</vt:lpstr>
      <vt:lpstr>wskakunin_dairi2_JIMU_NO</vt:lpstr>
      <vt:lpstr>wskakunin_dairi2_JIMU_SIKAKU__label</vt:lpstr>
      <vt:lpstr>wskakunin_dairi2_JIMU_TOUROKU_KIKAN__label</vt:lpstr>
      <vt:lpstr>wskakunin_dairi2_KENTIKUSI_NO</vt:lpstr>
      <vt:lpstr>wskakunin_dairi2_NAME</vt:lpstr>
      <vt:lpstr>wskakunin_dairi2_NAME_KANA</vt:lpstr>
      <vt:lpstr>wskakunin_dairi2_SIKAKU__label</vt:lpstr>
      <vt:lpstr>wskakunin_dairi2_TEL</vt:lpstr>
      <vt:lpstr>wskakunin_dairi2_TOUROKU_KIKAN__label</vt:lpstr>
      <vt:lpstr>wskakunin_dairi2_ZIP</vt:lpstr>
      <vt:lpstr>wskakunin_dairi3__address</vt:lpstr>
      <vt:lpstr>wskakunin_dairi3__sikaku</vt:lpstr>
      <vt:lpstr>wskakunin_dairi3_FAX</vt:lpstr>
      <vt:lpstr>wskakunin_dairi3_JIMU__sikaku</vt:lpstr>
      <vt:lpstr>wskakunin_dairi3_JIMU_NAME</vt:lpstr>
      <vt:lpstr>wskakunin_dairi3_JIMU_NO</vt:lpstr>
      <vt:lpstr>wskakunin_dairi3_JIMU_SIKAKU__label</vt:lpstr>
      <vt:lpstr>wskakunin_dairi3_JIMU_TOUROKU_KIKAN__label</vt:lpstr>
      <vt:lpstr>wskakunin_dairi3_KENTIKUSI_NO</vt:lpstr>
      <vt:lpstr>wskakunin_dairi3_NAME</vt:lpstr>
      <vt:lpstr>wskakunin_dairi3_NAME_KANA</vt:lpstr>
      <vt:lpstr>wskakunin_dairi3_SIKAKU__label</vt:lpstr>
      <vt:lpstr>wskakunin_dairi3_TEL</vt:lpstr>
      <vt:lpstr>wskakunin_dairi3_TOUROKU_KIKAN__label</vt:lpstr>
      <vt:lpstr>wskakunin_dairi3_ZIP</vt:lpstr>
      <vt:lpstr>wskakunin_dairi4__address</vt:lpstr>
      <vt:lpstr>wskakunin_dairi4__sikaku</vt:lpstr>
      <vt:lpstr>wskakunin_dairi4_FAX</vt:lpstr>
      <vt:lpstr>wskakunin_dairi4_JIMU__sikaku</vt:lpstr>
      <vt:lpstr>wskakunin_dairi4_JIMU_NAME</vt:lpstr>
      <vt:lpstr>wskakunin_dairi4_JIMU_NO</vt:lpstr>
      <vt:lpstr>wskakunin_dairi4_JIMU_SIKAKU__label</vt:lpstr>
      <vt:lpstr>wskakunin_dairi4_JIMU_TOUROKU_KIKAN__label</vt:lpstr>
      <vt:lpstr>wskakunin_dairi4_KENTIKUSI_NO</vt:lpstr>
      <vt:lpstr>wskakunin_dairi4_NAME</vt:lpstr>
      <vt:lpstr>wskakunin_dairi4_NAME_KANA</vt:lpstr>
      <vt:lpstr>wskakunin_dairi4_SIKAKU__label</vt:lpstr>
      <vt:lpstr>wskakunin_dairi4_TEL</vt:lpstr>
      <vt:lpstr>wskakunin_dairi4_TOUROKU_KIKAN__label</vt:lpstr>
      <vt:lpstr>wskakunin_dairi4_ZIP</vt:lpstr>
      <vt:lpstr>wskakunin_dairi5__address</vt:lpstr>
      <vt:lpstr>wskakunin_dairi5__sikaku</vt:lpstr>
      <vt:lpstr>wskakunin_dairi5_FAX</vt:lpstr>
      <vt:lpstr>wskakunin_dairi5_JIMU__sikaku</vt:lpstr>
      <vt:lpstr>wskakunin_dairi5_JIMU_NAME</vt:lpstr>
      <vt:lpstr>wskakunin_dairi5_JIMU_NO</vt:lpstr>
      <vt:lpstr>wskakunin_dairi5_JIMU_SIKAKU__label</vt:lpstr>
      <vt:lpstr>wskakunin_dairi5_JIMU_TOUROKU_KIKAN__label</vt:lpstr>
      <vt:lpstr>wskakunin_dairi5_KENTIKUSI_NO</vt:lpstr>
      <vt:lpstr>wskakunin_dairi5_NAME</vt:lpstr>
      <vt:lpstr>wskakunin_dairi5_NAME_KANA</vt:lpstr>
      <vt:lpstr>wskakunin_dairi5_SIKAKU__label</vt:lpstr>
      <vt:lpstr>wskakunin_dairi5_TEL</vt:lpstr>
      <vt:lpstr>wskakunin_dairi5_TOUROKU_KIKAN__label</vt:lpstr>
      <vt:lpstr>wskakunin_dairi5_ZIP</vt:lpstr>
      <vt:lpstr>wskakunin_dairi6__address</vt:lpstr>
      <vt:lpstr>wskakunin_dairi6__sikaku</vt:lpstr>
      <vt:lpstr>wskakunin_dairi6_FAX</vt:lpstr>
      <vt:lpstr>wskakunin_dairi6_JIMU__sikaku</vt:lpstr>
      <vt:lpstr>wskakunin_dairi6_JIMU_NAME</vt:lpstr>
      <vt:lpstr>wskakunin_dairi6_JIMU_NO</vt:lpstr>
      <vt:lpstr>wskakunin_dairi6_JIMU_SIKAKU__label</vt:lpstr>
      <vt:lpstr>wskakunin_dairi6_JIMU_TOUROKU_KIKAN__label</vt:lpstr>
      <vt:lpstr>wskakunin_dairi6_KENTIKUSI_NO</vt:lpstr>
      <vt:lpstr>wskakunin_dairi6_NAME</vt:lpstr>
      <vt:lpstr>wskakunin_dairi6_NAME_KANA</vt:lpstr>
      <vt:lpstr>wskakunin_dairi6_SIKAKU__label</vt:lpstr>
      <vt:lpstr>wskakunin_dairi6_TEL</vt:lpstr>
      <vt:lpstr>wskakunin_dairi6_TOUROKU_KIKAN__label</vt:lpstr>
      <vt:lpstr>wskakunin_dairi6_ZIP</vt:lpstr>
      <vt:lpstr>wskakunin_dairi7__address</vt:lpstr>
      <vt:lpstr>wskakunin_dairi7__sikaku</vt:lpstr>
      <vt:lpstr>wskakunin_dairi7_FAX</vt:lpstr>
      <vt:lpstr>wskakunin_dairi7_JIMU__sikaku</vt:lpstr>
      <vt:lpstr>wskakunin_dairi7_JIMU_NAME</vt:lpstr>
      <vt:lpstr>wskakunin_dairi7_JIMU_NO</vt:lpstr>
      <vt:lpstr>wskakunin_dairi7_JIMU_SIKAKU__label</vt:lpstr>
      <vt:lpstr>wskakunin_dairi7_JIMU_TOUROKU_KIKAN__label</vt:lpstr>
      <vt:lpstr>wskakunin_dairi7_KENTIKUSI_NO</vt:lpstr>
      <vt:lpstr>wskakunin_dairi7_NAME</vt:lpstr>
      <vt:lpstr>wskakunin_dairi7_NAME_KANA</vt:lpstr>
      <vt:lpstr>wskakunin_dairi7_SIKAKU__label</vt:lpstr>
      <vt:lpstr>wskakunin_dairi7_TEL</vt:lpstr>
      <vt:lpstr>wskakunin_dairi7_TOUROKU_KIKAN__label</vt:lpstr>
      <vt:lpstr>wskakunin_dairi7_ZIP</vt:lpstr>
      <vt:lpstr>wskakunin_dairi8__address</vt:lpstr>
      <vt:lpstr>wskakunin_dairi8__sikaku</vt:lpstr>
      <vt:lpstr>wskakunin_dairi8_FAX</vt:lpstr>
      <vt:lpstr>wskakunin_dairi8_JIMU__sikaku</vt:lpstr>
      <vt:lpstr>wskakunin_dairi8_JIMU_NAME</vt:lpstr>
      <vt:lpstr>wskakunin_dairi8_JIMU_NO</vt:lpstr>
      <vt:lpstr>wskakunin_dairi8_JIMU_SIKAKU__label</vt:lpstr>
      <vt:lpstr>wskakunin_dairi8_JIMU_TOUROKU_KIKAN__label</vt:lpstr>
      <vt:lpstr>wskakunin_dairi8_KENTIKUSI_NO</vt:lpstr>
      <vt:lpstr>wskakunin_dairi8_NAME</vt:lpstr>
      <vt:lpstr>wskakunin_dairi8_NAME_KANA</vt:lpstr>
      <vt:lpstr>wskakunin_dairi8_SIKAKU__label</vt:lpstr>
      <vt:lpstr>wskakunin_dairi8_TEL</vt:lpstr>
      <vt:lpstr>wskakunin_dairi8_TOUROKU_KIKAN__label</vt:lpstr>
      <vt:lpstr>wskakunin_dairi8_ZIP</vt:lpstr>
      <vt:lpstr>wskakunin_DOURO_FUKUIN</vt:lpstr>
      <vt:lpstr>wskakunin_DOURO_NAGASA</vt:lpstr>
      <vt:lpstr>wskakunin_ecotekihan01_FUYOU_CAUSE</vt:lpstr>
      <vt:lpstr>wskakunin_ecotekihan01_TEKIHAN_KIKAN_ADDRESS</vt:lpstr>
      <vt:lpstr>wskakunin_ecotekihan01_TEKIHAN_KIKAN_KEN__ken</vt:lpstr>
      <vt:lpstr>wskakunin_ecotekihan01_TEKIHAN_KIKAN_NAME</vt:lpstr>
      <vt:lpstr>wskakunin_ecotekihan01_TEKIHAN_STATE</vt:lpstr>
      <vt:lpstr>wskakunin_gaiyou1_EV_KIND</vt:lpstr>
      <vt:lpstr>wskakunin_gaiyou1_KOUJI_KAITIKU</vt:lpstr>
      <vt:lpstr>wskakunin_gaiyou1_KOUJI_SINTIKU</vt:lpstr>
      <vt:lpstr>wskakunin_gaiyou1_KOUJI_SONOTA</vt:lpstr>
      <vt:lpstr>wskakunin_gaiyou1_KOUJI_SONOTA_TEXT</vt:lpstr>
      <vt:lpstr>wskakunin_gaiyou1_KOUJI_ZOUTIKU</vt:lpstr>
      <vt:lpstr>wskakunin_gaiyou1_KOUZOU</vt:lpstr>
      <vt:lpstr>wskakunin_gaiyou1_NINSYOU_NO</vt:lpstr>
      <vt:lpstr>wskakunin_gaiyou1_NO</vt:lpstr>
      <vt:lpstr>wskakunin_gaiyou1_SEKISAI</vt:lpstr>
      <vt:lpstr>wskakunin_gaiyou1_SONOTA</vt:lpstr>
      <vt:lpstr>wskakunin_gaiyou1_SONOTA_and_NINSYOU_NO</vt:lpstr>
      <vt:lpstr>wskakunin_gaiyou1_SPEED</vt:lpstr>
      <vt:lpstr>wskakunin_gaiyou1_TAKASA</vt:lpstr>
      <vt:lpstr>wskakunin_gaiyou1_TEIIN</vt:lpstr>
      <vt:lpstr>wskakunin_gaiyou1_TIKUZOU_MENSEKI_IGAI</vt:lpstr>
      <vt:lpstr>wskakunin_gaiyou1_TIKUZOU_MENSEKI_SHINSEI</vt:lpstr>
      <vt:lpstr>wskakunin_gaiyou1_TIKUZOU_MENSEKI_TOTAL</vt:lpstr>
      <vt:lpstr>wskakunin_gaiyou1_WORK_COUNT_IGAI</vt:lpstr>
      <vt:lpstr>wskakunin_gaiyou1_WORK_COUNT_SHINSEI</vt:lpstr>
      <vt:lpstr>wskakunin_gaiyou1_WORK_COUNT_TOTAL</vt:lpstr>
      <vt:lpstr>wskakunin_gaiyou1_WORK_SYURUI</vt:lpstr>
      <vt:lpstr>wskakunin_gaiyou1_WORK_SYURUI_CODE</vt:lpstr>
      <vt:lpstr>wskakunin_gaiyou1_YOUTO</vt:lpstr>
      <vt:lpstr>wskakunin_iken1__address</vt:lpstr>
      <vt:lpstr>wskakunin_iken1_DOC</vt:lpstr>
      <vt:lpstr>wskakunin_iken1_IKEN_NO</vt:lpstr>
      <vt:lpstr>wskakunin_iken1_JIMU_NAME</vt:lpstr>
      <vt:lpstr>wskakunin_iken1_NAME</vt:lpstr>
      <vt:lpstr>wskakunin_iken1_TEL</vt:lpstr>
      <vt:lpstr>wskakunin_iken1_ZIP</vt:lpstr>
      <vt:lpstr>wskakunin_iken2__address</vt:lpstr>
      <vt:lpstr>wskakunin_iken2_DOC</vt:lpstr>
      <vt:lpstr>wskakunin_iken2_IKEN_NO</vt:lpstr>
      <vt:lpstr>wskakunin_iken2_JIMU_NAME</vt:lpstr>
      <vt:lpstr>wskakunin_iken2_NAME</vt:lpstr>
      <vt:lpstr>wskakunin_iken2_TEL</vt:lpstr>
      <vt:lpstr>wskakunin_iken2_ZIP</vt:lpstr>
      <vt:lpstr>wskakunin_iken3__address</vt:lpstr>
      <vt:lpstr>wskakunin_iken3_DOC</vt:lpstr>
      <vt:lpstr>wskakunin_iken3_IKEN_NO</vt:lpstr>
      <vt:lpstr>wskakunin_iken3_JIMU_NAME</vt:lpstr>
      <vt:lpstr>wskakunin_iken3_NAME</vt:lpstr>
      <vt:lpstr>wskakunin_iken3_TEL</vt:lpstr>
      <vt:lpstr>wskakunin_iken3_ZIP</vt:lpstr>
      <vt:lpstr>wskakunin_iken4__address</vt:lpstr>
      <vt:lpstr>wskakunin_iken4_DOC</vt:lpstr>
      <vt:lpstr>wskakunin_iken4_IKEN_NO</vt:lpstr>
      <vt:lpstr>wskakunin_iken4_JIMU_NAME</vt:lpstr>
      <vt:lpstr>wskakunin_iken4_NAME</vt:lpstr>
      <vt:lpstr>wskakunin_iken4_TEL</vt:lpstr>
      <vt:lpstr>wskakunin_iken4_ZIP</vt:lpstr>
      <vt:lpstr>wskakunin_iken5__address</vt:lpstr>
      <vt:lpstr>wskakunin_iken5_DOC</vt:lpstr>
      <vt:lpstr>wskakunin_iken5_IKEN_NO</vt:lpstr>
      <vt:lpstr>wskakunin_iken5_JIMU_NAME</vt:lpstr>
      <vt:lpstr>wskakunin_iken5_NAME</vt:lpstr>
      <vt:lpstr>wskakunin_iken5_TEL</vt:lpstr>
      <vt:lpstr>wskakunin_iken5_ZIP</vt:lpstr>
      <vt:lpstr>wskakunin_KAISU_TIJYOU_SHINSEI</vt:lpstr>
      <vt:lpstr>wskakunin_KAISU_TIJYOU_SONOTA</vt:lpstr>
      <vt:lpstr>wskakunin_KAISU_TIKA_SHINSEI__zero</vt:lpstr>
      <vt:lpstr>wskakunin_KAISU_TIKA_SONOTA</vt:lpstr>
      <vt:lpstr>wskakunin_kanri1__address</vt:lpstr>
      <vt:lpstr>wskakunin_kanri1__sikaku</vt:lpstr>
      <vt:lpstr>wskakunin_kanri1_DOC</vt:lpstr>
      <vt:lpstr>wskakunin_kanri1_JIMU__sikaku</vt:lpstr>
      <vt:lpstr>wskakunin_kanri1_JIMU_NAME</vt:lpstr>
      <vt:lpstr>wskakunin_kanri1_JIMU_NO</vt:lpstr>
      <vt:lpstr>wskakunin_kanri1_JIMU_SIKAKU__label</vt:lpstr>
      <vt:lpstr>wskakunin_kanri1_JIMU_TOUROKU_KIKAN__label</vt:lpstr>
      <vt:lpstr>wskakunin_kanri1_KENTIKUSI_NO</vt:lpstr>
      <vt:lpstr>wskakunin_kanri1_NAME</vt:lpstr>
      <vt:lpstr>wskakunin_kanri1_SIKAKU__label</vt:lpstr>
      <vt:lpstr>wskakunin_kanri1_TEL</vt:lpstr>
      <vt:lpstr>wskakunin_kanri1_TOUROKU_KIKAN__label</vt:lpstr>
      <vt:lpstr>wskakunin_kanri1_ZIP</vt:lpstr>
      <vt:lpstr>wskakunin_kanri10__address</vt:lpstr>
      <vt:lpstr>wskakunin_kanri10__sikaku</vt:lpstr>
      <vt:lpstr>wskakunin_kanri10_DOC</vt:lpstr>
      <vt:lpstr>wskakunin_kanri10_JIMU__sikaku</vt:lpstr>
      <vt:lpstr>wskakunin_kanri10_JIMU_NAME</vt:lpstr>
      <vt:lpstr>wskakunin_kanri10_JIMU_NO</vt:lpstr>
      <vt:lpstr>wskakunin_kanri10_JIMU_SIKAKU__label</vt:lpstr>
      <vt:lpstr>wskakunin_kanri10_JIMU_TOUROKU_KIKAN__label</vt:lpstr>
      <vt:lpstr>wskakunin_kanri10_KENTIKUSI_NO</vt:lpstr>
      <vt:lpstr>wskakunin_kanri10_NAME</vt:lpstr>
      <vt:lpstr>wskakunin_kanri10_SIKAKU__label</vt:lpstr>
      <vt:lpstr>wskakunin_kanri10_TEL</vt:lpstr>
      <vt:lpstr>wskakunin_kanri10_TOUROKU_KIKAN__label</vt:lpstr>
      <vt:lpstr>wskakunin_kanri10_ZIP</vt:lpstr>
      <vt:lpstr>wskakunin_kanri11__address</vt:lpstr>
      <vt:lpstr>wskakunin_kanri11__sikaku</vt:lpstr>
      <vt:lpstr>wskakunin_kanri11_DOC</vt:lpstr>
      <vt:lpstr>wskakunin_kanri11_JIMU__sikaku</vt:lpstr>
      <vt:lpstr>wskakunin_kanri11_JIMU_NAME</vt:lpstr>
      <vt:lpstr>wskakunin_kanri11_JIMU_NO</vt:lpstr>
      <vt:lpstr>wskakunin_kanri11_JIMU_SIKAKU__label</vt:lpstr>
      <vt:lpstr>wskakunin_kanri11_JIMU_TOUROKU_KIKAN__label</vt:lpstr>
      <vt:lpstr>wskakunin_kanri11_KENTIKUSI_NO</vt:lpstr>
      <vt:lpstr>wskakunin_kanri11_NAME</vt:lpstr>
      <vt:lpstr>wskakunin_kanri11_SIKAKU__label</vt:lpstr>
      <vt:lpstr>wskakunin_kanri11_TEL</vt:lpstr>
      <vt:lpstr>wskakunin_kanri11_TOUROKU_KIKAN__label</vt:lpstr>
      <vt:lpstr>wskakunin_kanri11_ZIP</vt:lpstr>
      <vt:lpstr>wskakunin_kanri12__address</vt:lpstr>
      <vt:lpstr>wskakunin_kanri12__sikaku</vt:lpstr>
      <vt:lpstr>wskakunin_kanri12_DOC</vt:lpstr>
      <vt:lpstr>wskakunin_kanri12_JIMU__sikaku</vt:lpstr>
      <vt:lpstr>wskakunin_kanri12_JIMU_NAME</vt:lpstr>
      <vt:lpstr>wskakunin_kanri12_JIMU_NO</vt:lpstr>
      <vt:lpstr>wskakunin_kanri12_JIMU_SIKAKU__label</vt:lpstr>
      <vt:lpstr>wskakunin_kanri12_JIMU_TOUROKU_KIKAN__label</vt:lpstr>
      <vt:lpstr>wskakunin_kanri12_KENTIKUSI_NO</vt:lpstr>
      <vt:lpstr>wskakunin_kanri12_NAME</vt:lpstr>
      <vt:lpstr>wskakunin_kanri12_SIKAKU__label</vt:lpstr>
      <vt:lpstr>wskakunin_kanri12_TEL</vt:lpstr>
      <vt:lpstr>wskakunin_kanri12_TOUROKU_KIKAN__label</vt:lpstr>
      <vt:lpstr>wskakunin_kanri12_ZIP</vt:lpstr>
      <vt:lpstr>wskakunin_kanri2__address</vt:lpstr>
      <vt:lpstr>wskakunin_kanri2__sikaku</vt:lpstr>
      <vt:lpstr>wskakunin_kanri2_DOC</vt:lpstr>
      <vt:lpstr>wskakunin_kanri2_JIMU__sikaku</vt:lpstr>
      <vt:lpstr>wskakunin_kanri2_JIMU_NAME</vt:lpstr>
      <vt:lpstr>wskakunin_kanri2_JIMU_NO</vt:lpstr>
      <vt:lpstr>wskakunin_kanri2_JIMU_SIKAKU__label</vt:lpstr>
      <vt:lpstr>wskakunin_kanri2_JIMU_TOUROKU_KIKAN__label</vt:lpstr>
      <vt:lpstr>wskakunin_kanri2_KENTIKUSI_NO</vt:lpstr>
      <vt:lpstr>wskakunin_kanri2_NAME</vt:lpstr>
      <vt:lpstr>wskakunin_kanri2_SIKAKU__label</vt:lpstr>
      <vt:lpstr>wskakunin_kanri2_TEL</vt:lpstr>
      <vt:lpstr>wskakunin_kanri2_TOUROKU_KIKAN__label</vt:lpstr>
      <vt:lpstr>wskakunin_kanri2_ZIP</vt:lpstr>
      <vt:lpstr>wskakunin_kanri3__address</vt:lpstr>
      <vt:lpstr>wskakunin_kanri3__sikaku</vt:lpstr>
      <vt:lpstr>wskakunin_kanri3_DOC</vt:lpstr>
      <vt:lpstr>wskakunin_kanri3_JIMU__sikaku</vt:lpstr>
      <vt:lpstr>wskakunin_kanri3_JIMU_NAME</vt:lpstr>
      <vt:lpstr>wskakunin_kanri3_JIMU_NO</vt:lpstr>
      <vt:lpstr>wskakunin_kanri3_JIMU_SIKAKU__label</vt:lpstr>
      <vt:lpstr>wskakunin_kanri3_JIMU_TOUROKU_KIKAN__label</vt:lpstr>
      <vt:lpstr>wskakunin_kanri3_KENTIKUSI_NO</vt:lpstr>
      <vt:lpstr>wskakunin_kanri3_NAME</vt:lpstr>
      <vt:lpstr>wskakunin_kanri3_SIKAKU__label</vt:lpstr>
      <vt:lpstr>wskakunin_kanri3_TEL</vt:lpstr>
      <vt:lpstr>wskakunin_kanri3_TOUROKU_KIKAN__label</vt:lpstr>
      <vt:lpstr>wskakunin_kanri3_ZIP</vt:lpstr>
      <vt:lpstr>wskakunin_kanri4__address</vt:lpstr>
      <vt:lpstr>wskakunin_kanri4__sikaku</vt:lpstr>
      <vt:lpstr>wskakunin_kanri4_DOC</vt:lpstr>
      <vt:lpstr>wskakunin_kanri4_JIMU__sikaku</vt:lpstr>
      <vt:lpstr>wskakunin_kanri4_JIMU_NAME</vt:lpstr>
      <vt:lpstr>wskakunin_kanri4_JIMU_NO</vt:lpstr>
      <vt:lpstr>wskakunin_kanri4_JIMU_SIKAKU__label</vt:lpstr>
      <vt:lpstr>wskakunin_kanri4_JIMU_TOUROKU_KIKAN__label</vt:lpstr>
      <vt:lpstr>wskakunin_kanri4_KENTIKUSI_NO</vt:lpstr>
      <vt:lpstr>wskakunin_kanri4_NAME</vt:lpstr>
      <vt:lpstr>wskakunin_kanri4_SIKAKU__label</vt:lpstr>
      <vt:lpstr>wskakunin_kanri4_TEL</vt:lpstr>
      <vt:lpstr>wskakunin_kanri4_TOUROKU_KIKAN__label</vt:lpstr>
      <vt:lpstr>wskakunin_kanri4_ZIP</vt:lpstr>
      <vt:lpstr>wskakunin_kanri5__address</vt:lpstr>
      <vt:lpstr>wskakunin_kanri5__sikaku</vt:lpstr>
      <vt:lpstr>wskakunin_kanri5_DOC</vt:lpstr>
      <vt:lpstr>wskakunin_kanri5_JIMU__sikaku</vt:lpstr>
      <vt:lpstr>wskakunin_kanri5_JIMU_NAME</vt:lpstr>
      <vt:lpstr>wskakunin_kanri5_JIMU_NO</vt:lpstr>
      <vt:lpstr>wskakunin_kanri5_JIMU_SIKAKU__label</vt:lpstr>
      <vt:lpstr>wskakunin_kanri5_JIMU_TOUROKU_KIKAN__label</vt:lpstr>
      <vt:lpstr>wskakunin_kanri5_KENTIKUSI_NO</vt:lpstr>
      <vt:lpstr>wskakunin_kanri5_NAME</vt:lpstr>
      <vt:lpstr>wskakunin_kanri5_SIKAKU__label</vt:lpstr>
      <vt:lpstr>wskakunin_kanri5_TEL</vt:lpstr>
      <vt:lpstr>wskakunin_kanri5_TOUROKU_KIKAN__label</vt:lpstr>
      <vt:lpstr>wskakunin_kanri5_ZIP</vt:lpstr>
      <vt:lpstr>wskakunin_kanri6__address</vt:lpstr>
      <vt:lpstr>wskakunin_kanri6__sikaku</vt:lpstr>
      <vt:lpstr>wskakunin_kanri6_DOC</vt:lpstr>
      <vt:lpstr>wskakunin_kanri6_JIMU__sikaku</vt:lpstr>
      <vt:lpstr>wskakunin_kanri6_JIMU_NAME</vt:lpstr>
      <vt:lpstr>wskakunin_kanri6_JIMU_NO</vt:lpstr>
      <vt:lpstr>wskakunin_kanri6_JIMU_SIKAKU__label</vt:lpstr>
      <vt:lpstr>wskakunin_kanri6_JIMU_TOUROKU_KIKAN__label</vt:lpstr>
      <vt:lpstr>wskakunin_kanri6_KENTIKUSI_NO</vt:lpstr>
      <vt:lpstr>wskakunin_kanri6_NAME</vt:lpstr>
      <vt:lpstr>wskakunin_kanri6_SIKAKU__label</vt:lpstr>
      <vt:lpstr>wskakunin_kanri6_TEL</vt:lpstr>
      <vt:lpstr>wskakunin_kanri6_TOUROKU_KIKAN__label</vt:lpstr>
      <vt:lpstr>wskakunin_kanri6_ZIP</vt:lpstr>
      <vt:lpstr>wskakunin_kanri7__address</vt:lpstr>
      <vt:lpstr>wskakunin_kanri7__sikaku</vt:lpstr>
      <vt:lpstr>wskakunin_kanri7_DOC</vt:lpstr>
      <vt:lpstr>wskakunin_kanri7_JIMU__sikaku</vt:lpstr>
      <vt:lpstr>wskakunin_kanri7_JIMU_NAME</vt:lpstr>
      <vt:lpstr>wskakunin_kanri7_JIMU_NO</vt:lpstr>
      <vt:lpstr>wskakunin_kanri7_JIMU_SIKAKU__label</vt:lpstr>
      <vt:lpstr>wskakunin_kanri7_JIMU_TOUROKU_KIKAN__label</vt:lpstr>
      <vt:lpstr>wskakunin_kanri7_KENTIKUSI_NO</vt:lpstr>
      <vt:lpstr>wskakunin_kanri7_NAME</vt:lpstr>
      <vt:lpstr>wskakunin_kanri7_SIKAKU__label</vt:lpstr>
      <vt:lpstr>wskakunin_kanri7_TEL</vt:lpstr>
      <vt:lpstr>wskakunin_kanri7_TOUROKU_KIKAN__label</vt:lpstr>
      <vt:lpstr>wskakunin_kanri7_ZIP</vt:lpstr>
      <vt:lpstr>wskakunin_kanri8__address</vt:lpstr>
      <vt:lpstr>wskakunin_kanri8__sikaku</vt:lpstr>
      <vt:lpstr>wskakunin_kanri8_DOC</vt:lpstr>
      <vt:lpstr>wskakunin_kanri8_JIMU__sikaku</vt:lpstr>
      <vt:lpstr>wskakunin_kanri8_JIMU_NAME</vt:lpstr>
      <vt:lpstr>wskakunin_kanri8_JIMU_NO</vt:lpstr>
      <vt:lpstr>wskakunin_kanri8_JIMU_SIKAKU__label</vt:lpstr>
      <vt:lpstr>wskakunin_kanri8_JIMU_TOUROKU_KIKAN__label</vt:lpstr>
      <vt:lpstr>wskakunin_kanri8_KENTIKUSI_NO</vt:lpstr>
      <vt:lpstr>wskakunin_kanri8_NAME</vt:lpstr>
      <vt:lpstr>wskakunin_kanri8_SIKAKU__label</vt:lpstr>
      <vt:lpstr>wskakunin_kanri8_TEL</vt:lpstr>
      <vt:lpstr>wskakunin_kanri8_TOUROKU_KIKAN__label</vt:lpstr>
      <vt:lpstr>wskakunin_kanri8_ZIP</vt:lpstr>
      <vt:lpstr>wskakunin_kanri9__address</vt:lpstr>
      <vt:lpstr>wskakunin_kanri9__sikaku</vt:lpstr>
      <vt:lpstr>wskakunin_kanri9_DOC</vt:lpstr>
      <vt:lpstr>wskakunin_kanri9_JIMU__sikaku</vt:lpstr>
      <vt:lpstr>wskakunin_kanri9_JIMU_NAME</vt:lpstr>
      <vt:lpstr>wskakunin_kanri9_JIMU_NO</vt:lpstr>
      <vt:lpstr>wskakunin_kanri9_JIMU_SIKAKU__label</vt:lpstr>
      <vt:lpstr>wskakunin_kanri9_JIMU_TOUROKU_KIKAN__label</vt:lpstr>
      <vt:lpstr>wskakunin_kanri9_KENTIKUSI_NO</vt:lpstr>
      <vt:lpstr>wskakunin_kanri9_NAME</vt:lpstr>
      <vt:lpstr>wskakunin_kanri9_SIKAKU__label</vt:lpstr>
      <vt:lpstr>wskakunin_kanri9_TEL</vt:lpstr>
      <vt:lpstr>wskakunin_kanri9_TOUROKU_KIKAN__label</vt:lpstr>
      <vt:lpstr>wskakunin_kanri9_ZIP</vt:lpstr>
      <vt:lpstr>wskakunin_keibi_henkou01_HENKOU_GAIYOU</vt:lpstr>
      <vt:lpstr>wskakunin_keibi_henkou01_HENKOU_SYURUI</vt:lpstr>
      <vt:lpstr>wskakunin_KENPEI_RITU</vt:lpstr>
      <vt:lpstr>wskakunin_KENPEI_RITU_A</vt:lpstr>
      <vt:lpstr>wskakunin_KENPEI_RITU_B</vt:lpstr>
      <vt:lpstr>wskakunin_KENPEI_RITU_C</vt:lpstr>
      <vt:lpstr>wskakunin_KENPEI_RITU_D</vt:lpstr>
      <vt:lpstr>wskakunin_KENSA_YUKA_MENSEKI</vt:lpstr>
      <vt:lpstr>wskakunin_KENTIKU_MENSEKI_IGAI</vt:lpstr>
      <vt:lpstr>wskakunin_KENTIKU_MENSEKI_SHINSEI</vt:lpstr>
      <vt:lpstr>wskakunin_KENTIKU_MENSEKI_TOTAL</vt:lpstr>
      <vt:lpstr>wskakunin_KENTIKU_MENSEKI_ZENTAI_IGAI</vt:lpstr>
      <vt:lpstr>wskakunin_KENTIKU_MENSEKI_ZENTAI_SHINSEI</vt:lpstr>
      <vt:lpstr>wskakunin_KENTIKU_MENSEKI_ZENTAI_TOTAL</vt:lpstr>
      <vt:lpstr>wskakunin_KENTIKU_NINSYO_NO</vt:lpstr>
      <vt:lpstr>wskakunin_KIKAN_NAME</vt:lpstr>
      <vt:lpstr>wskakunin_KITEI_CHOUSA_FLAG</vt:lpstr>
      <vt:lpstr>wskakunin_KOUJI_DAI_MOYOUGAE</vt:lpstr>
      <vt:lpstr>wskakunin_KOUJI_DAI_SYUUZEN</vt:lpstr>
      <vt:lpstr>wskakunin_KOUJI_ITEN</vt:lpstr>
      <vt:lpstr>wskakunin_KOUJI_KAITIKU</vt:lpstr>
      <vt:lpstr>wskakunin_KOUJI_KANRYOU_DATE</vt:lpstr>
      <vt:lpstr>wskakunin_KOUJI_KANRYOU_YOTEI_DATE</vt:lpstr>
      <vt:lpstr>wskakunin_KOUJI_SINTIKU</vt:lpstr>
      <vt:lpstr>wskakunin_KOUJI_TYAKUSYU_DATE</vt:lpstr>
      <vt:lpstr>wskakunin_KOUJI_TYAKUSYU_YOTEI_DATE</vt:lpstr>
      <vt:lpstr>wskakunin_KOUJI_YOUTOHENKOU</vt:lpstr>
      <vt:lpstr>wskakunin_KOUJI_ZOUTIKU</vt:lpstr>
      <vt:lpstr>wskakunin_koutei_ikou01_KOUTEI_DATE</vt:lpstr>
      <vt:lpstr>wskakunin_koutei_ikou01_KOUTEI_KAISUU</vt:lpstr>
      <vt:lpstr>wskakunin_koutei_ikou01_KOUTEI_TEXT</vt:lpstr>
      <vt:lpstr>wskakunin_koutei_ikou02_KOUTEI_DATE</vt:lpstr>
      <vt:lpstr>wskakunin_koutei_ikou02_KOUTEI_KAISUU</vt:lpstr>
      <vt:lpstr>wskakunin_koutei_ikou02_KOUTEI_TEXT</vt:lpstr>
      <vt:lpstr>wskakunin_koutei_izen01_INTER_ISSUE_DATE</vt:lpstr>
      <vt:lpstr>wskakunin_koutei_izen01_INTER_ISSUE_NAME</vt:lpstr>
      <vt:lpstr>wskakunin_koutei_izen01_INTER_ISSUE_NO</vt:lpstr>
      <vt:lpstr>wskakunin_koutei_izen01_KOUTEI_KAISUU</vt:lpstr>
      <vt:lpstr>wskakunin_koutei_izen01_KOUTEI_TEXT</vt:lpstr>
      <vt:lpstr>wskakunin_koutei_izen02_INTER_ISSUE_DATE</vt:lpstr>
      <vt:lpstr>wskakunin_koutei_izen02_INTER_ISSUE_NAME</vt:lpstr>
      <vt:lpstr>wskakunin_koutei_izen02_INTER_ISSUE_NO</vt:lpstr>
      <vt:lpstr>wskakunin_koutei_izen02_KOUTEI_KAISUU</vt:lpstr>
      <vt:lpstr>wskakunin_koutei_izen02_KOUTEI_TEXT</vt:lpstr>
      <vt:lpstr>wskakunin_koutei_izen03_INTER_ISSUE_DATE</vt:lpstr>
      <vt:lpstr>wskakunin_koutei_izen03_INTER_ISSUE_NAME</vt:lpstr>
      <vt:lpstr>wskakunin_koutei_izen03_INTER_ISSUE_NO</vt:lpstr>
      <vt:lpstr>wskakunin_koutei_izen03_KOUTEI_KAISUU</vt:lpstr>
      <vt:lpstr>wskakunin_koutei_izen03_KOUTEI_TEXT</vt:lpstr>
      <vt:lpstr>wskakunin_koutei_izen04_INTER_ISSUE_DATE</vt:lpstr>
      <vt:lpstr>wskakunin_koutei_izen04_INTER_ISSUE_NAME</vt:lpstr>
      <vt:lpstr>wskakunin_koutei_izen04_INTER_ISSUE_NO</vt:lpstr>
      <vt:lpstr>wskakunin_koutei_izen04_KOUTEI_KAISUU</vt:lpstr>
      <vt:lpstr>wskakunin_koutei_izen04_KOUTEI_TEXT</vt:lpstr>
      <vt:lpstr>wskakunin_koutei01_INTER_ISSUE_DATE</vt:lpstr>
      <vt:lpstr>wskakunin_koutei01_INTER_ISSUE_NAME</vt:lpstr>
      <vt:lpstr>wskakunin_koutei01_INTER_ISSUE_NO</vt:lpstr>
      <vt:lpstr>wskakunin_koutei01_KOUTEI_DATE</vt:lpstr>
      <vt:lpstr>wskakunin_koutei01_KOUTEI_KAISUU</vt:lpstr>
      <vt:lpstr>wskakunin_koutei01_KOUTEI_TEXT</vt:lpstr>
      <vt:lpstr>wskakunin_koutei02_INTER_ISSUE_DATE</vt:lpstr>
      <vt:lpstr>wskakunin_koutei02_INTER_ISSUE_NAME</vt:lpstr>
      <vt:lpstr>wskakunin_koutei02_INTER_ISSUE_NO</vt:lpstr>
      <vt:lpstr>wskakunin_koutei02_KOUTEI_DATE</vt:lpstr>
      <vt:lpstr>wskakunin_koutei02_KOUTEI_KAISUU</vt:lpstr>
      <vt:lpstr>wskakunin_koutei02_KOUTEI_TEXT</vt:lpstr>
      <vt:lpstr>wskakunin_koutei03_KOUTEI_DATE</vt:lpstr>
      <vt:lpstr>wskakunin_koutei03_KOUTEI_KAISUU</vt:lpstr>
      <vt:lpstr>wskakunin_koutei03_KOUTEI_TEXT</vt:lpstr>
      <vt:lpstr>wskakunin_koutei04_KOUTEI_DATE</vt:lpstr>
      <vt:lpstr>wskakunin_koutei04_KOUTEI_KAISUU</vt:lpstr>
      <vt:lpstr>wskakunin_koutei04_KOUTEI_TEXT</vt:lpstr>
      <vt:lpstr>wskakunin_KOUZOU1</vt:lpstr>
      <vt:lpstr>wskakunin_KOUZOU2</vt:lpstr>
      <vt:lpstr>wskakunin_KUIKI_HISETTEI</vt:lpstr>
      <vt:lpstr>wskakunin_KUIKI_JYUN_TOSHI</vt:lpstr>
      <vt:lpstr>wskakunin_KUIKI_KUIKIGAI</vt:lpstr>
      <vt:lpstr>wskakunin_KUIKI_SIGAIKA</vt:lpstr>
      <vt:lpstr>wskakunin_KUIKI_TOSI</vt:lpstr>
      <vt:lpstr>wskakunin_KUIKI_TYOSEI</vt:lpstr>
      <vt:lpstr>wskakunin_kyoka01_</vt:lpstr>
      <vt:lpstr>wskakunin_kyoka01_BIKOU</vt:lpstr>
      <vt:lpstr>wskakunin_kyoka01_HOUREI</vt:lpstr>
      <vt:lpstr>wskakunin_kyoka01_JOUKOU</vt:lpstr>
      <vt:lpstr>wskakunin_kyoka01_KYOKA_DATE</vt:lpstr>
      <vt:lpstr>wskakunin_kyoka01_KYOKA_NO</vt:lpstr>
      <vt:lpstr>wskakunin_kyoka02_BIKOU</vt:lpstr>
      <vt:lpstr>wskakunin_kyoka02_HOUREI</vt:lpstr>
      <vt:lpstr>wskakunin_kyoka02_JOUKOU</vt:lpstr>
      <vt:lpstr>wskakunin_kyoka02_KYOKA_DATE</vt:lpstr>
      <vt:lpstr>wskakunin_kyoka02_KYOKA_NO</vt:lpstr>
      <vt:lpstr>wskakunin_kyoka03_BIKOU</vt:lpstr>
      <vt:lpstr>wskakunin_kyoka03_HOUREI</vt:lpstr>
      <vt:lpstr>wskakunin_kyoka03_JOUKOU</vt:lpstr>
      <vt:lpstr>wskakunin_kyoka03_KYOKA_DATE</vt:lpstr>
      <vt:lpstr>wskakunin_kyoka03_KYOKA_NO</vt:lpstr>
      <vt:lpstr>wskakunin_LAST_ISSUE_DATE</vt:lpstr>
      <vt:lpstr>wskakunin_LAST_ISSUE_NAME</vt:lpstr>
      <vt:lpstr>wskakunin_LAST_ISSUE_NO</vt:lpstr>
      <vt:lpstr>wskakunin_LIMIT_KENPEI_RITU</vt:lpstr>
      <vt:lpstr>wskakunin_LIMIT_YOUSEKI_RITU</vt:lpstr>
      <vt:lpstr>wskakunin_MOKUZOU_KEIKA_ETC_FLAG</vt:lpstr>
      <vt:lpstr>wskakunin_MOKUZOU_KEIKA_FLAG</vt:lpstr>
      <vt:lpstr>wskakunin_MOKUZOU_KEIKA_HASIRA_FLAG</vt:lpstr>
      <vt:lpstr>wskakunin_NOBE_MENSEKI</vt:lpstr>
      <vt:lpstr>wskakunin_NOBE_MENSEKI_BITIKUSOUKO_IGAI</vt:lpstr>
      <vt:lpstr>wskakunin_NOBE_MENSEKI_BITIKUSOUKO_SHINSEI</vt:lpstr>
      <vt:lpstr>wskakunin_NOBE_MENSEKI_BITIKUSOUKO_TOTAL</vt:lpstr>
      <vt:lpstr>wskakunin_NOBE_MENSEKI_BUILD_IGAI</vt:lpstr>
      <vt:lpstr>wskakunin_NOBE_MENSEKI_BUILD_SHINSEI</vt:lpstr>
      <vt:lpstr>wskakunin_NOBE_MENSEKI_BUILD_TOTAL</vt:lpstr>
      <vt:lpstr>wskakunin_NOBE_MENSEKI_CHOSUISOU_IGAI</vt:lpstr>
      <vt:lpstr>wskakunin_NOBE_MENSEKI_CHOSUISOU_SHINSEI</vt:lpstr>
      <vt:lpstr>wskakunin_NOBE_MENSEKI_CHOSUISOU_TOTAL</vt:lpstr>
      <vt:lpstr>wskakunin_NOBE_MENSEKI_FUSANNYU_IGAI</vt:lpstr>
      <vt:lpstr>wskakunin_NOBE_MENSEKI_FUSANNYU_SHINSEI</vt:lpstr>
      <vt:lpstr>wskakunin_NOBE_MENSEKI_FUSANNYU_TOTAL</vt:lpstr>
      <vt:lpstr>wskakunin_NOBE_MENSEKI_JIKAHATUDEN_IGAI</vt:lpstr>
      <vt:lpstr>wskakunin_NOBE_MENSEKI_JIKAHATUDEN_SHINSEI</vt:lpstr>
      <vt:lpstr>wskakunin_NOBE_MENSEKI_JIKAHATUDEN_TOTAL</vt:lpstr>
      <vt:lpstr>wskakunin_NOBE_MENSEKI_JYUTAKU_IGAI</vt:lpstr>
      <vt:lpstr>wskakunin_NOBE_MENSEKI_JYUTAKU_SHINSEI</vt:lpstr>
      <vt:lpstr>wskakunin_NOBE_MENSEKI_JYUTAKU_TOTAL</vt:lpstr>
      <vt:lpstr>wskakunin_NOBE_MENSEKI_KIKAI_IGAI</vt:lpstr>
      <vt:lpstr>wskakunin_NOBE_MENSEKI_KIKAI_SHINSEI</vt:lpstr>
      <vt:lpstr>wskakunin_NOBE_MENSEKI_KIKAI_TOTAL</vt:lpstr>
      <vt:lpstr>wskakunin_NOBE_MENSEKI_KYOYOU_IGAI</vt:lpstr>
      <vt:lpstr>wskakunin_NOBE_MENSEKI_KYOYOU_SHINSEI</vt:lpstr>
      <vt:lpstr>wskakunin_NOBE_MENSEKI_KYOYOU_TOTAL</vt:lpstr>
      <vt:lpstr>wskakunin_NOBE_MENSEKI_ROUJIN_IGAI</vt:lpstr>
      <vt:lpstr>wskakunin_NOBE_MENSEKI_ROUJIN_SHINSEI</vt:lpstr>
      <vt:lpstr>wskakunin_NOBE_MENSEKI_ROUJIN_TOTAL</vt:lpstr>
      <vt:lpstr>wskakunin_NOBE_MENSEKI_SYAKO_IGAI</vt:lpstr>
      <vt:lpstr>wskakunin_NOBE_MENSEKI_SYAKO_SHINSEI</vt:lpstr>
      <vt:lpstr>wskakunin_NOBE_MENSEKI_SYAKO_TOTAL</vt:lpstr>
      <vt:lpstr>wskakunin_NOBE_MENSEKI_SYOUKOURO_IGAI</vt:lpstr>
      <vt:lpstr>wskakunin_NOBE_MENSEKI_SYOUKOURO_SHINSEI</vt:lpstr>
      <vt:lpstr>wskakunin_NOBE_MENSEKI_SYOUKOURO_TOTAL</vt:lpstr>
      <vt:lpstr>wskakunin_NOBE_MENSEKI_TAKUHAI_IGAI</vt:lpstr>
      <vt:lpstr>wskakunin_NOBE_MENSEKI_TAKUHAI_SHINSEI</vt:lpstr>
      <vt:lpstr>wskakunin_NOBE_MENSEKI_TAKUHAI_TOTAL</vt:lpstr>
      <vt:lpstr>wskakunin_NOBE_MENSEKI_TIKAI_IGAI</vt:lpstr>
      <vt:lpstr>wskakunin_NOBE_MENSEKI_TIKAI_SHINSEI</vt:lpstr>
      <vt:lpstr>wskakunin_NOBE_MENSEKI_TIKAI_TOTAL</vt:lpstr>
      <vt:lpstr>wskakunin_NOBE_MENSEKI_TIKUDENTI_IGAI</vt:lpstr>
      <vt:lpstr>wskakunin_NOBE_MENSEKI_TIKUDENTI_SHINSEI</vt:lpstr>
      <vt:lpstr>wskakunin_NOBE_MENSEKI_TIKUDENTI_TOTAL</vt:lpstr>
      <vt:lpstr>wskakunin_owner1__address</vt:lpstr>
      <vt:lpstr>wskakunin_owner1_JIMU_NAME</vt:lpstr>
      <vt:lpstr>wskakunin_owner1_JIMU_NAME_KANA</vt:lpstr>
      <vt:lpstr>wskakunin_owner1_NAME</vt:lpstr>
      <vt:lpstr>wskakunin_owner1_NAME_KANA</vt:lpstr>
      <vt:lpstr>wskakunin_owner1_POST</vt:lpstr>
      <vt:lpstr>wskakunin_owner1_POST_KANA</vt:lpstr>
      <vt:lpstr>wskakunin_owner1_TEL</vt:lpstr>
      <vt:lpstr>wskakunin_owner1_ZIP</vt:lpstr>
      <vt:lpstr>wskakunin_owner2__address</vt:lpstr>
      <vt:lpstr>wskakunin_owner2_JIMU_NAME</vt:lpstr>
      <vt:lpstr>wskakunin_owner2_JIMU_NAME_KANA</vt:lpstr>
      <vt:lpstr>wskakunin_owner2_NAME</vt:lpstr>
      <vt:lpstr>wskakunin_owner2_NAME_KANA</vt:lpstr>
      <vt:lpstr>wskakunin_owner2_POST</vt:lpstr>
      <vt:lpstr>wskakunin_owner2_POST_KANA</vt:lpstr>
      <vt:lpstr>wskakunin_owner2_TEL</vt:lpstr>
      <vt:lpstr>wskakunin_owner2_ZIP</vt:lpstr>
      <vt:lpstr>wskakunin_owner3__address</vt:lpstr>
      <vt:lpstr>wskakunin_owner3_JIMU_NAME</vt:lpstr>
      <vt:lpstr>wskakunin_owner3_JIMU_NAME_KANA</vt:lpstr>
      <vt:lpstr>wskakunin_owner3_NAME</vt:lpstr>
      <vt:lpstr>wskakunin_owner3_NAME_KANA</vt:lpstr>
      <vt:lpstr>wskakunin_owner3_POST</vt:lpstr>
      <vt:lpstr>wskakunin_owner3_POST_KANA</vt:lpstr>
      <vt:lpstr>wskakunin_owner3_TEL</vt:lpstr>
      <vt:lpstr>wskakunin_owner3_ZIP</vt:lpstr>
      <vt:lpstr>wskakunin_owner4__address</vt:lpstr>
      <vt:lpstr>wskakunin_owner4_JIMU_NAME</vt:lpstr>
      <vt:lpstr>wskakunin_owner4_JIMU_NAME_KANA</vt:lpstr>
      <vt:lpstr>wskakunin_owner4_NAME</vt:lpstr>
      <vt:lpstr>wskakunin_owner4_NAME_KANA</vt:lpstr>
      <vt:lpstr>wskakunin_owner4_POST</vt:lpstr>
      <vt:lpstr>wskakunin_owner4_POST_KANA</vt:lpstr>
      <vt:lpstr>wskakunin_owner4_TEL</vt:lpstr>
      <vt:lpstr>wskakunin_owner4_ZIP</vt:lpstr>
      <vt:lpstr>wskakunin_owner5__address</vt:lpstr>
      <vt:lpstr>wskakunin_owner5_JIMU_NAME</vt:lpstr>
      <vt:lpstr>wskakunin_owner5_JIMU_NAME_KANA</vt:lpstr>
      <vt:lpstr>wskakunin_owner5_NAME</vt:lpstr>
      <vt:lpstr>wskakunin_owner5_NAME_KANA</vt:lpstr>
      <vt:lpstr>wskakunin_owner5_POST</vt:lpstr>
      <vt:lpstr>wskakunin_owner5_POST_KANA</vt:lpstr>
      <vt:lpstr>wskakunin_owner5_TEL</vt:lpstr>
      <vt:lpstr>wskakunin_owner5_ZIP</vt:lpstr>
      <vt:lpstr>wskakunin_owner6__address</vt:lpstr>
      <vt:lpstr>wskakunin_owner6_JIMU_NAME</vt:lpstr>
      <vt:lpstr>wskakunin_owner6_JIMU_NAME_KANA</vt:lpstr>
      <vt:lpstr>wskakunin_owner6_NAME</vt:lpstr>
      <vt:lpstr>wskakunin_owner6_NAME_KANA</vt:lpstr>
      <vt:lpstr>wskakunin_owner6_POST</vt:lpstr>
      <vt:lpstr>wskakunin_owner6_POST_KANA</vt:lpstr>
      <vt:lpstr>wskakunin_owner6_TEL</vt:lpstr>
      <vt:lpstr>wskakunin_owner6_ZIP</vt:lpstr>
      <vt:lpstr>wskakunin_owner7__address</vt:lpstr>
      <vt:lpstr>wskakunin_owner7_JIMU_NAME</vt:lpstr>
      <vt:lpstr>wskakunin_owner7_JIMU_NAME_KANA</vt:lpstr>
      <vt:lpstr>wskakunin_owner7_NAME</vt:lpstr>
      <vt:lpstr>wskakunin_owner7_NAME_KANA</vt:lpstr>
      <vt:lpstr>wskakunin_owner7_POST</vt:lpstr>
      <vt:lpstr>wskakunin_owner7_POST_KANA</vt:lpstr>
      <vt:lpstr>wskakunin_owner7_TEL</vt:lpstr>
      <vt:lpstr>wskakunin_owner7_ZIP</vt:lpstr>
      <vt:lpstr>wskakunin_owner8__address</vt:lpstr>
      <vt:lpstr>wskakunin_owner8_JIMU_NAME</vt:lpstr>
      <vt:lpstr>wskakunin_owner8_JIMU_NAME_KANA</vt:lpstr>
      <vt:lpstr>wskakunin_owner8_NAME</vt:lpstr>
      <vt:lpstr>wskakunin_owner8_NAME_KANA</vt:lpstr>
      <vt:lpstr>wskakunin_owner8_POST</vt:lpstr>
      <vt:lpstr>wskakunin_owner8_POST_KANA</vt:lpstr>
      <vt:lpstr>wskakunin_owner8_TEL</vt:lpstr>
      <vt:lpstr>wskakunin_owner8_ZIP</vt:lpstr>
      <vt:lpstr>wskakunin_owner9__address</vt:lpstr>
      <vt:lpstr>wskakunin_owner9_JIMU_NAME</vt:lpstr>
      <vt:lpstr>wskakunin_owner9_JIMU_NAME_KANA</vt:lpstr>
      <vt:lpstr>wskakunin_owner9_NAME</vt:lpstr>
      <vt:lpstr>wskakunin_owner9_NAME_KANA</vt:lpstr>
      <vt:lpstr>wskakunin_owner9_POST</vt:lpstr>
      <vt:lpstr>wskakunin_owner9_POST_KANA</vt:lpstr>
      <vt:lpstr>wskakunin_owner9_TEL</vt:lpstr>
      <vt:lpstr>wskakunin_owner9_ZIP</vt:lpstr>
      <vt:lpstr>wskakunin_P1_HENKOU_GAIYOU</vt:lpstr>
      <vt:lpstr>wskakunin_P2_BIKOU</vt:lpstr>
      <vt:lpstr>wskakunin_P2_HENKOU_GAIYOU</vt:lpstr>
      <vt:lpstr>wskakunin_P3_BIKOU</vt:lpstr>
      <vt:lpstr>wskakunin_P3_SONOTA</vt:lpstr>
      <vt:lpstr>wskakunin_p4_1__kouji</vt:lpstr>
      <vt:lpstr>wskakunin_p4_1_KAISU_TIKAI</vt:lpstr>
      <vt:lpstr>wskakunin_p4_1_KAISU_TIKAI_NOZOKU</vt:lpstr>
      <vt:lpstr>wskakunin_p4_1_KOUZOU1</vt:lpstr>
      <vt:lpstr>wskakunin_p4_1_KOUZOU2</vt:lpstr>
      <vt:lpstr>wskakunin_p4_1_p5_1_KAI</vt:lpstr>
      <vt:lpstr>wskakunin_p4_1_p5_1_P4_MENSEKI_SHINSEI</vt:lpstr>
      <vt:lpstr>wskakunin_p4_1_p5_2_KAI</vt:lpstr>
      <vt:lpstr>wskakunin_p4_1_p5_2_P4_MENSEKI_SHINSEI</vt:lpstr>
      <vt:lpstr>wskakunin_p4_1_p5_3_KAI</vt:lpstr>
      <vt:lpstr>wskakunin_p4_1_p5_3_P4_MENSEKI_SHINSEI</vt:lpstr>
      <vt:lpstr>wskakunin_p4_1_TAKASA_KEN_MAX</vt:lpstr>
      <vt:lpstr>wskakunin_p4_1_TAKASA_MAX</vt:lpstr>
      <vt:lpstr>wskakunin_p4_1_TOKUREI_KAKUNIN_FLAG</vt:lpstr>
      <vt:lpstr>wskakunin_p4_1_youto1_YOUTO</vt:lpstr>
      <vt:lpstr>wskakunin_p4_1_youto1_YOUTO_CODE</vt:lpstr>
      <vt:lpstr>wskakunin_p4_1_YUKA_MENSEKI_SHINSEI</vt:lpstr>
      <vt:lpstr>wskakunin_PAGE1_ALTERATION_NOTE</vt:lpstr>
      <vt:lpstr>wskakunin_sekkei1__address</vt:lpstr>
      <vt:lpstr>wskakunin_sekkei1__sikaku</vt:lpstr>
      <vt:lpstr>wskakunin_sekkei1_DOC</vt:lpstr>
      <vt:lpstr>wskakunin_sekkei1_JIMU__sikaku</vt:lpstr>
      <vt:lpstr>wskakunin_sekkei1_JIMU_NAME</vt:lpstr>
      <vt:lpstr>wskakunin_sekkei1_JIMU_NO</vt:lpstr>
      <vt:lpstr>wskakunin_sekkei1_JIMU_SIKAKU__label</vt:lpstr>
      <vt:lpstr>wskakunin_sekkei1_JIMU_TOUROKU_KIKAN__label</vt:lpstr>
      <vt:lpstr>wskakunin_sekkei1_KENTIKUSI_NO</vt:lpstr>
      <vt:lpstr>wskakunin_sekkei1_NAME</vt:lpstr>
      <vt:lpstr>wskakunin_sekkei1_SIKAKU__label</vt:lpstr>
      <vt:lpstr>wskakunin_sekkei1_TEL</vt:lpstr>
      <vt:lpstr>wskakunin_sekkei1_TOUROKU_KIKAN__label</vt:lpstr>
      <vt:lpstr>wskakunin_sekkei1_ZIP</vt:lpstr>
      <vt:lpstr>wskakunin_sekkei10__address</vt:lpstr>
      <vt:lpstr>wskakunin_sekkei10__sikaku</vt:lpstr>
      <vt:lpstr>wskakunin_sekkei10_DOC</vt:lpstr>
      <vt:lpstr>wskakunin_sekkei10_JIMU__sikaku</vt:lpstr>
      <vt:lpstr>wskakunin_sekkei10_JIMU_NAME</vt:lpstr>
      <vt:lpstr>wskakunin_sekkei10_JIMU_NO</vt:lpstr>
      <vt:lpstr>wskakunin_sekkei10_JIMU_SIKAKU__label</vt:lpstr>
      <vt:lpstr>wskakunin_sekkei10_JIMU_TOUROKU_KIKAN__label</vt:lpstr>
      <vt:lpstr>wskakunin_sekkei10_KENTIKUSI_NO</vt:lpstr>
      <vt:lpstr>wskakunin_sekkei10_NAME</vt:lpstr>
      <vt:lpstr>wskakunin_sekkei10_SIKAKU__label</vt:lpstr>
      <vt:lpstr>wskakunin_sekkei10_TEL</vt:lpstr>
      <vt:lpstr>wskakunin_sekkei10_TOUROKU_KIKAN__label</vt:lpstr>
      <vt:lpstr>wskakunin_sekkei10_ZIP</vt:lpstr>
      <vt:lpstr>wskakunin_sekkei11__address</vt:lpstr>
      <vt:lpstr>wskakunin_sekkei11__sikaku</vt:lpstr>
      <vt:lpstr>wskakunin_sekkei11_DOC</vt:lpstr>
      <vt:lpstr>wskakunin_sekkei11_JIMU__sikaku</vt:lpstr>
      <vt:lpstr>wskakunin_sekkei11_JIMU_NAME</vt:lpstr>
      <vt:lpstr>wskakunin_sekkei11_JIMU_NO</vt:lpstr>
      <vt:lpstr>wskakunin_sekkei11_JIMU_SIKAKU__label</vt:lpstr>
      <vt:lpstr>wskakunin_sekkei11_JIMU_TOUROKU_KIKAN__label</vt:lpstr>
      <vt:lpstr>wskakunin_sekkei11_KENTIKUSI_NO</vt:lpstr>
      <vt:lpstr>wskakunin_sekkei11_NAME</vt:lpstr>
      <vt:lpstr>wskakunin_sekkei11_SIKAKU__label</vt:lpstr>
      <vt:lpstr>wskakunin_sekkei11_TEL</vt:lpstr>
      <vt:lpstr>wskakunin_sekkei11_TOUROKU_KIKAN__label</vt:lpstr>
      <vt:lpstr>wskakunin_sekkei11_ZIP</vt:lpstr>
      <vt:lpstr>wskakunin_sekkei12__address</vt:lpstr>
      <vt:lpstr>wskakunin_sekkei12__sikaku</vt:lpstr>
      <vt:lpstr>wskakunin_sekkei12_DOC</vt:lpstr>
      <vt:lpstr>wskakunin_sekkei12_JIMU__sikaku</vt:lpstr>
      <vt:lpstr>wskakunin_sekkei12_JIMU_NAME</vt:lpstr>
      <vt:lpstr>wskakunin_sekkei12_JIMU_NO</vt:lpstr>
      <vt:lpstr>wskakunin_sekkei12_JIMU_SIKAKU__label</vt:lpstr>
      <vt:lpstr>wskakunin_sekkei12_JIMU_TOUROKU_KIKAN__label</vt:lpstr>
      <vt:lpstr>wskakunin_sekkei12_KENTIKUSI_NO</vt:lpstr>
      <vt:lpstr>wskakunin_sekkei12_NAME</vt:lpstr>
      <vt:lpstr>wskakunin_sekkei12_SIKAKU__label</vt:lpstr>
      <vt:lpstr>wskakunin_sekkei12_TEL</vt:lpstr>
      <vt:lpstr>wskakunin_sekkei12_TOUROKU_KIKAN__label</vt:lpstr>
      <vt:lpstr>wskakunin_sekkei12_ZIP</vt:lpstr>
      <vt:lpstr>wskakunin_sekkei2__address</vt:lpstr>
      <vt:lpstr>wskakunin_sekkei2__sikaku</vt:lpstr>
      <vt:lpstr>wskakunin_sekkei2_DOC</vt:lpstr>
      <vt:lpstr>wskakunin_sekkei2_JIMU__sikaku</vt:lpstr>
      <vt:lpstr>wskakunin_sekkei2_JIMU_NAME</vt:lpstr>
      <vt:lpstr>wskakunin_sekkei2_JIMU_NO</vt:lpstr>
      <vt:lpstr>wskakunin_sekkei2_JIMU_SIKAKU__label</vt:lpstr>
      <vt:lpstr>wskakunin_sekkei2_JIMU_TOUROKU_KIKAN__label</vt:lpstr>
      <vt:lpstr>wskakunin_sekkei2_KENTIKUSI_NO</vt:lpstr>
      <vt:lpstr>wskakunin_sekkei2_NAME</vt:lpstr>
      <vt:lpstr>wskakunin_sekkei2_SIKAKU__label</vt:lpstr>
      <vt:lpstr>wskakunin_sekkei2_TEL</vt:lpstr>
      <vt:lpstr>wskakunin_sekkei2_TOUROKU_KIKAN__label</vt:lpstr>
      <vt:lpstr>wskakunin_sekkei2_ZIP</vt:lpstr>
      <vt:lpstr>wskakunin_sekkei3__address</vt:lpstr>
      <vt:lpstr>wskakunin_sekkei3__sikaku</vt:lpstr>
      <vt:lpstr>wskakunin_sekkei3_DOC</vt:lpstr>
      <vt:lpstr>wskakunin_sekkei3_JIMU__sikaku</vt:lpstr>
      <vt:lpstr>wskakunin_sekkei3_JIMU_NAME</vt:lpstr>
      <vt:lpstr>wskakunin_sekkei3_JIMU_NO</vt:lpstr>
      <vt:lpstr>wskakunin_sekkei3_JIMU_SIKAKU__label</vt:lpstr>
      <vt:lpstr>wskakunin_sekkei3_JIMU_TOUROKU_KIKAN__label</vt:lpstr>
      <vt:lpstr>wskakunin_sekkei3_KENTIKUSI_NO</vt:lpstr>
      <vt:lpstr>wskakunin_sekkei3_NAME</vt:lpstr>
      <vt:lpstr>wskakunin_sekkei3_SIKAKU__label</vt:lpstr>
      <vt:lpstr>wskakunin_sekkei3_TEL</vt:lpstr>
      <vt:lpstr>wskakunin_sekkei3_TOUROKU_KIKAN__label</vt:lpstr>
      <vt:lpstr>wskakunin_sekkei3_ZIP</vt:lpstr>
      <vt:lpstr>wskakunin_sekkei4__address</vt:lpstr>
      <vt:lpstr>wskakunin_sekkei4__sikaku</vt:lpstr>
      <vt:lpstr>wskakunin_sekkei4_DOC</vt:lpstr>
      <vt:lpstr>wskakunin_sekkei4_JIMU__sikaku</vt:lpstr>
      <vt:lpstr>wskakunin_sekkei4_JIMU_NAME</vt:lpstr>
      <vt:lpstr>wskakunin_sekkei4_JIMU_NO</vt:lpstr>
      <vt:lpstr>wskakunin_sekkei4_JIMU_SIKAKU__label</vt:lpstr>
      <vt:lpstr>wskakunin_sekkei4_JIMU_TOUROKU_KIKAN__label</vt:lpstr>
      <vt:lpstr>wskakunin_sekkei4_KENTIKUSI_NO</vt:lpstr>
      <vt:lpstr>wskakunin_sekkei4_NAME</vt:lpstr>
      <vt:lpstr>wskakunin_sekkei4_SIKAKU__label</vt:lpstr>
      <vt:lpstr>wskakunin_sekkei4_TEL</vt:lpstr>
      <vt:lpstr>wskakunin_sekkei4_TOUROKU_KIKAN__label</vt:lpstr>
      <vt:lpstr>wskakunin_sekkei4_ZIP</vt:lpstr>
      <vt:lpstr>wskakunin_sekkei5__address</vt:lpstr>
      <vt:lpstr>wskakunin_sekkei5__sikaku</vt:lpstr>
      <vt:lpstr>wskakunin_sekkei5_DOC</vt:lpstr>
      <vt:lpstr>wskakunin_sekkei5_JIMU__sikaku</vt:lpstr>
      <vt:lpstr>wskakunin_sekkei5_JIMU_NAME</vt:lpstr>
      <vt:lpstr>wskakunin_sekkei5_JIMU_NO</vt:lpstr>
      <vt:lpstr>wskakunin_sekkei5_JIMU_SIKAKU__label</vt:lpstr>
      <vt:lpstr>wskakunin_sekkei5_JIMU_TOUROKU_KIKAN__label</vt:lpstr>
      <vt:lpstr>wskakunin_sekkei5_KENTIKUSI_NO</vt:lpstr>
      <vt:lpstr>wskakunin_sekkei5_NAME</vt:lpstr>
      <vt:lpstr>wskakunin_sekkei5_SIKAKU__label</vt:lpstr>
      <vt:lpstr>wskakunin_sekkei5_TEL</vt:lpstr>
      <vt:lpstr>wskakunin_sekkei5_TOUROKU_KIKAN__label</vt:lpstr>
      <vt:lpstr>wskakunin_sekkei5_ZIP</vt:lpstr>
      <vt:lpstr>wskakunin_sekkei6__address</vt:lpstr>
      <vt:lpstr>wskakunin_sekkei6__sikaku</vt:lpstr>
      <vt:lpstr>wskakunin_sekkei6_DOC</vt:lpstr>
      <vt:lpstr>wskakunin_sekkei6_JIMU__sikaku</vt:lpstr>
      <vt:lpstr>wskakunin_sekkei6_JIMU_NAME</vt:lpstr>
      <vt:lpstr>wskakunin_sekkei6_JIMU_NO</vt:lpstr>
      <vt:lpstr>wskakunin_sekkei6_JIMU_SIKAKU__label</vt:lpstr>
      <vt:lpstr>wskakunin_sekkei6_JIMU_TOUROKU_KIKAN__label</vt:lpstr>
      <vt:lpstr>wskakunin_sekkei6_KENTIKUSI_NO</vt:lpstr>
      <vt:lpstr>wskakunin_sekkei6_NAME</vt:lpstr>
      <vt:lpstr>wskakunin_sekkei6_SIKAKU__label</vt:lpstr>
      <vt:lpstr>wskakunin_sekkei6_TEL</vt:lpstr>
      <vt:lpstr>wskakunin_sekkei6_TOUROKU_KIKAN__label</vt:lpstr>
      <vt:lpstr>wskakunin_sekkei6_ZIP</vt:lpstr>
      <vt:lpstr>wskakunin_sekkei7__address</vt:lpstr>
      <vt:lpstr>wskakunin_sekkei7__sikaku</vt:lpstr>
      <vt:lpstr>wskakunin_sekkei7_DOC</vt:lpstr>
      <vt:lpstr>wskakunin_sekkei7_JIMU__sikaku</vt:lpstr>
      <vt:lpstr>wskakunin_sekkei7_JIMU_NAME</vt:lpstr>
      <vt:lpstr>wskakunin_sekkei7_JIMU_NO</vt:lpstr>
      <vt:lpstr>wskakunin_sekkei7_JIMU_SIKAKU__label</vt:lpstr>
      <vt:lpstr>wskakunin_sekkei7_JIMU_TOUROKU_KIKAN__label</vt:lpstr>
      <vt:lpstr>wskakunin_sekkei7_KENTIKUSI_NO</vt:lpstr>
      <vt:lpstr>wskakunin_sekkei7_NAME</vt:lpstr>
      <vt:lpstr>wskakunin_sekkei7_SIKAKU__label</vt:lpstr>
      <vt:lpstr>wskakunin_sekkei7_TEL</vt:lpstr>
      <vt:lpstr>wskakunin_sekkei7_TOUROKU_KIKAN__label</vt:lpstr>
      <vt:lpstr>wskakunin_sekkei7_ZIP</vt:lpstr>
      <vt:lpstr>wskakunin_sekkei8__address</vt:lpstr>
      <vt:lpstr>wskakunin_sekkei8__sikaku</vt:lpstr>
      <vt:lpstr>wskakunin_sekkei8_DOC</vt:lpstr>
      <vt:lpstr>wskakunin_sekkei8_JIMU__sikaku</vt:lpstr>
      <vt:lpstr>wskakunin_sekkei8_JIMU_NAME</vt:lpstr>
      <vt:lpstr>wskakunin_sekkei8_JIMU_NO</vt:lpstr>
      <vt:lpstr>wskakunin_sekkei8_JIMU_SIKAKU__label</vt:lpstr>
      <vt:lpstr>wskakunin_sekkei8_JIMU_TOUROKU_KIKAN__label</vt:lpstr>
      <vt:lpstr>wskakunin_sekkei8_KENTIKUSI_NO</vt:lpstr>
      <vt:lpstr>wskakunin_sekkei8_NAME</vt:lpstr>
      <vt:lpstr>wskakunin_sekkei8_SIKAKU__label</vt:lpstr>
      <vt:lpstr>wskakunin_sekkei8_TEL</vt:lpstr>
      <vt:lpstr>wskakunin_sekkei8_TOUROKU_KIKAN__label</vt:lpstr>
      <vt:lpstr>wskakunin_sekkei8_ZIP</vt:lpstr>
      <vt:lpstr>wskakunin_sekkei9__address</vt:lpstr>
      <vt:lpstr>wskakunin_sekkei9__sikaku</vt:lpstr>
      <vt:lpstr>wskakunin_sekkei9_DOC</vt:lpstr>
      <vt:lpstr>wskakunin_sekkei9_JIMU__sikaku</vt:lpstr>
      <vt:lpstr>wskakunin_sekkei9_JIMU_NAME</vt:lpstr>
      <vt:lpstr>wskakunin_sekkei9_JIMU_NO</vt:lpstr>
      <vt:lpstr>wskakunin_sekkei9_JIMU_SIKAKU__label</vt:lpstr>
      <vt:lpstr>wskakunin_sekkei9_JIMU_TOUROKU_KIKAN__label</vt:lpstr>
      <vt:lpstr>wskakunin_sekkei9_KENTIKUSI_NO</vt:lpstr>
      <vt:lpstr>wskakunin_sekkei9_NAME</vt:lpstr>
      <vt:lpstr>wskakunin_sekkei9_SIKAKU__label</vt:lpstr>
      <vt:lpstr>wskakunin_sekkei9_TEL</vt:lpstr>
      <vt:lpstr>wskakunin_sekkei9_TOUROKU_KIKAN__label</vt:lpstr>
      <vt:lpstr>wskakunin_sekkei9_ZIP</vt:lpstr>
      <vt:lpstr>wskakunin_sekou1__address</vt:lpstr>
      <vt:lpstr>wskakunin_sekou1_JIMU_NAME</vt:lpstr>
      <vt:lpstr>wskakunin_sekou1_NAME</vt:lpstr>
      <vt:lpstr>wskakunin_sekou1_SEKOU__sikaku</vt:lpstr>
      <vt:lpstr>wskakunin_sekou1_SEKOU_NO</vt:lpstr>
      <vt:lpstr>wskakunin_sekou1_SEKOU_SIKAKU__label</vt:lpstr>
      <vt:lpstr>wskakunin_sekou1_TEL</vt:lpstr>
      <vt:lpstr>wskakunin_sekou1_ZIP</vt:lpstr>
      <vt:lpstr>wskakunin_sekou2__address</vt:lpstr>
      <vt:lpstr>wskakunin_sekou2_JIMU_NAME</vt:lpstr>
      <vt:lpstr>wskakunin_sekou2_NAME</vt:lpstr>
      <vt:lpstr>wskakunin_sekou2_SEKOU__sikaku</vt:lpstr>
      <vt:lpstr>wskakunin_sekou2_SEKOU_NO</vt:lpstr>
      <vt:lpstr>wskakunin_sekou2_SEKOU_SIKAKU__label</vt:lpstr>
      <vt:lpstr>wskakunin_sekou2_TEL</vt:lpstr>
      <vt:lpstr>wskakunin_sekou2_ZIP</vt:lpstr>
      <vt:lpstr>wskakunin_sekou3__address</vt:lpstr>
      <vt:lpstr>wskakunin_sekou3_JIMU_NAME</vt:lpstr>
      <vt:lpstr>wskakunin_sekou3_NAME</vt:lpstr>
      <vt:lpstr>wskakunin_sekou3_SEKOU__sikaku</vt:lpstr>
      <vt:lpstr>wskakunin_sekou3_SEKOU_NO</vt:lpstr>
      <vt:lpstr>wskakunin_sekou3_SEKOU_SIKAKU__label</vt:lpstr>
      <vt:lpstr>wskakunin_sekou3_TEL</vt:lpstr>
      <vt:lpstr>wskakunin_sekou3_ZIP</vt:lpstr>
      <vt:lpstr>wskakunin_sekou4__address</vt:lpstr>
      <vt:lpstr>wskakunin_sekou4_JIMU_NAME</vt:lpstr>
      <vt:lpstr>wskakunin_sekou4_NAME</vt:lpstr>
      <vt:lpstr>wskakunin_sekou4_SEKOU__sikaku</vt:lpstr>
      <vt:lpstr>wskakunin_sekou4_SEKOU_NO</vt:lpstr>
      <vt:lpstr>wskakunin_sekou4_SEKOU_SIKAKU__label</vt:lpstr>
      <vt:lpstr>wskakunin_sekou4_TEL</vt:lpstr>
      <vt:lpstr>wskakunin_sekou4_ZIP</vt:lpstr>
      <vt:lpstr>wskakunin_sekou5__address</vt:lpstr>
      <vt:lpstr>wskakunin_sekou5_JIMU_NAME</vt:lpstr>
      <vt:lpstr>wskakunin_sekou5_NAME</vt:lpstr>
      <vt:lpstr>wskakunin_sekou5_SEKOU__sikaku</vt:lpstr>
      <vt:lpstr>wskakunin_sekou5_SEKOU_NO</vt:lpstr>
      <vt:lpstr>wskakunin_sekou5_SEKOU_SIKAKU__label</vt:lpstr>
      <vt:lpstr>wskakunin_sekou5_TEL</vt:lpstr>
      <vt:lpstr>wskakunin_sekou5_ZIP</vt:lpstr>
      <vt:lpstr>wskakunin_sekou6__address</vt:lpstr>
      <vt:lpstr>wskakunin_sekou6_JIMU_NAME</vt:lpstr>
      <vt:lpstr>wskakunin_sekou6_NAME</vt:lpstr>
      <vt:lpstr>wskakunin_sekou6_SEKOU__sikaku</vt:lpstr>
      <vt:lpstr>wskakunin_sekou6_SEKOU_NO</vt:lpstr>
      <vt:lpstr>wskakunin_sekou6_SEKOU_SIKAKU__label</vt:lpstr>
      <vt:lpstr>wskakunin_sekou6_TEL</vt:lpstr>
      <vt:lpstr>wskakunin_sekou6_ZIP</vt:lpstr>
      <vt:lpstr>wskakunin_SHIKITI_MENSEKI_1_TOTAL</vt:lpstr>
      <vt:lpstr>wskakunin_SHIKITI_MENSEKI_1A</vt:lpstr>
      <vt:lpstr>wskakunin_SHIKITI_MENSEKI_1B</vt:lpstr>
      <vt:lpstr>wskakunin_SHIKITI_MENSEKI_1C</vt:lpstr>
      <vt:lpstr>wskakunin_SHIKITI_MENSEKI_1D</vt:lpstr>
      <vt:lpstr>wskakunin_SHIKITI_MENSEKI_2_TOTAL</vt:lpstr>
      <vt:lpstr>wskakunin_SHIKITI_MENSEKI_2A</vt:lpstr>
      <vt:lpstr>wskakunin_SHIKITI_MENSEKI_2B</vt:lpstr>
      <vt:lpstr>wskakunin_SHIKITI_MENSEKI_2C</vt:lpstr>
      <vt:lpstr>wskakunin_SHIKITI_MENSEKI_2D</vt:lpstr>
      <vt:lpstr>wskakunin_SHIKITI_MENSEKI_BIKOU</vt:lpstr>
      <vt:lpstr>wskakunin_SHINSEI_DATE</vt:lpstr>
      <vt:lpstr>wskakunin_SONOTA_KUIKI</vt:lpstr>
      <vt:lpstr>wskakunin_TAKASA_MAX_SHINSEI</vt:lpstr>
      <vt:lpstr>wskakunin_TAKASA_MAX_SONOTA</vt:lpstr>
      <vt:lpstr>wskakunin_tekihan01_TEKIHAN_KIKAN_ADDRESS</vt:lpstr>
      <vt:lpstr>wskakunin_tekihan01_TEKIHAN_KIKAN_KEN__ken</vt:lpstr>
      <vt:lpstr>wskakunin_tekihan01_TEKIHAN_KIKAN_NAME</vt:lpstr>
      <vt:lpstr>wskakunin_tekihan01_TEKIHAN_STATE</vt:lpstr>
      <vt:lpstr>wskakunin_tekihan02_TEKIHAN_KIKAN_ADDRESS</vt:lpstr>
      <vt:lpstr>wskakunin_tekihan02_TEKIHAN_KIKAN_KEN__ken</vt:lpstr>
      <vt:lpstr>wskakunin_tekihan02_TEKIHAN_KIKAN_NAME</vt:lpstr>
      <vt:lpstr>wskakunin_TOKUREI_1</vt:lpstr>
      <vt:lpstr>wskakunin_TOKUREI_2</vt:lpstr>
      <vt:lpstr>wskakunin_TOKUREI_3</vt:lpstr>
      <vt:lpstr>wskakunin_TOKUREI_4</vt:lpstr>
      <vt:lpstr>wskakunin_TOKUREI_TAKASA</vt:lpstr>
      <vt:lpstr>wskakunin_TOKUREI_TAKASA_DOURO</vt:lpstr>
      <vt:lpstr>wskakunin_TOKUREI_TAKASA_KITA</vt:lpstr>
      <vt:lpstr>wskakunin_TOKUREI_TAKASA_RINTI</vt:lpstr>
      <vt:lpstr>wskakunin_TOKUTEI_KOUJI_KANRYOU_DATE</vt:lpstr>
      <vt:lpstr>wskakunin_TOKUTEI_KOUTEI</vt:lpstr>
      <vt:lpstr>wskakunin_YOUSEKI_RITU</vt:lpstr>
      <vt:lpstr>wskakunin_YOUSEKI_RITU_A</vt:lpstr>
      <vt:lpstr>wskakunin_YOUSEKI_RITU_B</vt:lpstr>
      <vt:lpstr>wskakunin_YOUSEKI_RITU_C</vt:lpstr>
      <vt:lpstr>wskakunin_YOUSEKI_RITU_D</vt:lpstr>
      <vt:lpstr>wskakunin_YOUTO</vt:lpstr>
      <vt:lpstr>wskakunin_YOUTO_CODE</vt:lpstr>
      <vt:lpstr>wskakunin_YOUTO_TIIKI</vt:lpstr>
      <vt:lpstr>wskakunin_YOUTO_TIIKI_A</vt:lpstr>
      <vt:lpstr>wskakunin_YOUTO_TIIKI_B</vt:lpstr>
      <vt:lpstr>wskakunin_YOUTO_TIIKI_C</vt:lpstr>
      <vt:lpstr>wskakunin_YOUTO_TIIKI_D</vt:lpstr>
      <vt:lpstr>wskakuninKOUJI_SETUBI</vt:lpstr>
      <vt:lpstr>DATA!Z_D83ABAE7_1F4C_4C77_8E04_C5172671ED17_.wvu.Rows</vt:lpstr>
      <vt:lpstr>しろくろ</vt:lpstr>
      <vt:lpstr>チェック</vt:lpstr>
      <vt:lpstr>はんとく</vt:lpstr>
      <vt:lpstr>一級</vt:lpstr>
      <vt:lpstr>外壁後退</vt:lpstr>
      <vt:lpstr>確変</vt:lpstr>
      <vt:lpstr>居住専用番号</vt:lpstr>
      <vt:lpstr>許可</vt:lpstr>
      <vt:lpstr>許可区分</vt:lpstr>
      <vt:lpstr>近隣商業地域</vt:lpstr>
      <vt:lpstr>近隣商業地域建ぺい率</vt:lpstr>
      <vt:lpstr>月</vt:lpstr>
      <vt:lpstr>建ぺい率</vt:lpstr>
      <vt:lpstr>建昇工</vt:lpstr>
      <vt:lpstr>建築士</vt:lpstr>
      <vt:lpstr>県知事</vt:lpstr>
      <vt:lpstr>工業専用地域</vt:lpstr>
      <vt:lpstr>工業専用地域建ぺい率</vt:lpstr>
      <vt:lpstr>工業地域</vt:lpstr>
      <vt:lpstr>工業地域建ぺい率</vt:lpstr>
      <vt:lpstr>工事届用構造コード_2410</vt:lpstr>
      <vt:lpstr>工事届用構造区分_2410</vt:lpstr>
      <vt:lpstr>工事届用主要用途</vt:lpstr>
      <vt:lpstr>工事届用主要用途_2410</vt:lpstr>
      <vt:lpstr>工事届用主要用途2</vt:lpstr>
      <vt:lpstr>工事届用主要用途区分</vt:lpstr>
      <vt:lpstr>工事届用主要用途区分_2410</vt:lpstr>
      <vt:lpstr>工事届用用途コード_2410</vt:lpstr>
      <vt:lpstr>工事届用用途区分_2410</vt:lpstr>
      <vt:lpstr>構造</vt:lpstr>
      <vt:lpstr>号</vt:lpstr>
      <vt:lpstr>産業番号</vt:lpstr>
      <vt:lpstr>指定なし</vt:lpstr>
      <vt:lpstr>指定なし建ぺい率</vt:lpstr>
      <vt:lpstr>施工者</vt:lpstr>
      <vt:lpstr>資格</vt:lpstr>
      <vt:lpstr>準工業地域</vt:lpstr>
      <vt:lpstr>準工業地域建ぺい率</vt:lpstr>
      <vt:lpstr>準住居地域</vt:lpstr>
      <vt:lpstr>準住居地域建ぺい率</vt:lpstr>
      <vt:lpstr>商業地域</vt:lpstr>
      <vt:lpstr>商業地域建ぺい率</vt:lpstr>
      <vt:lpstr>図書</vt:lpstr>
      <vt:lpstr>数字</vt:lpstr>
      <vt:lpstr>耐火建築物</vt:lpstr>
      <vt:lpstr>大臣</vt:lpstr>
      <vt:lpstr>第一種住居地域</vt:lpstr>
      <vt:lpstr>第一種住居地域建ぺい率</vt:lpstr>
      <vt:lpstr>第一種中高層住居専用地域</vt:lpstr>
      <vt:lpstr>第一種中高層住居専用地域建ぺい率</vt:lpstr>
      <vt:lpstr>第一種低層住居専用地域</vt:lpstr>
      <vt:lpstr>第一種低層住居専用地域建ぺい率</vt:lpstr>
      <vt:lpstr>第二種住居地域</vt:lpstr>
      <vt:lpstr>第二種住居地域建ぺい率</vt:lpstr>
      <vt:lpstr>第二種中高層住居専用地域</vt:lpstr>
      <vt:lpstr>第二種中高層住居専用地域建ぺい率</vt:lpstr>
      <vt:lpstr>第二種低層住居専用地域</vt:lpstr>
      <vt:lpstr>第二種低層住居専用地域建ぺい率</vt:lpstr>
      <vt:lpstr>都道府県</vt:lpstr>
      <vt:lpstr>特定工程</vt:lpstr>
      <vt:lpstr>二級</vt:lpstr>
      <vt:lpstr>年度</vt:lpstr>
      <vt:lpstr>便所</vt:lpstr>
      <vt:lpstr>面積</vt:lpstr>
      <vt:lpstr>木造</vt:lpstr>
      <vt:lpstr>容積率</vt:lpstr>
      <vt:lpstr>用途区分</vt:lpstr>
      <vt:lpstr>用途地域</vt:lpstr>
      <vt:lpstr>和暦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nishitani</dc:creator>
  <cp:lastModifiedBy>uhec75</cp:lastModifiedBy>
  <cp:lastPrinted>2026-08-17T05:20:54Z</cp:lastPrinted>
  <dcterms:created xsi:type="dcterms:W3CDTF">2016-04-05T10:41:15Z</dcterms:created>
  <dcterms:modified xsi:type="dcterms:W3CDTF">2026-08-19T02:42:50Z</dcterms:modified>
</cp:coreProperties>
</file>